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57840" windowHeight="23520" tabRatio="813"/>
  </bookViews>
  <sheets>
    <sheet name="갑" sheetId="8" r:id="rId1"/>
    <sheet name="1" sheetId="11" r:id="rId2"/>
    <sheet name="원가" sheetId="9" r:id="rId3"/>
    <sheet name="2" sheetId="12" r:id="rId4"/>
    <sheet name="집계" sheetId="30" r:id="rId5"/>
    <sheet name="3" sheetId="13" r:id="rId6"/>
    <sheet name="내역" sheetId="31" r:id="rId7"/>
    <sheet name="4" sheetId="14" r:id="rId8"/>
    <sheet name="일위목록" sheetId="32" r:id="rId9"/>
    <sheet name="5" sheetId="15" r:id="rId10"/>
    <sheet name="호표" sheetId="33" r:id="rId11"/>
    <sheet name="6" sheetId="16" r:id="rId12"/>
    <sheet name="중기목록" sheetId="35" r:id="rId13"/>
    <sheet name="7" sheetId="17" r:id="rId14"/>
    <sheet name="중기사용료" sheetId="36" r:id="rId15"/>
    <sheet name="8" sheetId="18" r:id="rId16"/>
    <sheet name="중기기초" sheetId="37" r:id="rId17"/>
    <sheet name="9" sheetId="19" r:id="rId18"/>
    <sheet name="자재" sheetId="38" r:id="rId19"/>
    <sheet name="10" sheetId="20" r:id="rId20"/>
    <sheet name="자재조서" sheetId="39" r:id="rId21"/>
    <sheet name="11" sheetId="21" r:id="rId22"/>
    <sheet name="노임" sheetId="40" r:id="rId23"/>
    <sheet name="12" sheetId="22" r:id="rId24"/>
    <sheet name="수량(구조보강)" sheetId="29" r:id="rId25"/>
    <sheet name="수량(외부)" sheetId="1" r:id="rId26"/>
    <sheet name="수량(내부1층)" sheetId="26" r:id="rId27"/>
    <sheet name="수량(내부2층)" sheetId="27" r:id="rId28"/>
    <sheet name="수량(구매품)" sheetId="28" r:id="rId29"/>
    <sheet name="세부산출서" sheetId="2" r:id="rId30"/>
    <sheet name="제비율" sheetId="25" r:id="rId31"/>
    <sheet name="중기변수" sheetId="43" r:id="rId32"/>
  </sheets>
  <definedNames>
    <definedName name="_">#REF!</definedName>
    <definedName name="_.사급자재대">#REF!</definedName>
    <definedName name="________a122" hidden="1">{#N/A,#N/A,FALSE,"속도"}</definedName>
    <definedName name="_______a122" hidden="1">{#N/A,#N/A,FALSE,"속도"}</definedName>
    <definedName name="______a122" hidden="1">{#N/A,#N/A,FALSE,"속도"}</definedName>
    <definedName name="___10">#REF!</definedName>
    <definedName name="___11">#REF!</definedName>
    <definedName name="___6">#REF!</definedName>
    <definedName name="___7">#REF!</definedName>
    <definedName name="___8">#REF!</definedName>
    <definedName name="___9">#REF!</definedName>
    <definedName name="___HPP1">#REF!</definedName>
    <definedName name="__10">#REF!</definedName>
    <definedName name="__11">#REF!</definedName>
    <definedName name="__123Graph_A공광전력" localSheetId="19" hidden="1">#REF!</definedName>
    <definedName name="__123Graph_A공광전력" localSheetId="21" hidden="1">#REF!</definedName>
    <definedName name="__123Graph_A공광전력" localSheetId="23" hidden="1">#REF!</definedName>
    <definedName name="__123Graph_A공광전력" localSheetId="3" hidden="1">#REF!</definedName>
    <definedName name="__123Graph_A공광전력" localSheetId="5" hidden="1">#REF!</definedName>
    <definedName name="__123Graph_A공광전력" localSheetId="7" hidden="1">#REF!</definedName>
    <definedName name="__123Graph_A공광전력" localSheetId="9" hidden="1">#REF!</definedName>
    <definedName name="__123Graph_A공광전력" localSheetId="11" hidden="1">#REF!</definedName>
    <definedName name="__123Graph_A공광전력" localSheetId="13" hidden="1">#REF!</definedName>
    <definedName name="__123Graph_A공광전력" localSheetId="15" hidden="1">#REF!</definedName>
    <definedName name="__123Graph_A공광전력" localSheetId="17" hidden="1">#REF!</definedName>
    <definedName name="__123Graph_A공광전력" hidden="1">#REF!</definedName>
    <definedName name="__123Graph_B공광전력" localSheetId="19" hidden="1">#REF!</definedName>
    <definedName name="__123Graph_B공광전력" localSheetId="21" hidden="1">#REF!</definedName>
    <definedName name="__123Graph_B공광전력" localSheetId="23" hidden="1">#REF!</definedName>
    <definedName name="__123Graph_B공광전력" localSheetId="3" hidden="1">#REF!</definedName>
    <definedName name="__123Graph_B공광전력" localSheetId="5" hidden="1">#REF!</definedName>
    <definedName name="__123Graph_B공광전력" localSheetId="7" hidden="1">#REF!</definedName>
    <definedName name="__123Graph_B공광전력" localSheetId="9" hidden="1">#REF!</definedName>
    <definedName name="__123Graph_B공광전력" localSheetId="11" hidden="1">#REF!</definedName>
    <definedName name="__123Graph_B공광전력" localSheetId="13" hidden="1">#REF!</definedName>
    <definedName name="__123Graph_B공광전력" localSheetId="15" hidden="1">#REF!</definedName>
    <definedName name="__123Graph_B공광전력" localSheetId="17" hidden="1">#REF!</definedName>
    <definedName name="__123Graph_B공광전력" hidden="1">#REF!</definedName>
    <definedName name="__123Graph_C공광전력" localSheetId="19" hidden="1">#REF!</definedName>
    <definedName name="__123Graph_C공광전력" localSheetId="21" hidden="1">#REF!</definedName>
    <definedName name="__123Graph_C공광전력" localSheetId="23" hidden="1">#REF!</definedName>
    <definedName name="__123Graph_C공광전력" localSheetId="3" hidden="1">#REF!</definedName>
    <definedName name="__123Graph_C공광전력" localSheetId="5" hidden="1">#REF!</definedName>
    <definedName name="__123Graph_C공광전력" localSheetId="7" hidden="1">#REF!</definedName>
    <definedName name="__123Graph_C공광전력" localSheetId="9" hidden="1">#REF!</definedName>
    <definedName name="__123Graph_C공광전력" localSheetId="11" hidden="1">#REF!</definedName>
    <definedName name="__123Graph_C공광전력" localSheetId="13" hidden="1">#REF!</definedName>
    <definedName name="__123Graph_C공광전력" localSheetId="15" hidden="1">#REF!</definedName>
    <definedName name="__123Graph_C공광전력" localSheetId="17" hidden="1">#REF!</definedName>
    <definedName name="__123Graph_C공광전력" hidden="1">#REF!</definedName>
    <definedName name="__123Graph_X공광전력" localSheetId="19" hidden="1">#REF!</definedName>
    <definedName name="__123Graph_X공광전력" localSheetId="21" hidden="1">#REF!</definedName>
    <definedName name="__123Graph_X공광전력" localSheetId="23" hidden="1">#REF!</definedName>
    <definedName name="__123Graph_X공광전력" localSheetId="3" hidden="1">#REF!</definedName>
    <definedName name="__123Graph_X공광전력" localSheetId="5" hidden="1">#REF!</definedName>
    <definedName name="__123Graph_X공광전력" localSheetId="7" hidden="1">#REF!</definedName>
    <definedName name="__123Graph_X공광전력" localSheetId="9" hidden="1">#REF!</definedName>
    <definedName name="__123Graph_X공광전력" localSheetId="11" hidden="1">#REF!</definedName>
    <definedName name="__123Graph_X공광전력" localSheetId="13" hidden="1">#REF!</definedName>
    <definedName name="__123Graph_X공광전력" localSheetId="15" hidden="1">#REF!</definedName>
    <definedName name="__123Graph_X공광전력" localSheetId="17" hidden="1">#REF!</definedName>
    <definedName name="__123Graph_X공광전력" hidden="1">#REF!</definedName>
    <definedName name="__6">#REF!</definedName>
    <definedName name="__7">#REF!</definedName>
    <definedName name="__8">#REF!</definedName>
    <definedName name="__9">#REF!</definedName>
    <definedName name="__A100000">#REF!</definedName>
    <definedName name="__A66000">#REF!</definedName>
    <definedName name="__A67000">#REF!</definedName>
    <definedName name="__A68000">#REF!</definedName>
    <definedName name="__A80000">#REF!</definedName>
    <definedName name="__AA1">#REF!</definedName>
    <definedName name="__C">#REF!</definedName>
    <definedName name="__CON135">#REF!</definedName>
    <definedName name="__CON210">#REF!</definedName>
    <definedName name="__CON240">#REF!</definedName>
    <definedName name="__ELL1">#REF!</definedName>
    <definedName name="__ELL2">#REF!</definedName>
    <definedName name="__HPP1">#REF!</definedName>
    <definedName name="__IntlFixup" hidden="1">TRUE</definedName>
    <definedName name="__IV65999">#REF!</definedName>
    <definedName name="__IV66000">#REF!</definedName>
    <definedName name="__IV69999">#REF!</definedName>
    <definedName name="__IV70000">#REF!</definedName>
    <definedName name="__IV99999">#REF!</definedName>
    <definedName name="__JOI13">#REF!</definedName>
    <definedName name="__P3" localSheetId="0" hidden="1">{#N/A,#N/A,FALSE,"배수1"}</definedName>
    <definedName name="__P3" hidden="1">{#N/A,#N/A,FALSE,"배수1"}</definedName>
    <definedName name="__P4" localSheetId="0" hidden="1">{#N/A,#N/A,FALSE,"혼합골재"}</definedName>
    <definedName name="__P4" hidden="1">{#N/A,#N/A,FALSE,"혼합골재"}</definedName>
    <definedName name="__P5" localSheetId="0" hidden="1">{#N/A,#N/A,FALSE,"배수1"}</definedName>
    <definedName name="__P5" hidden="1">{#N/A,#N/A,FALSE,"배수1"}</definedName>
    <definedName name="__P6" localSheetId="0" hidden="1">{#N/A,#N/A,FALSE,"2~8번"}</definedName>
    <definedName name="__P6" hidden="1">{#N/A,#N/A,FALSE,"2~8번"}</definedName>
    <definedName name="__pa1">#REF!</definedName>
    <definedName name="__pa2">#REF!</definedName>
    <definedName name="__PRN2">#REF!</definedName>
    <definedName name="__PRN3">#REF!</definedName>
    <definedName name="__PRN4">#REF!</definedName>
    <definedName name="__PRN6">#REF!</definedName>
    <definedName name="__PRN7">#REF!</definedName>
    <definedName name="__qa01" localSheetId="0" hidden="1">{#N/A,#N/A,FALSE,"2~8번"}</definedName>
    <definedName name="__qa01" hidden="1">{#N/A,#N/A,FALSE,"2~8번"}</definedName>
    <definedName name="__qa02" localSheetId="0" hidden="1">{#N/A,#N/A,FALSE,"골재소요량";#N/A,#N/A,FALSE,"골재소요량"}</definedName>
    <definedName name="__qa02" hidden="1">{#N/A,#N/A,FALSE,"골재소요량";#N/A,#N/A,FALSE,"골재소요량"}</definedName>
    <definedName name="__qa03" localSheetId="0" hidden="1">{#N/A,#N/A,FALSE,"구조2"}</definedName>
    <definedName name="__qa03" hidden="1">{#N/A,#N/A,FALSE,"구조2"}</definedName>
    <definedName name="__qa04" localSheetId="0" hidden="1">{#N/A,#N/A,FALSE,"단가표지"}</definedName>
    <definedName name="__qa04" hidden="1">{#N/A,#N/A,FALSE,"단가표지"}</definedName>
    <definedName name="__qa05" localSheetId="0" hidden="1">{#N/A,#N/A,FALSE,"배수1"}</definedName>
    <definedName name="__qa05" hidden="1">{#N/A,#N/A,FALSE,"배수1"}</definedName>
    <definedName name="__qa06" localSheetId="0" hidden="1">{#N/A,#N/A,FALSE,"배수2"}</definedName>
    <definedName name="__qa06" hidden="1">{#N/A,#N/A,FALSE,"배수2"}</definedName>
    <definedName name="__qa07" localSheetId="0" hidden="1">{#N/A,#N/A,FALSE,"부대1"}</definedName>
    <definedName name="__qa07" hidden="1">{#N/A,#N/A,FALSE,"부대1"}</definedName>
    <definedName name="__qa08" localSheetId="0" hidden="1">{#N/A,#N/A,FALSE,"부대2"}</definedName>
    <definedName name="__qa08" hidden="1">{#N/A,#N/A,FALSE,"부대2"}</definedName>
    <definedName name="__qa10" localSheetId="0" hidden="1">{#N/A,#N/A,FALSE,"속도"}</definedName>
    <definedName name="__qa10" hidden="1">{#N/A,#N/A,FALSE,"속도"}</definedName>
    <definedName name="__qa11" localSheetId="0" hidden="1">{#N/A,#N/A,FALSE,"운반시간"}</definedName>
    <definedName name="__qa11" hidden="1">{#N/A,#N/A,FALSE,"운반시간"}</definedName>
    <definedName name="__qa12" localSheetId="0" hidden="1">{#N/A,#N/A,FALSE,"이정표"}</definedName>
    <definedName name="__qa12" hidden="1">{#N/A,#N/A,FALSE,"이정표"}</definedName>
    <definedName name="__qa13" localSheetId="0" hidden="1">{#N/A,#N/A,FALSE,"조골재"}</definedName>
    <definedName name="__qa13" hidden="1">{#N/A,#N/A,FALSE,"조골재"}</definedName>
    <definedName name="__qa14" localSheetId="0" hidden="1">{#N/A,#N/A,FALSE,"구조1"}</definedName>
    <definedName name="__qa14" hidden="1">{#N/A,#N/A,FALSE,"구조1"}</definedName>
    <definedName name="__qa15" localSheetId="0" hidden="1">{#N/A,#N/A,FALSE,"토공2"}</definedName>
    <definedName name="__qa15" hidden="1">{#N/A,#N/A,FALSE,"토공2"}</definedName>
    <definedName name="__qa16" localSheetId="0" hidden="1">{#N/A,#N/A,FALSE,"포장1";#N/A,#N/A,FALSE,"포장1"}</definedName>
    <definedName name="__qa16" hidden="1">{#N/A,#N/A,FALSE,"포장1";#N/A,#N/A,FALSE,"포장1"}</definedName>
    <definedName name="__qa17" localSheetId="0" hidden="1">{#N/A,#N/A,FALSE,"포장2"}</definedName>
    <definedName name="__qa17" hidden="1">{#N/A,#N/A,FALSE,"포장2"}</definedName>
    <definedName name="__qa18" localSheetId="0" hidden="1">{#N/A,#N/A,FALSE,"표지목차"}</definedName>
    <definedName name="__qa18" hidden="1">{#N/A,#N/A,FALSE,"표지목차"}</definedName>
    <definedName name="__qa19" localSheetId="0" hidden="1">{#N/A,#N/A,FALSE,"혼합골재"}</definedName>
    <definedName name="__qa19" hidden="1">{#N/A,#N/A,FALSE,"혼합골재"}</definedName>
    <definedName name="__qa20" localSheetId="0" hidden="1">{#N/A,#N/A,FALSE,"운반시간"}</definedName>
    <definedName name="__qa20" hidden="1">{#N/A,#N/A,FALSE,"운반시간"}</definedName>
    <definedName name="__qx1" localSheetId="0" hidden="1">{#N/A,#N/A,FALSE,"운반시간"}</definedName>
    <definedName name="__qx1" hidden="1">{#N/A,#N/A,FALSE,"운반시간"}</definedName>
    <definedName name="__S3" localSheetId="0" hidden="1">{#N/A,#N/A,FALSE,"포장2"}</definedName>
    <definedName name="__S3" hidden="1">{#N/A,#N/A,FALSE,"포장2"}</definedName>
    <definedName name="__SCH1">#REF!</definedName>
    <definedName name="__SH1">#REF!</definedName>
    <definedName name="__SH2">#REF!</definedName>
    <definedName name="__SH3">#REF!</definedName>
    <definedName name="__ST1">#N/A</definedName>
    <definedName name="__Ted1">#REF!</definedName>
    <definedName name="__Ts1">#REF!</definedName>
    <definedName name="__W1">#REF!</definedName>
    <definedName name="__YO1">#REF!</definedName>
    <definedName name="__zz1">#REF!</definedName>
    <definedName name="__Zz10137">#REF!</definedName>
    <definedName name="__각재">#REF!</definedName>
    <definedName name="__경유">#REF!</definedName>
    <definedName name="__경첩">#REF!</definedName>
    <definedName name="__구리스">#REF!</definedName>
    <definedName name="__모래">#REF!</definedName>
    <definedName name="__모빌유">#REF!</definedName>
    <definedName name="__박리제">#REF!</definedName>
    <definedName name="__벤토나이트">#REF!</definedName>
    <definedName name="__복사비a3">#REF!</definedName>
    <definedName name="__복사비A4">#REF!</definedName>
    <definedName name="__상하수도료">#REF!</definedName>
    <definedName name="__시멘트">#REF!</definedName>
    <definedName name="__시멘트포대">#REF!</definedName>
    <definedName name="__용지대a3">#REF!</definedName>
    <definedName name="__용지대A4">#REF!</definedName>
    <definedName name="__자갈">#REF!</definedName>
    <definedName name="__잠금고리">#REF!</definedName>
    <definedName name="__전기료">#REF!</definedName>
    <definedName name="__제본비a3">#REF!</definedName>
    <definedName name="__제본비A4">#REF!</definedName>
    <definedName name="__철못">#REF!</definedName>
    <definedName name="__철못1">#REF!</definedName>
    <definedName name="__철선">#REF!</definedName>
    <definedName name="__청사진">#REF!</definedName>
    <definedName name="__청사진제본비">#REF!</definedName>
    <definedName name="__축소비a3">#REF!</definedName>
    <definedName name="__판재">#REF!</definedName>
    <definedName name="__합판">#REF!</definedName>
    <definedName name="__합판1">#REF!</definedName>
    <definedName name="__화강암">#REF!</definedName>
    <definedName name="__휘발유">#REF!</definedName>
    <definedName name="_\D">#REF!</definedName>
    <definedName name="_\X">#REF!</definedName>
    <definedName name="_\Z">#REF!</definedName>
    <definedName name="_1">#N/A</definedName>
    <definedName name="_1._PANEL_BD.__LP___1">#REF!</definedName>
    <definedName name="_1._토______공">#REF!</definedName>
    <definedName name="_1.토___공">#REF!</definedName>
    <definedName name="_1_">#REF!</definedName>
    <definedName name="_1_0_F" hidden="1">#REF!</definedName>
    <definedName name="_10">#N/A</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a122_" hidden="1">{#N/A,#N/A,FALSE,"속도"}</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0Extr">#REF!</definedName>
    <definedName name="_11">#N/A</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2">#N/A</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0Extract">#REF!</definedName>
    <definedName name="_13">#N/A</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4">#N/A</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_Extr">#REF!</definedName>
    <definedName name="_15">#N/A</definedName>
    <definedName name="_15_0옹벽부용수">#REF!</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#N/A</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G__Extract">#REF!</definedName>
    <definedName name="_17">#N/A</definedName>
    <definedName name="_17_3_0Crite">#REF!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#N/A</definedName>
    <definedName name="_18_3_0Criteria">#REF!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a122_" hidden="1">{#N/A,#N/A,FALSE,"속도"}</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단">#REF!</definedName>
    <definedName name="_19">#N/A</definedName>
    <definedName name="_19_3__Crite">#REF!</definedName>
    <definedName name="_1A_1">#REF!</definedName>
    <definedName name="_1A_10">#REF!</definedName>
    <definedName name="_1A_11">#REF!</definedName>
    <definedName name="_1A_12">#REF!</definedName>
    <definedName name="_1A_13">#REF!</definedName>
    <definedName name="_1A_14">#REF!</definedName>
    <definedName name="_1A_15">#REF!</definedName>
    <definedName name="_1A_16">#REF!</definedName>
    <definedName name="_1A_17">#REF!</definedName>
    <definedName name="_1A_18">#REF!</definedName>
    <definedName name="_1A_19">#REF!</definedName>
    <definedName name="_1A_2">#REF!</definedName>
    <definedName name="_1A_20">#REF!</definedName>
    <definedName name="_1A_21">#REF!</definedName>
    <definedName name="_1A_22">#REF!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#REF!</definedName>
    <definedName name="_1A_30">#REF!</definedName>
    <definedName name="_1A_4">#REF!</definedName>
    <definedName name="_1A_5">#REF!</definedName>
    <definedName name="_1A_6">#REF!</definedName>
    <definedName name="_1A_7">#REF!</definedName>
    <definedName name="_1A_8">#REF!</definedName>
    <definedName name="_1A_9">#REF!</definedName>
    <definedName name="_1B_1">#REF!</definedName>
    <definedName name="_1B_10">#REF!</definedName>
    <definedName name="_1B_11">#REF!</definedName>
    <definedName name="_1B_12">#REF!</definedName>
    <definedName name="_1B_13">#REF!</definedName>
    <definedName name="_1B_14">#REF!</definedName>
    <definedName name="_1B_15">#REF!</definedName>
    <definedName name="_1B_16">#REF!</definedName>
    <definedName name="_1B_17">#REF!</definedName>
    <definedName name="_1B_18">#REF!</definedName>
    <definedName name="_1B_19">#REF!</definedName>
    <definedName name="_1B_2">#REF!</definedName>
    <definedName name="_1B_20">#REF!</definedName>
    <definedName name="_1B_21">#REF!</definedName>
    <definedName name="_1B_22">#REF!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#REF!</definedName>
    <definedName name="_1B_30">#REF!</definedName>
    <definedName name="_1B_4">#REF!</definedName>
    <definedName name="_1B_5">#REF!</definedName>
    <definedName name="_1B_6">#REF!</definedName>
    <definedName name="_1B_7">#REF!</definedName>
    <definedName name="_1B_8">#REF!</definedName>
    <definedName name="_1B_9">#REF!</definedName>
    <definedName name="_1C_1">#REF!</definedName>
    <definedName name="_1C_10">#REF!</definedName>
    <definedName name="_1C_11">#REF!</definedName>
    <definedName name="_1C_12">#REF!</definedName>
    <definedName name="_1C_13">#REF!</definedName>
    <definedName name="_1C_14">#REF!</definedName>
    <definedName name="_1C_15">#REF!</definedName>
    <definedName name="_1C_16">#REF!</definedName>
    <definedName name="_1C_17">#REF!</definedName>
    <definedName name="_1C_18">#REF!</definedName>
    <definedName name="_1C_19">#REF!</definedName>
    <definedName name="_1C_2">#REF!</definedName>
    <definedName name="_1C_20">#REF!</definedName>
    <definedName name="_1C_21">#REF!</definedName>
    <definedName name="_1C_22">#REF!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#REF!</definedName>
    <definedName name="_1C_30">#REF!</definedName>
    <definedName name="_1C_4">#REF!</definedName>
    <definedName name="_1C_5">#REF!</definedName>
    <definedName name="_1C_6">#REF!</definedName>
    <definedName name="_1C_7">#REF!</definedName>
    <definedName name="_1C_8">#REF!</definedName>
    <definedName name="_1C_9">#REF!</definedName>
    <definedName name="_1t3_">#REF!</definedName>
    <definedName name="_1공장">#REF!</definedName>
    <definedName name="_1월">#REF!</definedName>
    <definedName name="_2">#N/A</definedName>
    <definedName name="_2._교___량___공">#REF!</definedName>
    <definedName name="_2._날_개_벽">#REF!</definedName>
    <definedName name="_2___________0_F" hidden="1">#REF!</definedName>
    <definedName name="_2_2_0_Parse" hidden="1">#REF!</definedName>
    <definedName name="_2_3_0Crite">#REF!</definedName>
    <definedName name="_20">#N/A</definedName>
    <definedName name="_20_3__Criteria">#REF!</definedName>
    <definedName name="_21">#N/A</definedName>
    <definedName name="_22">#N/A</definedName>
    <definedName name="_23">#N/A</definedName>
    <definedName name="_24">#N/A</definedName>
    <definedName name="_25">#N/A</definedName>
    <definedName name="_26">#N/A</definedName>
    <definedName name="_26av1_">#REF!</definedName>
    <definedName name="_27">#N/A</definedName>
    <definedName name="_27G_0Extr">#REF!</definedName>
    <definedName name="_28">#N/A</definedName>
    <definedName name="_28G_0Extract">#REF!</definedName>
    <definedName name="_29">#N/A</definedName>
    <definedName name="_29a122_" hidden="1">{#N/A,#N/A,FALSE,"속도"}</definedName>
    <definedName name="_29t3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T4_">#REF!</definedName>
    <definedName name="_2공장">#REF!</definedName>
    <definedName name="_2월">#REF!</definedName>
    <definedName name="_3">#N/A</definedName>
    <definedName name="_3._배__수__공">#REF!</definedName>
    <definedName name="_3.배수공">#REF!</definedName>
    <definedName name="_3.포__장__공">#REF!</definedName>
    <definedName name="_3_3_0Crite">#REF!</definedName>
    <definedName name="_30">#N/A</definedName>
    <definedName name="_30T4_">#REF!</definedName>
    <definedName name="_30신설일위대가">#REF!</definedName>
    <definedName name="_31">#N/A</definedName>
    <definedName name="_31Y_0Print_A">#REF!</definedName>
    <definedName name="_32">#N/A</definedName>
    <definedName name="_32G_0Extr">#REF!</definedName>
    <definedName name="_32Y_0PRINT_AREA">#REF!</definedName>
    <definedName name="_33">#N/A</definedName>
    <definedName name="_33G_0Extract">#REF!</definedName>
    <definedName name="_34">#N/A</definedName>
    <definedName name="_34G__Extr">#REF!</definedName>
    <definedName name="_35">#N/A</definedName>
    <definedName name="_35G__Extract">#REF!</definedName>
    <definedName name="_36">#N/A</definedName>
    <definedName name="_36IL1_">#REF!</definedName>
    <definedName name="_37">#N/A</definedName>
    <definedName name="_38">#N/A</definedName>
    <definedName name="_39">#N/A</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a2_" localSheetId="0" hidden="1">{#N/A,#N/A,FALSE,"P.C.B"}</definedName>
    <definedName name="_3a2_" hidden="1">{#N/A,#N/A,FALSE,"P.C.B"}</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공장">#REF!</definedName>
    <definedName name="_3월">#REF!</definedName>
    <definedName name="_4">#N/A</definedName>
    <definedName name="_4._구_조_물_공">#REF!</definedName>
    <definedName name="_4.구조물공">#REF!</definedName>
    <definedName name="_4_________2_0_Parse" hidden="1">#REF!</definedName>
    <definedName name="_4_3_0Criteria">#REF!</definedName>
    <definedName name="_40">#N/A</definedName>
    <definedName name="_40총괄">#REF!</definedName>
    <definedName name="_41">#N/A</definedName>
    <definedName name="_42">#N/A</definedName>
    <definedName name="_42p1_">#REF!</definedName>
    <definedName name="_43">#N/A</definedName>
    <definedName name="_44">#N/A</definedName>
    <definedName name="_44q45_" hidden="1">{"'용역비'!$A$4:$C$8"}</definedName>
    <definedName name="_45">#N/A</definedName>
    <definedName name="_46">#N/A</definedName>
    <definedName name="_46t3_">#REF!</definedName>
    <definedName name="_47">#N/A</definedName>
    <definedName name="_48">#N/A</definedName>
    <definedName name="_48T4_">#REF!</definedName>
    <definedName name="_49">#N/A</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월">#REF!</definedName>
    <definedName name="_5">#N/A</definedName>
    <definedName name="_5._포__장__공">#REF!</definedName>
    <definedName name="_5.포장공">#REF!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월">#REF!</definedName>
    <definedName name="_6">#N/A</definedName>
    <definedName name="_6._가_시_설_공">#REF!</definedName>
    <definedName name="_6_3__Crite">#REF!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월">#REF!</definedName>
    <definedName name="_7">#N/A</definedName>
    <definedName name="_7._부__대__공">#REF!</definedName>
    <definedName name="_7.부대공">#REF!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8">#N/A</definedName>
    <definedName name="_8_3__Criteria">#REF!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9">#N/A</definedName>
    <definedName name="_90">#N/A</definedName>
    <definedName name="_91">#N/A</definedName>
    <definedName name="_92">#N/A</definedName>
    <definedName name="_93">#N/A</definedName>
    <definedName name="_94">#N/A</definedName>
    <definedName name="_95">#N/A</definedName>
    <definedName name="_95년_포상금_지급내역">#REF!</definedName>
    <definedName name="_96">#N/A</definedName>
    <definedName name="_97">#N/A</definedName>
    <definedName name="_98">#N/A</definedName>
    <definedName name="_99">#N/A</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A">#REF!</definedName>
    <definedName name="_A01">#REF!</definedName>
    <definedName name="_A02">#REF!</definedName>
    <definedName name="_A03">#REF!</definedName>
    <definedName name="_A04">#REF!</definedName>
    <definedName name="_A05">#REF!</definedName>
    <definedName name="_A100000">#REF!</definedName>
    <definedName name="_a122" hidden="1">{#N/A,#N/A,FALSE,"속도"}</definedName>
    <definedName name="_A183154">#REF!</definedName>
    <definedName name="_A66000">#REF!</definedName>
    <definedName name="_A66632">#REF!</definedName>
    <definedName name="_A67000">#REF!</definedName>
    <definedName name="_A68000">#REF!</definedName>
    <definedName name="_A80000">#REF!</definedName>
    <definedName name="_AA1">#REF!</definedName>
    <definedName name="_aab42">#REF!</definedName>
    <definedName name="_AMT1">#REF!</definedName>
    <definedName name="_AMT2">#REF!</definedName>
    <definedName name="_AMT3">#REF!</definedName>
    <definedName name="_B02">#REF!</definedName>
    <definedName name="_b03">#REF!</definedName>
    <definedName name="_b05">#REF!</definedName>
    <definedName name="_b06">#REF!</definedName>
    <definedName name="_b07">#REF!</definedName>
    <definedName name="_b08">#REF!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0">#REF!</definedName>
    <definedName name="_B21">#REF!</definedName>
    <definedName name="_B22">#REF!=#REF!</definedName>
    <definedName name="_B23">#REF!</definedName>
    <definedName name="_B24">#REF!</definedName>
    <definedName name="_B25">#REF!</definedName>
    <definedName name="_B3">#REF!</definedName>
    <definedName name="_B37">#REF!</definedName>
    <definedName name="_B38">#REF!</definedName>
    <definedName name="_B4">#REF!</definedName>
    <definedName name="_B5">#REF!</definedName>
    <definedName name="_B6">#REF!</definedName>
    <definedName name="_B7">#REF!</definedName>
    <definedName name="_B8">#REF!</definedName>
    <definedName name="_B9">#REF!</definedName>
    <definedName name="_box01">#REF!</definedName>
    <definedName name="_Bu1">#REF!</definedName>
    <definedName name="_Bu2">#REF!</definedName>
    <definedName name="_BVS1">#REF!</definedName>
    <definedName name="_BVS2">#REF!</definedName>
    <definedName name="_Bw1">#REF!</definedName>
    <definedName name="_Bw2">#REF!</definedName>
    <definedName name="_Bw3">#REF!</definedName>
    <definedName name="_Bw4">#REF!</definedName>
    <definedName name="_Bw5">#REF!</definedName>
    <definedName name="_Bw6">#REF!</definedName>
    <definedName name="_Bw7">#REF!</definedName>
    <definedName name="_C">#REF!</definedName>
    <definedName name="_C01">#REF!</definedName>
    <definedName name="_c02">#REF!</definedName>
    <definedName name="_CDT2">#REF!</definedName>
    <definedName name="_CON135">#REF!</definedName>
    <definedName name="_CON210">#REF!</definedName>
    <definedName name="_CON240">#REF!</definedName>
    <definedName name="_D01">#REF!</definedName>
    <definedName name="_D0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IA1">#REF!</definedName>
    <definedName name="_DIA2">#REF!</definedName>
    <definedName name="_DIA4">#REF!</definedName>
    <definedName name="_dist__bin" localSheetId="19" hidden="1">#REF!</definedName>
    <definedName name="_dist__bin" localSheetId="21" hidden="1">#REF!</definedName>
    <definedName name="_dist__bin" localSheetId="23" hidden="1">#REF!</definedName>
    <definedName name="_dist__bin" localSheetId="3" hidden="1">#REF!</definedName>
    <definedName name="_dist__bin" localSheetId="5" hidden="1">#REF!</definedName>
    <definedName name="_dist__bin" localSheetId="7" hidden="1">#REF!</definedName>
    <definedName name="_dist__bin" localSheetId="9" hidden="1">#REF!</definedName>
    <definedName name="_dist__bin" localSheetId="11" hidden="1">#REF!</definedName>
    <definedName name="_dist__bin" localSheetId="13" hidden="1">#REF!</definedName>
    <definedName name="_dist__bin" localSheetId="15" hidden="1">#REF!</definedName>
    <definedName name="_dist__bin" localSheetId="17" hidden="1">#REF!</definedName>
    <definedName name="_dist__bin" hidden="1">#REF!</definedName>
    <definedName name="_Dist_Bin" localSheetId="19" hidden="1">#REF!</definedName>
    <definedName name="_Dist_Bin" localSheetId="21" hidden="1">#REF!</definedName>
    <definedName name="_Dist_Bin" localSheetId="23" hidden="1">#REF!</definedName>
    <definedName name="_Dist_Bin" localSheetId="3" hidden="1">#REF!</definedName>
    <definedName name="_Dist_Bin" localSheetId="5" hidden="1">#REF!</definedName>
    <definedName name="_Dist_Bin" localSheetId="7" hidden="1">#REF!</definedName>
    <definedName name="_Dist_Bin" localSheetId="9" hidden="1">#REF!</definedName>
    <definedName name="_Dist_Bin" localSheetId="11" hidden="1">#REF!</definedName>
    <definedName name="_Dist_Bin" localSheetId="13" hidden="1">#REF!</definedName>
    <definedName name="_Dist_Bin" localSheetId="15" hidden="1">#REF!</definedName>
    <definedName name="_Dist_Bin" localSheetId="17" hidden="1">#REF!</definedName>
    <definedName name="_Dist_Bin" hidden="1">#REF!</definedName>
    <definedName name="_Dist_Values" localSheetId="19" hidden="1">#REF!</definedName>
    <definedName name="_Dist_Values" localSheetId="21" hidden="1">#REF!</definedName>
    <definedName name="_Dist_Values" localSheetId="23" hidden="1">#REF!</definedName>
    <definedName name="_Dist_Values" localSheetId="3" hidden="1">#REF!</definedName>
    <definedName name="_Dist_Values" localSheetId="5" hidden="1">#REF!</definedName>
    <definedName name="_Dist_Values" localSheetId="7" hidden="1">#REF!</definedName>
    <definedName name="_Dist_Values" localSheetId="9" hidden="1">#REF!</definedName>
    <definedName name="_Dist_Values" localSheetId="11" hidden="1">#REF!</definedName>
    <definedName name="_Dist_Values" localSheetId="13" hidden="1">#REF!</definedName>
    <definedName name="_Dist_Values" localSheetId="15" hidden="1">#REF!</definedName>
    <definedName name="_Dist_Values" localSheetId="17" hidden="1">#REF!</definedName>
    <definedName name="_Dist_Values" hidden="1">#REF!</definedName>
    <definedName name="_dns2" hidden="1">{#N/A,#N/A,FALSE,"운반시간"}</definedName>
    <definedName name="_DOG1">#REF!</definedName>
    <definedName name="_DOG2">#REF!</definedName>
    <definedName name="_DOG22">#REF!</definedName>
    <definedName name="_DOG3">#REF!</definedName>
    <definedName name="_DOG33">#REF!</definedName>
    <definedName name="_DOG4">#REF!</definedName>
    <definedName name="_E01">#REF!</definedName>
    <definedName name="_ELL1">#REF!</definedName>
    <definedName name="_ELL2">#REF!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 localSheetId="28">BlankMacro1</definedName>
    <definedName name="_f1" localSheetId="24">BlankMacro1</definedName>
    <definedName name="_f1" localSheetId="26">BlankMacro1</definedName>
    <definedName name="_f1" localSheetId="27">BlankMacro1</definedName>
    <definedName name="_f1">BlankMacro1</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ill" localSheetId="19" hidden="1">#REF!</definedName>
    <definedName name="_Fill" localSheetId="21" hidden="1">#REF!</definedName>
    <definedName name="_Fill" localSheetId="23" hidden="1">#REF!</definedName>
    <definedName name="_Fill" localSheetId="3" hidden="1">#REF!</definedName>
    <definedName name="_Fill" localSheetId="5" hidden="1">#REF!</definedName>
    <definedName name="_Fill" localSheetId="7" hidden="1">#REF!</definedName>
    <definedName name="_Fill" localSheetId="9" hidden="1">#REF!</definedName>
    <definedName name="_Fill" localSheetId="11" hidden="1">#REF!</definedName>
    <definedName name="_Fill" localSheetId="13" hidden="1">#REF!</definedName>
    <definedName name="_Fill" localSheetId="15" hidden="1">#REF!</definedName>
    <definedName name="_Fill" localSheetId="17" hidden="1">#REF!</definedName>
    <definedName name="_Fill" hidden="1">#REF!</definedName>
    <definedName name="_xlnm._FilterDatabase" localSheetId="19" hidden="1">#REF!</definedName>
    <definedName name="_xlnm._FilterDatabase" localSheetId="21" hidden="1">#REF!</definedName>
    <definedName name="_xlnm._FilterDatabase" localSheetId="23" hidden="1">#REF!</definedName>
    <definedName name="_xlnm._FilterDatabase" localSheetId="3" hidden="1">#REF!</definedName>
    <definedName name="_xlnm._FilterDatabase" localSheetId="5" hidden="1">#REF!</definedName>
    <definedName name="_xlnm._FilterDatabase" localSheetId="7" hidden="1">#REF!</definedName>
    <definedName name="_xlnm._FilterDatabase" localSheetId="9" hidden="1">#REF!</definedName>
    <definedName name="_xlnm._FilterDatabase" localSheetId="11" hidden="1">#REF!</definedName>
    <definedName name="_xlnm._FilterDatabase" localSheetId="13" hidden="1">#REF!</definedName>
    <definedName name="_xlnm._FilterDatabase" localSheetId="15" hidden="1">#REF!</definedName>
    <definedName name="_xlnm._FilterDatabase" localSheetId="17" hidden="1">#REF!</definedName>
    <definedName name="_xlnm._FilterDatabase" localSheetId="0" hidden="1">#REF!</definedName>
    <definedName name="_xlnm._FilterDatabase" localSheetId="6" hidden="1">내역!$A$2:$BJ$422</definedName>
    <definedName name="_xlnm._FilterDatabase" localSheetId="22" hidden="1">노임!$A$2:$E$28</definedName>
    <definedName name="_xlnm._FilterDatabase" localSheetId="29" hidden="1">세부산출서!$A$2:$K$337</definedName>
    <definedName name="_xlnm._FilterDatabase" localSheetId="28" hidden="1">'수량(구매품)'!$A$2:$G$50</definedName>
    <definedName name="_xlnm._FilterDatabase" localSheetId="24" hidden="1">'수량(구조보강)'!$A$2:$G$18</definedName>
    <definedName name="_xlnm._FilterDatabase" localSheetId="26" hidden="1">'수량(내부1층)'!$A$2:$G$194</definedName>
    <definedName name="_xlnm._FilterDatabase" localSheetId="27" hidden="1">'수량(내부2층)'!$A$2:$G$176</definedName>
    <definedName name="_xlnm._FilterDatabase" localSheetId="25" hidden="1">'수량(외부)'!$A$2:$G$78</definedName>
    <definedName name="_xlnm._FilterDatabase" localSheetId="2" hidden="1">#REF!</definedName>
    <definedName name="_xlnm._FilterDatabase" localSheetId="8" hidden="1">일위목록!$A$2:$I$157</definedName>
    <definedName name="_xlnm._FilterDatabase" localSheetId="20" hidden="1">자재조서!$A$2:$Q$160</definedName>
    <definedName name="_xlnm._FilterDatabase" localSheetId="12" hidden="1">중기목록!$A$2:$I$8</definedName>
    <definedName name="_xlnm._FilterDatabase" localSheetId="10" hidden="1">호표!$A$2:$BI$913</definedName>
    <definedName name="_xlnm._FilterDatabase"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3">#REF!</definedName>
    <definedName name="_Fld14">#REF!</definedName>
    <definedName name="_Fld15">#REF!</definedName>
    <definedName name="_Fld16">#REF!</definedName>
    <definedName name="_Fld18">#REF!</definedName>
    <definedName name="_Fld19">#REF!</definedName>
    <definedName name="_Fld20">#REF!</definedName>
    <definedName name="_Fu1">#REF!</definedName>
    <definedName name="_Fu2">#REF!</definedName>
    <definedName name="_G01">#REF!</definedName>
    <definedName name="_G02">#REF!</definedName>
    <definedName name="_G03">#REF!</definedName>
    <definedName name="_G04">#REF!</definedName>
    <definedName name="_G07">#REF!</definedName>
    <definedName name="_G08">#REF!</definedName>
    <definedName name="_G09">#REF!</definedName>
    <definedName name="_G1">#REF!</definedName>
    <definedName name="_g10">#REF!</definedName>
    <definedName name="_G11">#REF!</definedName>
    <definedName name="_G12">#REF!</definedName>
    <definedName name="_G13">#REF!</definedName>
    <definedName name="_G2">#REF!</definedName>
    <definedName name="_G3">#REF!</definedName>
    <definedName name="_G4">#REF!</definedName>
    <definedName name="_G5">#REF!</definedName>
    <definedName name="_G6">#REF!</definedName>
    <definedName name="_G65540">#REF!</definedName>
    <definedName name="_G66535">#REF!</definedName>
    <definedName name="_G66540">#REF!</definedName>
    <definedName name="_GHH1">#REF!</definedName>
    <definedName name="_GHH2">#REF!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4">#REF!</definedName>
    <definedName name="_H5">#REF!</definedName>
    <definedName name="_H6">#REF!</definedName>
    <definedName name="_Hg1">#REF!</definedName>
    <definedName name="_Hg2">#REF!</definedName>
    <definedName name="_HPP1">#REF!</definedName>
    <definedName name="_HSH1">#REF!</definedName>
    <definedName name="_HSH2">#REF!</definedName>
    <definedName name="_Hw1">#REF!</definedName>
    <definedName name="_Hw2">#REF!</definedName>
    <definedName name="_Hw3">#REF!</definedName>
    <definedName name="_Hw4">#REF!</definedName>
    <definedName name="_Hw5">#REF!</definedName>
    <definedName name="_Hw6">#REF!</definedName>
    <definedName name="_Hw7">#REF!</definedName>
    <definedName name="_Hw8">#REF!</definedName>
    <definedName name="_I01">#REF!</definedName>
    <definedName name="_i4">[0]!_i4</definedName>
    <definedName name="_IV65999">#REF!</definedName>
    <definedName name="_IV66000">#REF!</definedName>
    <definedName name="_IV69999">#REF!</definedName>
    <definedName name="_IV70000">#REF!</definedName>
    <definedName name="_IV99999">#REF!</definedName>
    <definedName name="_J01">#REF!</definedName>
    <definedName name="_JEA1">#REF!</definedName>
    <definedName name="_JEA2">#REF!</definedName>
    <definedName name="_JOI13">#REF!</definedName>
    <definedName name="_JS1">#REF!</definedName>
    <definedName name="_JS2">#REF!</definedName>
    <definedName name="_K">#N/A</definedName>
    <definedName name="_K01">#REF!</definedName>
    <definedName name="_K02">#REF!=#REF!</definedName>
    <definedName name="_Key1" localSheetId="19" hidden="1">#REF!</definedName>
    <definedName name="_Key1" localSheetId="21" hidden="1">#REF!</definedName>
    <definedName name="_Key1" localSheetId="23" hidden="1">#REF!</definedName>
    <definedName name="_Key1" localSheetId="3" hidden="1">#REF!</definedName>
    <definedName name="_Key1" localSheetId="5" hidden="1">#REF!</definedName>
    <definedName name="_Key1" localSheetId="7" hidden="1">#REF!</definedName>
    <definedName name="_Key1" localSheetId="9" hidden="1">#REF!</definedName>
    <definedName name="_Key1" localSheetId="11" hidden="1">#REF!</definedName>
    <definedName name="_Key1" localSheetId="13" hidden="1">#REF!</definedName>
    <definedName name="_Key1" localSheetId="15" hidden="1">#REF!</definedName>
    <definedName name="_Key1" localSheetId="17" hidden="1">#REF!</definedName>
    <definedName name="_Key1" localSheetId="0" hidden="1">#REF!</definedName>
    <definedName name="_Key1" hidden="1">#REF!</definedName>
    <definedName name="_Key2" localSheetId="19" hidden="1">#REF!</definedName>
    <definedName name="_Key2" localSheetId="21" hidden="1">#REF!</definedName>
    <definedName name="_Key2" localSheetId="23" hidden="1">#REF!</definedName>
    <definedName name="_Key2" localSheetId="3" hidden="1">#REF!</definedName>
    <definedName name="_Key2" localSheetId="5" hidden="1">#REF!</definedName>
    <definedName name="_Key2" localSheetId="7" hidden="1">#REF!</definedName>
    <definedName name="_Key2" localSheetId="9" hidden="1">#REF!</definedName>
    <definedName name="_Key2" localSheetId="11" hidden="1">#REF!</definedName>
    <definedName name="_Key2" localSheetId="13" hidden="1">#REF!</definedName>
    <definedName name="_Key2" localSheetId="15" hidden="1">#REF!</definedName>
    <definedName name="_Key2" localSheetId="17" hidden="1">#REF!</definedName>
    <definedName name="_Key2" localSheetId="0" hidden="1">#REF!</definedName>
    <definedName name="_Key2" hidden="1">#REF!</definedName>
    <definedName name="_Key3" hidden="1">#REF!</definedName>
    <definedName name="_kfkf" localSheetId="19" hidden="1">#REF!</definedName>
    <definedName name="_kfkf" localSheetId="21" hidden="1">#REF!</definedName>
    <definedName name="_kfkf" localSheetId="23" hidden="1">#REF!</definedName>
    <definedName name="_kfkf" localSheetId="3" hidden="1">#REF!</definedName>
    <definedName name="_kfkf" localSheetId="5" hidden="1">#REF!</definedName>
    <definedName name="_kfkf" localSheetId="7" hidden="1">#REF!</definedName>
    <definedName name="_kfkf" localSheetId="9" hidden="1">#REF!</definedName>
    <definedName name="_kfkf" localSheetId="11" hidden="1">#REF!</definedName>
    <definedName name="_kfkf" localSheetId="13" hidden="1">#REF!</definedName>
    <definedName name="_kfkf" localSheetId="15" hidden="1">#REF!</definedName>
    <definedName name="_kfkf" localSheetId="17" hidden="1">#REF!</definedName>
    <definedName name="_kfkf" localSheetId="0" hidden="1">#REF!</definedName>
    <definedName name="_kfkf" hidden="1">#REF!</definedName>
    <definedName name="_KKK2175">#REF!</definedName>
    <definedName name="_L01">#REF!</definedName>
    <definedName name="_L02">#REF!</definedName>
    <definedName name="_L03">#REF!</definedName>
    <definedName name="_l06">#REF!</definedName>
    <definedName name="_l07">#REF!</definedName>
    <definedName name="_L08">#REF!</definedName>
    <definedName name="_L09">#REF!</definedName>
    <definedName name="_Lg1">#REF!</definedName>
    <definedName name="_Lg2">#REF!</definedName>
    <definedName name="_LP1">#REF!</definedName>
    <definedName name="_LP2">#REF!</definedName>
    <definedName name="_LS1">#REF!</definedName>
    <definedName name="_LS2">#REF!</definedName>
    <definedName name="_LS3">#REF!</definedName>
    <definedName name="_LS4">#REF!</definedName>
    <definedName name="_Lw1">#REF!</definedName>
    <definedName name="_Lw2">#REF!</definedName>
    <definedName name="_M01">#REF!</definedName>
    <definedName name="_M02">#REF!</definedName>
    <definedName name="_M03">#REF!</definedName>
    <definedName name="_M04">#REF!</definedName>
    <definedName name="_MaL1">#REF!</definedName>
    <definedName name="_MaL2">#REF!</definedName>
    <definedName name="_NMB96">#REF!</definedName>
    <definedName name="_No3">#REF!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nt3">#REF!</definedName>
    <definedName name="_nt4">#REF!</definedName>
    <definedName name="_O01">#REF!</definedName>
    <definedName name="_O02">#REF!</definedName>
    <definedName name="_O03">#REF!=#REF!</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rder1" hidden="1">255</definedName>
    <definedName name="_Order2" hidden="1">255</definedName>
    <definedName name="_p01">#REF!</definedName>
    <definedName name="_P1">#REF!</definedName>
    <definedName name="_pa1">#REF!</definedName>
    <definedName name="_pa2">#REF!</definedName>
    <definedName name="_Parse_In" hidden="1">#REF!</definedName>
    <definedName name="_Parse_Out" hidden="1">#REF!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I48">#REF!</definedName>
    <definedName name="_PI60">#REF!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RN2">#REF!</definedName>
    <definedName name="_PRN3">#REF!</definedName>
    <definedName name="_PRN4">#REF!</definedName>
    <definedName name="_PRN6">#REF!</definedName>
    <definedName name="_PRN7">#REF!</definedName>
    <definedName name="_q01">#REF!</definedName>
    <definedName name="_q45" hidden="1">{"'용역비'!$A$4:$C$8"}</definedName>
    <definedName name="_R69496">#REF!</definedName>
    <definedName name="_R70000">#REF!</definedName>
    <definedName name="_R80000">#REF!</definedName>
    <definedName name="_R90000">#REF!</definedName>
    <definedName name="_R99000">#REF!</definedName>
    <definedName name="_RD1">#REF!</definedName>
    <definedName name="_RD2">#REF!</definedName>
    <definedName name="_RD3">#REF!</definedName>
    <definedName name="_RD4">#REF!</definedName>
    <definedName name="_Regression_Int" hidden="1">1</definedName>
    <definedName name="_Regression_Out" localSheetId="19" hidden="1">#REF!</definedName>
    <definedName name="_Regression_Out" localSheetId="21" hidden="1">#REF!</definedName>
    <definedName name="_Regression_Out" localSheetId="23" hidden="1">#REF!</definedName>
    <definedName name="_Regression_Out" localSheetId="3" hidden="1">#REF!</definedName>
    <definedName name="_Regression_Out" localSheetId="5" hidden="1">#REF!</definedName>
    <definedName name="_Regression_Out" localSheetId="7" hidden="1">#REF!</definedName>
    <definedName name="_Regression_Out" localSheetId="9" hidden="1">#REF!</definedName>
    <definedName name="_Regression_Out" localSheetId="11" hidden="1">#REF!</definedName>
    <definedName name="_Regression_Out" localSheetId="13" hidden="1">#REF!</definedName>
    <definedName name="_Regression_Out" localSheetId="15" hidden="1">#REF!</definedName>
    <definedName name="_Regression_Out" localSheetId="17" hidden="1">#REF!</definedName>
    <definedName name="_Regression_Out" localSheetId="0" hidden="1">#REF!</definedName>
    <definedName name="_Regression_Out" hidden="1">#REF!</definedName>
    <definedName name="_Regression_X" localSheetId="19" hidden="1">#REF!</definedName>
    <definedName name="_Regression_X" localSheetId="21" hidden="1">#REF!</definedName>
    <definedName name="_Regression_X" localSheetId="23" hidden="1">#REF!</definedName>
    <definedName name="_Regression_X" localSheetId="3" hidden="1">#REF!</definedName>
    <definedName name="_Regression_X" localSheetId="5" hidden="1">#REF!</definedName>
    <definedName name="_Regression_X" localSheetId="7" hidden="1">#REF!</definedName>
    <definedName name="_Regression_X" localSheetId="9" hidden="1">#REF!</definedName>
    <definedName name="_Regression_X" localSheetId="11" hidden="1">#REF!</definedName>
    <definedName name="_Regression_X" localSheetId="13" hidden="1">#REF!</definedName>
    <definedName name="_Regression_X" localSheetId="15" hidden="1">#REF!</definedName>
    <definedName name="_Regression_X" localSheetId="17" hidden="1">#REF!</definedName>
    <definedName name="_Regression_X" localSheetId="0" hidden="1">#REF!</definedName>
    <definedName name="_Regression_X" hidden="1">#REF!</definedName>
    <definedName name="_Regression_Y" localSheetId="19" hidden="1">#REF!</definedName>
    <definedName name="_Regression_Y" localSheetId="21" hidden="1">#REF!</definedName>
    <definedName name="_Regression_Y" localSheetId="23" hidden="1">#REF!</definedName>
    <definedName name="_Regression_Y" localSheetId="3" hidden="1">#REF!</definedName>
    <definedName name="_Regression_Y" localSheetId="5" hidden="1">#REF!</definedName>
    <definedName name="_Regression_Y" localSheetId="7" hidden="1">#REF!</definedName>
    <definedName name="_Regression_Y" localSheetId="9" hidden="1">#REF!</definedName>
    <definedName name="_Regression_Y" localSheetId="11" hidden="1">#REF!</definedName>
    <definedName name="_Regression_Y" localSheetId="13" hidden="1">#REF!</definedName>
    <definedName name="_Regression_Y" localSheetId="15" hidden="1">#REF!</definedName>
    <definedName name="_Regression_Y" localSheetId="17" hidden="1">#REF!</definedName>
    <definedName name="_Regression_Y" localSheetId="0" hidden="1">#REF!</definedName>
    <definedName name="_Regression_Y" hidden="1">#REF!</definedName>
    <definedName name="_RL1">#REF!</definedName>
    <definedName name="_RL2">#REF!</definedName>
    <definedName name="_RL3">#REF!</definedName>
    <definedName name="_RL4">#REF!</definedName>
    <definedName name="_RO110">#REF!</definedName>
    <definedName name="_RO22">#REF!</definedName>
    <definedName name="_RO35">#REF!</definedName>
    <definedName name="_RO45">#REF!</definedName>
    <definedName name="_RO60">#REF!</definedName>
    <definedName name="_RO80">#REF!</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H1">#REF!</definedName>
    <definedName name="_sh2">#REF!</definedName>
    <definedName name="_SH3">#REF!</definedName>
    <definedName name="_SHH1">#REF!</definedName>
    <definedName name="_SHH2">#REF!</definedName>
    <definedName name="_SHH3">#REF!</definedName>
    <definedName name="_SIN1">#REF!</definedName>
    <definedName name="_SOR" localSheetId="19" hidden="1">#REF!</definedName>
    <definedName name="_SOR" localSheetId="21" hidden="1">#REF!</definedName>
    <definedName name="_SOR" localSheetId="23" hidden="1">#REF!</definedName>
    <definedName name="_SOR" localSheetId="3" hidden="1">#REF!</definedName>
    <definedName name="_SOR" localSheetId="5" hidden="1">#REF!</definedName>
    <definedName name="_SOR" localSheetId="7" hidden="1">#REF!</definedName>
    <definedName name="_SOR" localSheetId="9" hidden="1">#REF!</definedName>
    <definedName name="_SOR" localSheetId="11" hidden="1">#REF!</definedName>
    <definedName name="_SOR" localSheetId="13" hidden="1">#REF!</definedName>
    <definedName name="_SOR" localSheetId="15" hidden="1">#REF!</definedName>
    <definedName name="_SOR" localSheetId="17" hidden="1">#REF!</definedName>
    <definedName name="_SOR" hidden="1">#REF!</definedName>
    <definedName name="_Sort" localSheetId="19" hidden="1">#REF!</definedName>
    <definedName name="_Sort" localSheetId="21" hidden="1">#REF!</definedName>
    <definedName name="_Sort" localSheetId="23" hidden="1">#REF!</definedName>
    <definedName name="_Sort" localSheetId="3" hidden="1">#REF!</definedName>
    <definedName name="_Sort" localSheetId="5" hidden="1">#REF!</definedName>
    <definedName name="_Sort" localSheetId="7" hidden="1">#REF!</definedName>
    <definedName name="_Sort" localSheetId="9" hidden="1">#REF!</definedName>
    <definedName name="_Sort" localSheetId="11" hidden="1">#REF!</definedName>
    <definedName name="_Sort" localSheetId="13" hidden="1">#REF!</definedName>
    <definedName name="_Sort" localSheetId="15" hidden="1">#REF!</definedName>
    <definedName name="_Sort" localSheetId="17" hidden="1">#REF!</definedName>
    <definedName name="_Sort" hidden="1">#REF!</definedName>
    <definedName name="_SORT1" localSheetId="19" hidden="1">#REF!</definedName>
    <definedName name="_SORT1" localSheetId="21" hidden="1">#REF!</definedName>
    <definedName name="_SORT1" localSheetId="23" hidden="1">#REF!</definedName>
    <definedName name="_SORT1" localSheetId="3" hidden="1">#REF!</definedName>
    <definedName name="_SORT1" localSheetId="5" hidden="1">#REF!</definedName>
    <definedName name="_SORT1" localSheetId="7" hidden="1">#REF!</definedName>
    <definedName name="_SORT1" localSheetId="9" hidden="1">#REF!</definedName>
    <definedName name="_SORT1" localSheetId="11" hidden="1">#REF!</definedName>
    <definedName name="_SORT1" localSheetId="13" hidden="1">#REF!</definedName>
    <definedName name="_SORT1" localSheetId="15" hidden="1">#REF!</definedName>
    <definedName name="_SORT1" localSheetId="17" hidden="1">#REF!</definedName>
    <definedName name="_SORT1" hidden="1">#REF!</definedName>
    <definedName name="_Sort2" localSheetId="19" hidden="1">#REF!</definedName>
    <definedName name="_Sort2" localSheetId="21" hidden="1">#REF!</definedName>
    <definedName name="_Sort2" localSheetId="23" hidden="1">#REF!</definedName>
    <definedName name="_Sort2" localSheetId="3" hidden="1">#REF!</definedName>
    <definedName name="_Sort2" localSheetId="5" hidden="1">#REF!</definedName>
    <definedName name="_Sort2" localSheetId="7" hidden="1">#REF!</definedName>
    <definedName name="_Sort2" localSheetId="9" hidden="1">#REF!</definedName>
    <definedName name="_Sort2" localSheetId="11" hidden="1">#REF!</definedName>
    <definedName name="_Sort2" localSheetId="13" hidden="1">#REF!</definedName>
    <definedName name="_Sort2" localSheetId="15" hidden="1">#REF!</definedName>
    <definedName name="_Sort2" localSheetId="17" hidden="1">#REF!</definedName>
    <definedName name="_Sort2" hidden="1">#REF!</definedName>
    <definedName name="_sp1">#REF!</definedName>
    <definedName name="_sp2">#REF!</definedName>
    <definedName name="_sp3">#REF!</definedName>
    <definedName name="_SS1">#REF!</definedName>
    <definedName name="_SS2">#REF!</definedName>
    <definedName name="_ST1">#N/A</definedName>
    <definedName name="_t3">#REF!</definedName>
    <definedName name="_T4">#REF!</definedName>
    <definedName name="_t5">#REF!</definedName>
    <definedName name="_Table1_In1" hidden="1">#REF!</definedName>
    <definedName name="_Table1_Out" hidden="1">#REF!</definedName>
    <definedName name="_TC1">#REF!</definedName>
    <definedName name="_TC2">#REF!</definedName>
    <definedName name="_Ted1">#REF!</definedName>
    <definedName name="_TON1">#REF!</definedName>
    <definedName name="_TON2">#REF!</definedName>
    <definedName name="_Ts1">#REF!</definedName>
    <definedName name="_Tu1">#REF!</definedName>
    <definedName name="_Tu2">#REF!</definedName>
    <definedName name="_TW1">#REF!</definedName>
    <definedName name="_TW2">#REF!</definedName>
    <definedName name="_Ty1">#REF!</definedName>
    <definedName name="_Ty2">#REF!</definedName>
    <definedName name="_UH1">#REF!</definedName>
    <definedName name="_W1">#REF!</definedName>
    <definedName name="_W2">#REF!</definedName>
    <definedName name="_W3">#REF!</definedName>
    <definedName name="_W4">#REF!</definedName>
    <definedName name="_W5">#REF!</definedName>
    <definedName name="_W6">#REF!</definedName>
    <definedName name="_WC1">#REF!</definedName>
    <definedName name="_wo1">#REF!</definedName>
    <definedName name="_woogi" localSheetId="19" hidden="1">#REF!</definedName>
    <definedName name="_woogi" localSheetId="21" hidden="1">#REF!</definedName>
    <definedName name="_woogi" localSheetId="23" hidden="1">#REF!</definedName>
    <definedName name="_woogi" localSheetId="3" hidden="1">#REF!</definedName>
    <definedName name="_woogi" localSheetId="5" hidden="1">#REF!</definedName>
    <definedName name="_woogi" localSheetId="7" hidden="1">#REF!</definedName>
    <definedName name="_woogi" localSheetId="9" hidden="1">#REF!</definedName>
    <definedName name="_woogi" localSheetId="11" hidden="1">#REF!</definedName>
    <definedName name="_woogi" localSheetId="13" hidden="1">#REF!</definedName>
    <definedName name="_woogi" localSheetId="15" hidden="1">#REF!</definedName>
    <definedName name="_woogi" localSheetId="17" hidden="1">#REF!</definedName>
    <definedName name="_woogi" localSheetId="0" hidden="1">#REF!</definedName>
    <definedName name="_woogi" hidden="1">#REF!</definedName>
    <definedName name="_woogi2" localSheetId="19" hidden="1">#REF!</definedName>
    <definedName name="_woogi2" localSheetId="21" hidden="1">#REF!</definedName>
    <definedName name="_woogi2" localSheetId="23" hidden="1">#REF!</definedName>
    <definedName name="_woogi2" localSheetId="3" hidden="1">#REF!</definedName>
    <definedName name="_woogi2" localSheetId="5" hidden="1">#REF!</definedName>
    <definedName name="_woogi2" localSheetId="7" hidden="1">#REF!</definedName>
    <definedName name="_woogi2" localSheetId="9" hidden="1">#REF!</definedName>
    <definedName name="_woogi2" localSheetId="11" hidden="1">#REF!</definedName>
    <definedName name="_woogi2" localSheetId="13" hidden="1">#REF!</definedName>
    <definedName name="_woogi2" localSheetId="15" hidden="1">#REF!</definedName>
    <definedName name="_woogi2" localSheetId="17" hidden="1">#REF!</definedName>
    <definedName name="_woogi2" localSheetId="0" hidden="1">#REF!</definedName>
    <definedName name="_woogi2" hidden="1">#REF!</definedName>
    <definedName name="_woogi24" localSheetId="19" hidden="1">#REF!</definedName>
    <definedName name="_woogi24" localSheetId="21" hidden="1">#REF!</definedName>
    <definedName name="_woogi24" localSheetId="23" hidden="1">#REF!</definedName>
    <definedName name="_woogi24" localSheetId="3" hidden="1">#REF!</definedName>
    <definedName name="_woogi24" localSheetId="5" hidden="1">#REF!</definedName>
    <definedName name="_woogi24" localSheetId="7" hidden="1">#REF!</definedName>
    <definedName name="_woogi24" localSheetId="9" hidden="1">#REF!</definedName>
    <definedName name="_woogi24" localSheetId="11" hidden="1">#REF!</definedName>
    <definedName name="_woogi24" localSheetId="13" hidden="1">#REF!</definedName>
    <definedName name="_woogi24" localSheetId="15" hidden="1">#REF!</definedName>
    <definedName name="_woogi24" localSheetId="17" hidden="1">#REF!</definedName>
    <definedName name="_woogi24" localSheetId="0" hidden="1">#REF!</definedName>
    <definedName name="_woogi24" hidden="1">#REF!</definedName>
    <definedName name="_woogi3" localSheetId="19" hidden="1">#REF!</definedName>
    <definedName name="_woogi3" localSheetId="21" hidden="1">#REF!</definedName>
    <definedName name="_woogi3" localSheetId="23" hidden="1">#REF!</definedName>
    <definedName name="_woogi3" localSheetId="3" hidden="1">#REF!</definedName>
    <definedName name="_woogi3" localSheetId="5" hidden="1">#REF!</definedName>
    <definedName name="_woogi3" localSheetId="7" hidden="1">#REF!</definedName>
    <definedName name="_woogi3" localSheetId="9" hidden="1">#REF!</definedName>
    <definedName name="_woogi3" localSheetId="11" hidden="1">#REF!</definedName>
    <definedName name="_woogi3" localSheetId="13" hidden="1">#REF!</definedName>
    <definedName name="_woogi3" localSheetId="15" hidden="1">#REF!</definedName>
    <definedName name="_woogi3" localSheetId="17" hidden="1">#REF!</definedName>
    <definedName name="_woogi3" hidden="1">#REF!</definedName>
    <definedName name="_WW2">#REF!</definedName>
    <definedName name="_WW3">#REF!</definedName>
    <definedName name="_WW6">#REF!</definedName>
    <definedName name="_WW7">#REF!</definedName>
    <definedName name="_WW8">#REF!</definedName>
    <definedName name="_XS1">#REF!</definedName>
    <definedName name="_XS2">#REF!</definedName>
    <definedName name="_XX6">#REF!</definedName>
    <definedName name="_XX7">#REF!</definedName>
    <definedName name="_YO1">#REF!</definedName>
    <definedName name="_zz1">#REF!</definedName>
    <definedName name="_Zz10137">#REF!</definedName>
    <definedName name="_건축목공">#REF!</definedName>
    <definedName name="_경비율1">#REF!</definedName>
    <definedName name="_고급기능사">#REF!</definedName>
    <definedName name="_고급기술자">#REF!</definedName>
    <definedName name="_과업명">#REF!</definedName>
    <definedName name="_교량개소">#REF!</definedName>
    <definedName name="_교차로개소">#REF!</definedName>
    <definedName name="_구조물">#REF!</definedName>
    <definedName name="_구조물측량연장">#REF!</definedName>
    <definedName name="_기술사">#REF!</definedName>
    <definedName name="_목도">#REF!</definedName>
    <definedName name="_보링공">#REF!</definedName>
    <definedName name="_보통인부">#REF!</definedName>
    <definedName name="_석공">#REF!</definedName>
    <definedName name="_수준점개소">#REF!</definedName>
    <definedName name="_시험보조수">#REF!</definedName>
    <definedName name="_시험사1급">#REF!</definedName>
    <definedName name="_시험사2급">#REF!</definedName>
    <definedName name="_유역면적">#REF!</definedName>
    <definedName name="_재ㅐ햐" localSheetId="19" hidden="1">#REF!</definedName>
    <definedName name="_재ㅐ햐" localSheetId="21" hidden="1">#REF!</definedName>
    <definedName name="_재ㅐ햐" localSheetId="23" hidden="1">#REF!</definedName>
    <definedName name="_재ㅐ햐" localSheetId="3" hidden="1">#REF!</definedName>
    <definedName name="_재ㅐ햐" localSheetId="5" hidden="1">#REF!</definedName>
    <definedName name="_재ㅐ햐" localSheetId="7" hidden="1">#REF!</definedName>
    <definedName name="_재ㅐ햐" localSheetId="9" hidden="1">#REF!</definedName>
    <definedName name="_재ㅐ햐" localSheetId="11" hidden="1">#REF!</definedName>
    <definedName name="_재ㅐ햐" localSheetId="13" hidden="1">#REF!</definedName>
    <definedName name="_재ㅐ햐" localSheetId="15" hidden="1">#REF!</definedName>
    <definedName name="_재ㅐ햐" localSheetId="17" hidden="1">#REF!</definedName>
    <definedName name="_재ㅐ햐" hidden="1">#REF!</definedName>
    <definedName name="_제내지">#REF!</definedName>
    <definedName name="_제도사">#REF!</definedName>
    <definedName name="_중급기능사">#REF!</definedName>
    <definedName name="_중급기술자">#REF!</definedName>
    <definedName name="_초급기능사">#REF!</definedName>
    <definedName name="_초급기술자">#REF!</definedName>
    <definedName name="_측량고급기능사">#REF!</definedName>
    <definedName name="_측량고급기술자">#REF!</definedName>
    <definedName name="_측량중급기능사">#REF!</definedName>
    <definedName name="_측량중급기술자">#REF!</definedName>
    <definedName name="_측량초급기능사">#REF!</definedName>
    <definedName name="_측량초급기술자">#REF!</definedName>
    <definedName name="_측량특급기술자">#REF!</definedName>
    <definedName name="_측부">#REF!</definedName>
    <definedName name="_특급기술자">#REF!</definedName>
    <definedName name="_특별인부">#REF!</definedName>
    <definedName name="_폭원">#REF!</definedName>
    <definedName name="_표석개수">#REF!</definedName>
    <definedName name="_하천개소">#REF!</definedName>
    <definedName name="_하천길이">#REF!</definedName>
    <definedName name="_하천길이1">#REF!</definedName>
    <definedName name="_하천연장">#REF!</definedName>
    <definedName name="_하천폭">#REF!</definedName>
    <definedName name="_형틀목공">#REF!</definedName>
    <definedName name="_횡단간격">#REF!</definedName>
    <definedName name="¤C315">#REF!</definedName>
    <definedName name="¤Ç315">#REF!</definedName>
    <definedName name="\">#REF!</definedName>
    <definedName name="\\O">#REF!</definedName>
    <definedName name="\0">#REF!</definedName>
    <definedName name="\1">#REF!</definedName>
    <definedName name="\2">#REF!</definedName>
    <definedName name="\3">#REF!</definedName>
    <definedName name="\a">#REF!</definedName>
    <definedName name="\A1A">#N/A</definedName>
    <definedName name="\b">#N/A</definedName>
    <definedName name="\c">#N/A</definedName>
    <definedName name="\d">#N/A</definedName>
    <definedName name="\DD">#N/A</definedName>
    <definedName name="\dddddddd">#N/A</definedName>
    <definedName name="\ddddddddd">#N/A</definedName>
    <definedName name="\DE">#N/A</definedName>
    <definedName name="\DF">#N/A</definedName>
    <definedName name="\e">#N/A</definedName>
    <definedName name="\ER">#N/A</definedName>
    <definedName name="\f">#N/A</definedName>
    <definedName name="\g">#REF!</definedName>
    <definedName name="\GG">#REF!</definedName>
    <definedName name="\h">#REF!</definedName>
    <definedName name="\hhhhhhhhh">#N/A</definedName>
    <definedName name="\i">#N/A</definedName>
    <definedName name="\j">#REF!</definedName>
    <definedName name="\k">#N/A</definedName>
    <definedName name="\l">#REF!</definedName>
    <definedName name="\LARGE">#REF!</definedName>
    <definedName name="\m">#N/A</definedName>
    <definedName name="\MIDDLE">#REF!</definedName>
    <definedName name="\n">#N/A</definedName>
    <definedName name="\o">#REF!</definedName>
    <definedName name="\p">#N/A</definedName>
    <definedName name="\P1">#REF!</definedName>
    <definedName name="\q">#N/A</definedName>
    <definedName name="\r">#REF!</definedName>
    <definedName name="\s">#REF!</definedName>
    <definedName name="\SMALL">#REF!</definedName>
    <definedName name="\t">#N/A</definedName>
    <definedName name="\u">#REF!</definedName>
    <definedName name="\v">#REF!</definedName>
    <definedName name="\w">#N/A</definedName>
    <definedName name="\x">#REF!</definedName>
    <definedName name="\y">#REF!</definedName>
    <definedName name="\z">#REF!</definedName>
    <definedName name="A">#REF!</definedName>
    <definedName name="A_">#REF!</definedName>
    <definedName name="A_1">#REF!</definedName>
    <definedName name="A0" localSheetId="2">#REF!</definedName>
    <definedName name="a0">#REF!</definedName>
    <definedName name="A1..A2_">#N/A</definedName>
    <definedName name="A1..A200_">#N/A</definedName>
    <definedName name="A1.1000">#REF!</definedName>
    <definedName name="A1_E">#REF!</definedName>
    <definedName name="A1000000000000000">#REF!</definedName>
    <definedName name="A12..A13_">#N/A</definedName>
    <definedName name="A315yoo1">#REF!</definedName>
    <definedName name="AA">#REF!</definedName>
    <definedName name="AAA">#REF!</definedName>
    <definedName name="aaaa">#REF!</definedName>
    <definedName name="aaaa_1" localSheetId="0" hidden="1">{#N/A,#N/A,FALSE,"조골재"}</definedName>
    <definedName name="aaaa_1" hidden="1">{#N/A,#N/A,FALSE,"조골재"}</definedName>
    <definedName name="aaaaa" localSheetId="0" hidden="1">{#N/A,#N/A,FALSE,"조골재"}</definedName>
    <definedName name="aaaaa" hidden="1">{#N/A,#N/A,FALSE,"조골재"}</definedName>
    <definedName name="aaaaa_1" localSheetId="0" hidden="1">{#N/A,#N/A,FALSE,"조골재"}</definedName>
    <definedName name="aaaaa_1" hidden="1">{#N/A,#N/A,FALSE,"조골재"}</definedName>
    <definedName name="aaaaaa" localSheetId="0" hidden="1">{#N/A,#N/A,FALSE,"속도"}</definedName>
    <definedName name="aaaaaa" hidden="1">{#N/A,#N/A,FALSE,"속도"}</definedName>
    <definedName name="AAAAAAAAA">#REF!</definedName>
    <definedName name="aaaaaaaaaa" localSheetId="0" hidden="1">{#N/A,#N/A,FALSE,"운반시간"}</definedName>
    <definedName name="aaaaaaaaaa" hidden="1">{#N/A,#N/A,FALSE,"운반시간"}</definedName>
    <definedName name="aaaaaaaaaa_1" localSheetId="0" hidden="1">{#N/A,#N/A,FALSE,"운반시간"}</definedName>
    <definedName name="aaaaaaaaaa_1" hidden="1">{#N/A,#N/A,FALSE,"운반시간"}</definedName>
    <definedName name="aaaaaaaaaaaaaaaaaaa">#REF!</definedName>
    <definedName name="AAADFFFFFFFFFFFD">#REF!</definedName>
    <definedName name="AAD">#REF!</definedName>
    <definedName name="ab">#REF!</definedName>
    <definedName name="ABC">#REF!</definedName>
    <definedName name="abcdefg">#REF!</definedName>
    <definedName name="abcdefgh">#REF!</definedName>
    <definedName name="ABS" hidden="1">{#N/A,#N/A,FALSE,"전력간선"}</definedName>
    <definedName name="ABUTH">#REF!</definedName>
    <definedName name="AC">#REF!</definedName>
    <definedName name="Access_Button" hidden="1">"물품목_2_제품테이블_List"</definedName>
    <definedName name="Access_Button1" hidden="1">"물품목_2_제품테이블_List"</definedName>
    <definedName name="Access_Button2" hidden="1">"물품목_2_제품테이블_List"</definedName>
    <definedName name="AccessDatabase" hidden="1">"D:\_genkou\excel97\sample\支店集計作業\本社合計2.mdb"</definedName>
    <definedName name="ACD">#REF!</definedName>
    <definedName name="ACDA" hidden="1">#REF!</definedName>
    <definedName name="ACX" hidden="1">#REF!</definedName>
    <definedName name="AD">#REF!</definedName>
    <definedName name="adad">#REF!</definedName>
    <definedName name="ADC" hidden="1">#REF!</definedName>
    <definedName name="AE">#REF!</definedName>
    <definedName name="AED">#REF!</definedName>
    <definedName name="aew">#REF!</definedName>
    <definedName name="AF">#REF!</definedName>
    <definedName name="afasd" hidden="1">{#N/A,#N/A,FALSE,"단가표지"}</definedName>
    <definedName name="afd" hidden="1">{#N/A,#N/A,FALSE,"운반시간"}</definedName>
    <definedName name="AFF">#REF!</definedName>
    <definedName name="AG">#REF!</definedName>
    <definedName name="AGD">#REF!</definedName>
    <definedName name="ahdi">#REF!</definedName>
    <definedName name="ahrwkvks">#REF!</definedName>
    <definedName name="AI">#REF!</definedName>
    <definedName name="AID">#REF!</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#REF!</definedName>
    <definedName name="AKD">#REF!</definedName>
    <definedName name="AKJFL">#REF!</definedName>
    <definedName name="alf">#REF!</definedName>
    <definedName name="Alkali">#REF!</definedName>
    <definedName name="ALKr">#REF!</definedName>
    <definedName name="ALKs">#REF!</definedName>
    <definedName name="ALL">#REF!</definedName>
    <definedName name="ALPA">#REF!</definedName>
    <definedName name="ALPHA">#REF!</definedName>
    <definedName name="alslsdkjfjs" hidden="1">#REF!</definedName>
    <definedName name="AM">#REF!</definedName>
    <definedName name="AMD">#REF!</definedName>
    <definedName name="AN">#REF!</definedName>
    <definedName name="an1_ea">#REF!</definedName>
    <definedName name="an21_e">#REF!</definedName>
    <definedName name="an21_ea">#REF!</definedName>
    <definedName name="an22_ea">#REF!</definedName>
    <definedName name="ANFRK2">#REF!</definedName>
    <definedName name="ANFRK3">#REF!</definedName>
    <definedName name="anfrkk">#REF!</definedName>
    <definedName name="ANG">#REF!</definedName>
    <definedName name="ANGLE1">#REF!</definedName>
    <definedName name="ANGLE21">#REF!</definedName>
    <definedName name="ANGLE22">#REF!</definedName>
    <definedName name="anscount" hidden="1">1</definedName>
    <definedName name="AO">#REF!</definedName>
    <definedName name="AOD">#REF!</definedName>
    <definedName name="APT">#REF!</definedName>
    <definedName name="AQ">#REF!</definedName>
    <definedName name="AQD">#REF!</definedName>
    <definedName name="ART">#REF!</definedName>
    <definedName name="as" hidden="1">#REF!</definedName>
    <definedName name="AS1.0">#REF!</definedName>
    <definedName name="AS1_">#REF!</definedName>
    <definedName name="AS12.5">#REF!</definedName>
    <definedName name="ASA">#REF!</definedName>
    <definedName name="asaasa">#REF!</definedName>
    <definedName name="ASAS" hidden="1">{#N/A,#N/A,FALSE,"DAOCM 2차 검토"}</definedName>
    <definedName name="asb">#REF!</definedName>
    <definedName name="ASC">#REF!</definedName>
    <definedName name="ASCO">#REF!</definedName>
    <definedName name="ASCON">#REF!</definedName>
    <definedName name="ASD" localSheetId="0" hidden="1">{#N/A,#N/A,FALSE,"P.C.B"}</definedName>
    <definedName name="ASD" hidden="1">{#N/A,#N/A,FALSE,"P.C.B"}</definedName>
    <definedName name="asdf">#REF!</definedName>
    <definedName name="asdfasdf">#N/A</definedName>
    <definedName name="ASDFASDKLFJ" hidden="1">{#N/A,#N/A,TRUE,"토적및재료집계";#N/A,#N/A,TRUE,"토적및재료집계";#N/A,#N/A,TRUE,"단위량"}</definedName>
    <definedName name="ASDFVBN">#REF!</definedName>
    <definedName name="asdrrrrrrrrrrrrrrrrrrrrrrr">#REF!</definedName>
    <definedName name="ASE">#REF!</definedName>
    <definedName name="ASF" localSheetId="0" hidden="1">{#N/A,#N/A,FALSE,"2~8번"}</definedName>
    <definedName name="ASF" hidden="1">{#N/A,#N/A,FALSE,"2~8번"}</definedName>
    <definedName name="asfas" hidden="1">{#N/A,#N/A,FALSE,"표지목차"}</definedName>
    <definedName name="ash">#REF!</definedName>
    <definedName name="ASL">#REF!</definedName>
    <definedName name="asm">#REF!</definedName>
    <definedName name="Asp">#REF!</definedName>
    <definedName name="ASP_깨기복구">#REF!</definedName>
    <definedName name="ASP_포장절단">#REF!</definedName>
    <definedName name="ASPO">#REF!</definedName>
    <definedName name="ASP두께">#REF!</definedName>
    <definedName name="ASS" localSheetId="0" hidden="1">{#N/A,#N/A,FALSE,"P.C.B"}</definedName>
    <definedName name="ASS" hidden="1">{#N/A,#N/A,FALSE,"P.C.B"}</definedName>
    <definedName name="AST">#REF!</definedName>
    <definedName name="atb">#REF!</definedName>
    <definedName name="ath">#REF!</definedName>
    <definedName name="atm">#REF!</definedName>
    <definedName name="atp">#REF!</definedName>
    <definedName name="ats">#REF!</definedName>
    <definedName name="AU">#REF!</definedName>
    <definedName name="AUAcºn">#REF!</definedName>
    <definedName name="AUD">#REF!</definedName>
    <definedName name="AV">#REF!</definedName>
    <definedName name="AVF">#REF!</definedName>
    <definedName name="AW">#REF!</definedName>
    <definedName name="AWD">#REF!</definedName>
    <definedName name="AWDR">#REF!</definedName>
    <definedName name="AWSXC">#REF!</definedName>
    <definedName name="AXCV">#REF!</definedName>
    <definedName name="azads" hidden="1">{"'5국공정'!$A$1:$E$128"}</definedName>
    <definedName name="A머캐중층10불량">#REF!</definedName>
    <definedName name="A머캐중층15불량">#REF!</definedName>
    <definedName name="A머캐중층20불량">#REF!</definedName>
    <definedName name="A머캐표층15불량">#REF!</definedName>
    <definedName name="A머캐표층5불량">#REF!</definedName>
    <definedName name="A머캐표층7불량">#REF!</definedName>
    <definedName name="A삼">#REF!</definedName>
    <definedName name="A이">#REF!</definedName>
    <definedName name="A일">#REF!</definedName>
    <definedName name="B">#REF!</definedName>
    <definedName name="B.1">#REF!</definedName>
    <definedName name="B.2">#REF!</definedName>
    <definedName name="B.3">#REF!</definedName>
    <definedName name="B.4">#REF!</definedName>
    <definedName name="B_">#REF!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WL">#REF!</definedName>
    <definedName name="B1WR">#REF!</definedName>
    <definedName name="B2A">#REF!</definedName>
    <definedName name="B2A1P">#REF!</definedName>
    <definedName name="b2a1t">#REF!</definedName>
    <definedName name="b2a2p">#REF!</definedName>
    <definedName name="b2a2t">#REF!</definedName>
    <definedName name="B2B">#REF!</definedName>
    <definedName name="B2WL">#REF!</definedName>
    <definedName name="B2WR">#REF!</definedName>
    <definedName name="B30A1P">#REF!</definedName>
    <definedName name="b30a1t">#REF!</definedName>
    <definedName name="b30a2p">#REF!</definedName>
    <definedName name="b30a2t">#REF!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5A">#REF!</definedName>
    <definedName name="B5A1P">#REF!</definedName>
    <definedName name="b5a1t">#REF!</definedName>
    <definedName name="b5a2p">#REF!</definedName>
    <definedName name="b5a2t">#REF!</definedName>
    <definedName name="B5B">#REF!</definedName>
    <definedName name="B6A">#REF!</definedName>
    <definedName name="B6A1P">#REF!</definedName>
    <definedName name="b6a1t">#REF!</definedName>
    <definedName name="b6a2p">#REF!</definedName>
    <definedName name="b6a2t">#REF!</definedName>
    <definedName name="B6B">#REF!</definedName>
    <definedName name="B7A">#REF!</definedName>
    <definedName name="B7A1P">#REF!</definedName>
    <definedName name="b7a1t">#REF!</definedName>
    <definedName name="b7a2p">#REF!</definedName>
    <definedName name="b7a2t">#REF!</definedName>
    <definedName name="B7B">#REF!</definedName>
    <definedName name="B8A">#REF!</definedName>
    <definedName name="B8A1P">#REF!</definedName>
    <definedName name="b8a1t">#REF!</definedName>
    <definedName name="b8a2p">#REF!</definedName>
    <definedName name="b8a2t">#REF!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#REF!</definedName>
    <definedName name="BASE_0">#REF!</definedName>
    <definedName name="BASE05">#REF!</definedName>
    <definedName name="BASE29">#REF!</definedName>
    <definedName name="BASE29_1">#REF!</definedName>
    <definedName name="BB" localSheetId="0" hidden="1">{#N/A,#N/A,FALSE,"P.C.B"}</definedName>
    <definedName name="BB" hidden="1">{#N/A,#N/A,FALSE,"P.C.B"}</definedName>
    <definedName name="BBB">#REF!</definedName>
    <definedName name="BBBB">#REF!</definedName>
    <definedName name="bbbbb">#REF!</definedName>
    <definedName name="Bbf">#REF!</definedName>
    <definedName name="BC">#REF!</definedName>
    <definedName name="BCB">#REF!</definedName>
    <definedName name="BCF">#REF!</definedName>
    <definedName name="Bcv">#REF!</definedName>
    <definedName name="BD">#REF!</definedName>
    <definedName name="BDCODE">#N/A</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D">#REF!</definedName>
    <definedName name="BETA">#REF!</definedName>
    <definedName name="BF">#REF!</definedName>
    <definedName name="BFH">#REF!</definedName>
    <definedName name="BG">#N/A</definedName>
    <definedName name="BH">#REF!</definedName>
    <definedName name="BHB">#REF!</definedName>
    <definedName name="BHS">#REF!</definedName>
    <definedName name="BHU">#REF!</definedName>
    <definedName name="BL">#N/A</definedName>
    <definedName name="BLO">#N/A</definedName>
    <definedName name="BLOCK">#REF!</definedName>
    <definedName name="BLT">#N/A</definedName>
    <definedName name="BM">#REF!</definedName>
    <definedName name="BMM">#REF!</definedName>
    <definedName name="BMO">#REF!</definedName>
    <definedName name="bn">#REF!</definedName>
    <definedName name="bnn" localSheetId="0" hidden="1">{#N/A,#N/A,FALSE,"조골재"}</definedName>
    <definedName name="bnn" hidden="1">{#N/A,#N/A,FALSE,"조골재"}</definedName>
    <definedName name="bns">#REF!</definedName>
    <definedName name="BOD">#REF!</definedName>
    <definedName name="BOLT">#REF!</definedName>
    <definedName name="BOM_OF_ECP">#REF!</definedName>
    <definedName name="book1">#REF!</definedName>
    <definedName name="BOOKANTIQUE">#REF!</definedName>
    <definedName name="box">#REF!</definedName>
    <definedName name="BOX형수로집계">#REF!</definedName>
    <definedName name="BR">#REF!</definedName>
    <definedName name="br_ea">#REF!</definedName>
    <definedName name="BRACING">#REF!</definedName>
    <definedName name="BS">#REF!</definedName>
    <definedName name="bs_chekjum">#REF!</definedName>
    <definedName name="bs_chekplus">#REF!</definedName>
    <definedName name="bs_chekwave">#REF!</definedName>
    <definedName name="BSD">#REF!</definedName>
    <definedName name="BSH">#REF!</definedName>
    <definedName name="BSS">#REF!</definedName>
    <definedName name="BST">#REF!</definedName>
    <definedName name="BSV">#REF!</definedName>
    <definedName name="BTA">#REF!</definedName>
    <definedName name="BTP">#REF!</definedName>
    <definedName name="Bu">#REF!</definedName>
    <definedName name="BUDGQTY">#REF!</definedName>
    <definedName name="BUF">#REF!</definedName>
    <definedName name="Bust">#REF!</definedName>
    <definedName name="BV">#REF!</definedName>
    <definedName name="BW">#REF!</definedName>
    <definedName name="BWC">#REF!</definedName>
    <definedName name="BWD">#REF!</definedName>
    <definedName name="B이">#REF!</definedName>
    <definedName name="B일">#REF!</definedName>
    <definedName name="B제로">#REF!</definedName>
    <definedName name="C_">#N/A</definedName>
    <definedName name="c_1">#REF!</definedName>
    <definedName name="c_1e">#REF!</definedName>
    <definedName name="c_2">#REF!</definedName>
    <definedName name="C_2E">#REF!</definedName>
    <definedName name="c_3">#REF!</definedName>
    <definedName name="c_33">#REF!</definedName>
    <definedName name="c_4">#REF!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ble">#REF!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#REF!</definedName>
    <definedName name="CALCD">#N/A</definedName>
    <definedName name="CALCE">#REF!</definedName>
    <definedName name="camberWork">#N/A</definedName>
    <definedName name="CAPA9798" localSheetId="0" hidden="1">{#N/A,#N/A,FALSE,"P.C.B"}</definedName>
    <definedName name="CAPA9798" hidden="1">{#N/A,#N/A,FALSE,"P.C.B"}</definedName>
    <definedName name="CATEGORY">#N/A</definedName>
    <definedName name="CB">#REF!</definedName>
    <definedName name="CC">#N/A</definedName>
    <definedName name="CCC"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C">#REF!</definedName>
    <definedName name="cccc1">#N/A</definedName>
    <definedName name="ccdc">#REF!</definedName>
    <definedName name="CCTV" hidden="1">{#N/A,#N/A,FALSE,"전력간선"}</definedName>
    <definedName name="CD">#REF!</definedName>
    <definedName name="CDT">#REF!</definedName>
    <definedName name="CE">#REF!</definedName>
    <definedName name="CELL">#REF!</definedName>
    <definedName name="CF">#REF!</definedName>
    <definedName name="CG">[0]!CG</definedName>
    <definedName name="cgmh" hidden="1">{"'용역비'!$A$4:$C$8"}</definedName>
    <definedName name="CGP">#REF!</definedName>
    <definedName name="CH">#REF!</definedName>
    <definedName name="ch_e">#REF!</definedName>
    <definedName name="ch_ea">#REF!</definedName>
    <definedName name="CHANG" localSheetId="0" hidden="1">{#N/A,#N/A,FALSE,"P.C.B"}</definedName>
    <definedName name="CHANG" hidden="1">{#N/A,#N/A,FALSE,"P.C.B"}</definedName>
    <definedName name="CHANNEL">#REF!</definedName>
    <definedName name="CHO">#N/A</definedName>
    <definedName name="chobae">[0]!chobae</definedName>
    <definedName name="chobu">[0]!chobu</definedName>
    <definedName name="CHOBU1">[0]!CHOBU1</definedName>
    <definedName name="chobub">[0]!chobub</definedName>
    <definedName name="chogu">[0]!chogu</definedName>
    <definedName name="chopo">[0]!chopo</definedName>
    <definedName name="choto">[0]!choto</definedName>
    <definedName name="CHR">#REF!</definedName>
    <definedName name="CHS">#REF!</definedName>
    <definedName name="CI">#REF!</definedName>
    <definedName name="cj">#N/A</definedName>
    <definedName name="CJFZHS" localSheetId="28">BlankMacro1</definedName>
    <definedName name="CJFZHS" localSheetId="24">BlankMacro1</definedName>
    <definedName name="CJFZHS" localSheetId="26">BlankMacro1</definedName>
    <definedName name="CJFZHS" localSheetId="27">BlankMacro1</definedName>
    <definedName name="CJFZHS">BlankMacro1</definedName>
    <definedName name="cjlk">#REF!</definedName>
    <definedName name="ck">#REF!</definedName>
    <definedName name="CL">#REF!</definedName>
    <definedName name="cm">#REF!</definedName>
    <definedName name="CO">#REF!</definedName>
    <definedName name="CO0.6">#REF!</definedName>
    <definedName name="CO1.0">#REF!</definedName>
    <definedName name="CO20.0">#REF!</definedName>
    <definedName name="COD">#REF!</definedName>
    <definedName name="CODcr">#REF!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UMN_A">#REF!</definedName>
    <definedName name="COMPANY">#N/A</definedName>
    <definedName name="CON">#REF!</definedName>
    <definedName name="CONC">#N/A</definedName>
    <definedName name="CONSOL">#REF!</definedName>
    <definedName name="Continue">#REF!</definedName>
    <definedName name="COPING_W">#REF!</definedName>
    <definedName name="COPY990">#REF!</definedName>
    <definedName name="costr">#REF!</definedName>
    <definedName name="COVER">#REF!</definedName>
    <definedName name="CPU시험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R">#REF!</definedName>
    <definedName name="_xlnm.Criteria" localSheetId="19">#REF!</definedName>
    <definedName name="_xlnm.Criteria" localSheetId="21">#REF!</definedName>
    <definedName name="_xlnm.Criteria" localSheetId="23">#REF!</definedName>
    <definedName name="_xlnm.Criteria" localSheetId="3">#REF!</definedName>
    <definedName name="_xlnm.Criteria" localSheetId="5">#REF!</definedName>
    <definedName name="_xlnm.Criteria" localSheetId="7">#REF!</definedName>
    <definedName name="_xlnm.Criteria" localSheetId="9">#REF!</definedName>
    <definedName name="_xlnm.Criteria" localSheetId="11">#REF!</definedName>
    <definedName name="_xlnm.Criteria" localSheetId="13">#REF!</definedName>
    <definedName name="_xlnm.Criteria" localSheetId="15">#REF!</definedName>
    <definedName name="_xlnm.Criteria" localSheetId="17">#REF!</definedName>
    <definedName name="_xlnm.Criteria">#REF!</definedName>
    <definedName name="Criteria_MI">#REF!</definedName>
    <definedName name="CRT">#REF!</definedName>
    <definedName name="csb">#REF!</definedName>
    <definedName name="csDesignMode">1</definedName>
    <definedName name="csh">#REF!</definedName>
    <definedName name="csm">#REF!</definedName>
    <definedName name="csn">#REF!</definedName>
    <definedName name="Csr">#REF!</definedName>
    <definedName name="CT">#REF!</definedName>
    <definedName name="ctb">#REF!</definedName>
    <definedName name="cth">#REF!</definedName>
    <definedName name="CTL">#REF!</definedName>
    <definedName name="ctm">#REF!</definedName>
    <definedName name="ctp">#REF!</definedName>
    <definedName name="CTR">#REF!</definedName>
    <definedName name="cts">#REF!</definedName>
    <definedName name="Curr_rec">#N/A</definedName>
    <definedName name="CV">#REF!</definedName>
    <definedName name="CV14_2C">#REF!</definedName>
    <definedName name="CV14_4C">#REF!</definedName>
    <definedName name="CV5.5_2">#REF!</definedName>
    <definedName name="CV5.5_4C">#REF!</definedName>
    <definedName name="CV8_2C">#REF!</definedName>
    <definedName name="CV8_4C">#REF!</definedName>
    <definedName name="C라인" localSheetId="11">[0]!BlankMacro1</definedName>
    <definedName name="C라인" localSheetId="13">[0]!BlankMacro1</definedName>
    <definedName name="C라인" localSheetId="15">[0]!BlankMacro1</definedName>
    <definedName name="C라인" localSheetId="28">[0]!BlankMacro1</definedName>
    <definedName name="C라인" localSheetId="24">[0]!BlankMacro1</definedName>
    <definedName name="C라인" localSheetId="26">[0]!BlankMacro1</definedName>
    <definedName name="C라인" localSheetId="27">[0]!BlankMacro1</definedName>
    <definedName name="C라인">[0]!BlankMacro1</definedName>
    <definedName name="d">#REF!</definedName>
    <definedName name="D.1">#REF!</definedName>
    <definedName name="D.2">#REF!</definedName>
    <definedName name="D_1">#REF!</definedName>
    <definedName name="D_2">#REF!</definedName>
    <definedName name="D_3">#REF!</definedName>
    <definedName name="D_4">#REF!</definedName>
    <definedName name="D_FE">#REF!</definedName>
    <definedName name="D_FO">#REF!</definedName>
    <definedName name="D01_">#REF!</definedName>
    <definedName name="D02_">#REF!</definedName>
    <definedName name="D03_">#REF!</definedName>
    <definedName name="D04_">#REF!</definedName>
    <definedName name="d1_e">#REF!</definedName>
    <definedName name="d1_ea">#REF!</definedName>
    <definedName name="D2_E">#REF!</definedName>
    <definedName name="d3_e">#REF!</definedName>
    <definedName name="d3_ea">#REF!</definedName>
    <definedName name="d4_e">#REF!</definedName>
    <definedName name="d4_ea">#REF!</definedName>
    <definedName name="D900_×11¼">#REF!</definedName>
    <definedName name="D900X45˚">#REF!</definedName>
    <definedName name="DA">#REF!</definedName>
    <definedName name="DAGFHHSD">#REF!</definedName>
    <definedName name="DAN">#REF!</definedName>
    <definedName name="DANGA">#REF!,#REF!</definedName>
    <definedName name="DANGA_">#REF!,#REF!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ka">#REF!</definedName>
    <definedName name="DASGDFHH">#REF!</definedName>
    <definedName name="DATA">#REF!</definedName>
    <definedName name="DATA_">#REF!</definedName>
    <definedName name="DATA1">#REF!</definedName>
    <definedName name="_xlnm.Database" localSheetId="19">#REF!</definedName>
    <definedName name="_xlnm.Database" localSheetId="21">#REF!</definedName>
    <definedName name="_xlnm.Database" localSheetId="23">#REF!</definedName>
    <definedName name="_xlnm.Database" localSheetId="3">#REF!</definedName>
    <definedName name="_xlnm.Database" localSheetId="5">#REF!</definedName>
    <definedName name="_xlnm.Database" localSheetId="7">#REF!</definedName>
    <definedName name="_xlnm.Database" localSheetId="9">#REF!</definedName>
    <definedName name="_xlnm.Database" localSheetId="11">#REF!</definedName>
    <definedName name="_xlnm.Database" localSheetId="13">#REF!</definedName>
    <definedName name="_xlnm.Database" localSheetId="15">#REF!</definedName>
    <definedName name="_xlnm.Database" localSheetId="17">#REF!</definedName>
    <definedName name="_xlnm.Database" localSheetId="0">#REF!</definedName>
    <definedName name="_xlnm.Database">#REF!</definedName>
    <definedName name="database2">#REF!</definedName>
    <definedName name="dataww" localSheetId="19" hidden="1">#REF!</definedName>
    <definedName name="dataww" localSheetId="21" hidden="1">#REF!</definedName>
    <definedName name="dataww" localSheetId="23" hidden="1">#REF!</definedName>
    <definedName name="dataww" localSheetId="3" hidden="1">#REF!</definedName>
    <definedName name="dataww" localSheetId="5" hidden="1">#REF!</definedName>
    <definedName name="dataww" localSheetId="7" hidden="1">#REF!</definedName>
    <definedName name="dataww" localSheetId="9" hidden="1">#REF!</definedName>
    <definedName name="dataww" localSheetId="11" hidden="1">#REF!</definedName>
    <definedName name="dataww" localSheetId="13" hidden="1">#REF!</definedName>
    <definedName name="dataww" localSheetId="15" hidden="1">#REF!</definedName>
    <definedName name="dataww" localSheetId="17" hidden="1">#REF!</definedName>
    <definedName name="dataww" hidden="1">#REF!</definedName>
    <definedName name="date">#REF!</definedName>
    <definedName name="DAY">#N/A</definedName>
    <definedName name="DB">#REF!</definedName>
    <definedName name="DB작업공수">#REF!</definedName>
    <definedName name="DC">#REF!</definedName>
    <definedName name="DC.PIPE">#REF!</definedName>
    <definedName name="DD">#N/A</definedName>
    <definedName name="DDD" localSheetId="0" hidden="1">{#N/A,#N/A,FALSE,"P.C.B"}</definedName>
    <definedName name="DDD" hidden="1">{#N/A,#N/A,FALSE,"P.C.B"}</definedName>
    <definedName name="DDDD">#REF!</definedName>
    <definedName name="ddddd" localSheetId="19" hidden="1">#REF!</definedName>
    <definedName name="ddddd" localSheetId="21" hidden="1">#REF!</definedName>
    <definedName name="ddddd" localSheetId="23" hidden="1">#REF!</definedName>
    <definedName name="ddddd" localSheetId="3" hidden="1">#REF!</definedName>
    <definedName name="ddddd" localSheetId="5" hidden="1">#REF!</definedName>
    <definedName name="ddddd" localSheetId="7" hidden="1">#REF!</definedName>
    <definedName name="ddddd" localSheetId="9" hidden="1">#REF!</definedName>
    <definedName name="ddddd" localSheetId="11" hidden="1">#REF!</definedName>
    <definedName name="ddddd" localSheetId="13" hidden="1">#REF!</definedName>
    <definedName name="ddddd" localSheetId="15" hidden="1">#REF!</definedName>
    <definedName name="ddddd" localSheetId="17" hidden="1">#REF!</definedName>
    <definedName name="ddddd" localSheetId="0" hidden="1">#REF!</definedName>
    <definedName name="ddddd" hidden="1">#REF!</definedName>
    <definedName name="DDE">#REF!</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GHSDFH">#REF!</definedName>
    <definedName name="DDO">#REF!</definedName>
    <definedName name="DDS" localSheetId="28">BlankMacro1</definedName>
    <definedName name="DDS" localSheetId="24">BlankMacro1</definedName>
    <definedName name="DDS" localSheetId="26">BlankMacro1</definedName>
    <definedName name="DDS" localSheetId="27">BlankMacro1</definedName>
    <definedName name="DDS">BlankMacro1</definedName>
    <definedName name="ddssd" localSheetId="0" hidden="1">{#N/A,#N/A,FALSE,"P.C.B"}</definedName>
    <definedName name="ddssd" hidden="1">{#N/A,#N/A,FALSE,"P.C.B"}</definedName>
    <definedName name="DDW" localSheetId="28">BlankMacro1</definedName>
    <definedName name="DDW" localSheetId="24">BlankMacro1</definedName>
    <definedName name="DDW" localSheetId="26">BlankMacro1</definedName>
    <definedName name="DDW" localSheetId="27">BlankMacro1</definedName>
    <definedName name="DDW">BlankMacro1</definedName>
    <definedName name="DE">#N/A</definedName>
    <definedName name="DEA">#REF!</definedName>
    <definedName name="deck">#REF!</definedName>
    <definedName name="deck_ea">#REF!</definedName>
    <definedName name="DECK_PLATE">#REF!</definedName>
    <definedName name="DEMO">#REF!</definedName>
    <definedName name="DETAIL">#N/A</definedName>
    <definedName name="DF">#N/A</definedName>
    <definedName name="DFA">#REF!</definedName>
    <definedName name="DFASDF" hidden="1">#REF!</definedName>
    <definedName name="DFASFD" localSheetId="0" hidden="1">{#N/A,#N/A,FALSE,"골재소요량";#N/A,#N/A,FALSE,"골재소요량"}</definedName>
    <definedName name="DFASFD" hidden="1">{#N/A,#N/A,FALSE,"골재소요량";#N/A,#N/A,FALSE,"골재소요량"}</definedName>
    <definedName name="DFDASFGDASG" localSheetId="0" hidden="1">{#N/A,#N/A,FALSE,"단가표지"}</definedName>
    <definedName name="DFDASFGDASG" hidden="1">{#N/A,#N/A,FALSE,"단가표지"}</definedName>
    <definedName name="DFDFDF" localSheetId="0" hidden="1">{#N/A,#N/A,FALSE,"단가표지"}</definedName>
    <definedName name="DFDFDF" hidden="1">{#N/A,#N/A,FALSE,"단가표지"}</definedName>
    <definedName name="DFDSADFADSF" localSheetId="0" hidden="1">{#N/A,#N/A,FALSE,"2~8번"}</definedName>
    <definedName name="DFDSADFADSF" hidden="1">{#N/A,#N/A,FALSE,"2~8번"}</definedName>
    <definedName name="DFDSAFDFD" localSheetId="0" hidden="1">{#N/A,#N/A,FALSE,"부대1"}</definedName>
    <definedName name="DFDSAFDFD" hidden="1">{#N/A,#N/A,FALSE,"부대1"}</definedName>
    <definedName name="DFDSAFSFG" localSheetId="0" hidden="1">{#N/A,#N/A,FALSE,"구조2"}</definedName>
    <definedName name="DFDSAFSFG" hidden="1">{#N/A,#N/A,FALSE,"구조2"}</definedName>
    <definedName name="DFDSAGFDSAG" localSheetId="0" hidden="1">{#N/A,#N/A,FALSE,"혼합골재"}</definedName>
    <definedName name="DFDSAGFDSAG" hidden="1">{#N/A,#N/A,FALSE,"혼합골재"}</definedName>
    <definedName name="DFDSFD" localSheetId="0" hidden="1">{#N/A,#N/A,FALSE,"속도"}</definedName>
    <definedName name="DFDSFD" hidden="1">{#N/A,#N/A,FALSE,"속도"}</definedName>
    <definedName name="DFDSFDFDFD" localSheetId="0" hidden="1">{#N/A,#N/A,FALSE,"구조1"}</definedName>
    <definedName name="DFDSFDFDFD" hidden="1">{#N/A,#N/A,FALSE,"구조1"}</definedName>
    <definedName name="DFDSFDS" localSheetId="0" hidden="1">{#N/A,#N/A,FALSE,"부대2"}</definedName>
    <definedName name="DFDSFDS" hidden="1">{#N/A,#N/A,FALSE,"부대2"}</definedName>
    <definedName name="DFDSSF" localSheetId="0" hidden="1">{#N/A,#N/A,FALSE,"이정표"}</definedName>
    <definedName name="DFDSSF" hidden="1">{#N/A,#N/A,FALSE,"이정표"}</definedName>
    <definedName name="DFGADSGAFDG" localSheetId="0" hidden="1">{#N/A,#N/A,FALSE,"운반시간"}</definedName>
    <definedName name="DFGADSGAFDG" hidden="1">{#N/A,#N/A,FALSE,"운반시간"}</definedName>
    <definedName name="dfjalk">#REF!</definedName>
    <definedName name="DFJKSLAEO">#REF!</definedName>
    <definedName name="dfrxg">#REF!</definedName>
    <definedName name="DFS">#REF!</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#N/A</definedName>
    <definedName name="DGDFGFGDG" localSheetId="0" hidden="1">{#N/A,#N/A,FALSE,"배수1"}</definedName>
    <definedName name="DGDFGFGDG" hidden="1">{#N/A,#N/A,FALSE,"배수1"}</definedName>
    <definedName name="DGF">#REF!</definedName>
    <definedName name="dgfgf" localSheetId="0" hidden="1">{#N/A,#N/A,FALSE,"2~8번"}</definedName>
    <definedName name="dgfgf" hidden="1">{#N/A,#N/A,FALSE,"2~8번"}</definedName>
    <definedName name="dh" localSheetId="0" hidden="1">{#N/A,#N/A,TRUE,"토적및재료집계";#N/A,#N/A,TRUE,"토적및재료집계";#N/A,#N/A,TRUE,"단위량"}</definedName>
    <definedName name="dh" hidden="1">{#N/A,#N/A,TRUE,"토적및재료집계";#N/A,#N/A,TRUE,"토적및재료집계";#N/A,#N/A,TRUE,"단위량"}</definedName>
    <definedName name="dhj" hidden="1">{"'용역비'!$A$4:$C$8"}</definedName>
    <definedName name="DHS">#REF!</definedName>
    <definedName name="dhtn">#REF!</definedName>
    <definedName name="DI">#REF!</definedName>
    <definedName name="DIA">#REF!</definedName>
    <definedName name="Diag_Hide">#N/A</definedName>
    <definedName name="DIDDK" localSheetId="0" hidden="1">{#N/A,#N/A,FALSE,"손익표지";#N/A,#N/A,FALSE,"손익계산";#N/A,#N/A,FALSE,"일반관리비";#N/A,#N/A,FALSE,"영업외수익";#N/A,#N/A,FALSE,"영업외비용";#N/A,#N/A,FALSE,"매출액";#N/A,#N/A,FALSE,"요약손익";#N/A,#N/A,FALSE,"요약대차";#N/A,#N/A,FALSE,"매출채권현황";#N/A,#N/A,FALSE,"매출채권명세"}</definedName>
    <definedName name="DIDDK" hidden="1">{#N/A,#N/A,FALSE,"손익표지";#N/A,#N/A,FALSE,"손익계산";#N/A,#N/A,FALSE,"일반관리비";#N/A,#N/A,FALSE,"영업외수익";#N/A,#N/A,FALSE,"영업외비용";#N/A,#N/A,FALSE,"매출액";#N/A,#N/A,FALSE,"요약손익";#N/A,#N/A,FALSE,"요약대차";#N/A,#N/A,FALSE,"매출채권현황";#N/A,#N/A,FALSE,"매출채권명세"}</definedName>
    <definedName name="DISPLAY">#REF!</definedName>
    <definedName name="DISTANCE">#REF!</definedName>
    <definedName name="DJ">#REF!</definedName>
    <definedName name="DJHFJ">#REF!</definedName>
    <definedName name="DKD" localSheetId="28">BlankMacro1</definedName>
    <definedName name="DKD" localSheetId="24">BlankMacro1</definedName>
    <definedName name="DKD" localSheetId="26">BlankMacro1</definedName>
    <definedName name="DKD" localSheetId="27">BlankMacro1</definedName>
    <definedName name="DKD">BlankMacro1</definedName>
    <definedName name="dkdkdkdkd" hidden="1">{#N/A,#N/A,FALSE,"명세표"}</definedName>
    <definedName name="DKE" localSheetId="28">BlankMacro1</definedName>
    <definedName name="DKE" localSheetId="24">BlankMacro1</definedName>
    <definedName name="DKE" localSheetId="26">BlankMacro1</definedName>
    <definedName name="DKE" localSheetId="27">BlankMacro1</definedName>
    <definedName name="DKE">BlankMacro1</definedName>
    <definedName name="DKFJLE">#REF!</definedName>
    <definedName name="DKFK">#N/A</definedName>
    <definedName name="DKFSLK">#REF!</definedName>
    <definedName name="DL">#REF!</definedName>
    <definedName name="DLAWHDDLF">#REF!</definedName>
    <definedName name="dldldldll" localSheetId="19" hidden="1">#REF!</definedName>
    <definedName name="dldldldll" localSheetId="21" hidden="1">#REF!</definedName>
    <definedName name="dldldldll" localSheetId="23" hidden="1">#REF!</definedName>
    <definedName name="dldldldll" localSheetId="3" hidden="1">#REF!</definedName>
    <definedName name="dldldldll" localSheetId="5" hidden="1">#REF!</definedName>
    <definedName name="dldldldll" localSheetId="7" hidden="1">#REF!</definedName>
    <definedName name="dldldldll" localSheetId="9" hidden="1">#REF!</definedName>
    <definedName name="dldldldll" localSheetId="11" hidden="1">#REF!</definedName>
    <definedName name="dldldldll" localSheetId="13" hidden="1">#REF!</definedName>
    <definedName name="dldldldll" localSheetId="15" hidden="1">#REF!</definedName>
    <definedName name="dldldldll" localSheetId="17" hidden="1">#REF!</definedName>
    <definedName name="dldldldll" localSheetId="0" hidden="1">#REF!</definedName>
    <definedName name="dldldldll" hidden="1">#REF!</definedName>
    <definedName name="DLFE">#REF!</definedName>
    <definedName name="dlfm">#REF!</definedName>
    <definedName name="DLFO">#REF!</definedName>
    <definedName name="DLSTH">#REF!</definedName>
    <definedName name="DM">#REF!</definedName>
    <definedName name="dns" hidden="1">{#N/A,#N/A,FALSE,"운반시간"}</definedName>
    <definedName name="DO">#REF!</definedName>
    <definedName name="Document_array">{"Book1","TOTAL.xls"}</definedName>
    <definedName name="Documents_array">#REF!</definedName>
    <definedName name="DOGUB">#REF!</definedName>
    <definedName name="DONG1">#REF!</definedName>
    <definedName name="DONG2">#REF!</definedName>
    <definedName name="DOOR">#REF!</definedName>
    <definedName name="DPI">#REF!</definedName>
    <definedName name="DRDEWF">#REF!</definedName>
    <definedName name="DRDS">#REF!</definedName>
    <definedName name="drefdfd">#REF!</definedName>
    <definedName name="DRIVE">#REF!</definedName>
    <definedName name="DROW">#N/A</definedName>
    <definedName name="drsg">#REF!</definedName>
    <definedName name="DRXSZH">#REF!</definedName>
    <definedName name="ds">#REF!</definedName>
    <definedName name="DSA">#REF!</definedName>
    <definedName name="dsaf" localSheetId="0" hidden="1">{#N/A,#N/A,FALSE,"조골재"}</definedName>
    <definedName name="dsaf" hidden="1">{#N/A,#N/A,FALSE,"조골재"}</definedName>
    <definedName name="dsaf_1" localSheetId="0" hidden="1">{#N/A,#N/A,FALSE,"조골재"}</definedName>
    <definedName name="dsaf_1" hidden="1">{#N/A,#N/A,FALSE,"조골재"}</definedName>
    <definedName name="dsafasfasfdasas" localSheetId="0" hidden="1">{#N/A,#N/A,FALSE,"P.C.B"}</definedName>
    <definedName name="dsafasfasfdasas" hidden="1">{#N/A,#N/A,FALSE,"P.C.B"}</definedName>
    <definedName name="DSAFDDG">#REF!</definedName>
    <definedName name="DSAGAHHHHD">#REF!</definedName>
    <definedName name="DSAGDHH">#REF!</definedName>
    <definedName name="dsaghh">#REF!</definedName>
    <definedName name="DSAGHHA">#REF!</definedName>
    <definedName name="dsb">#REF!</definedName>
    <definedName name="DSE">#REF!</definedName>
    <definedName name="DSF" localSheetId="0" hidden="1">{#N/A,#N/A,FALSE,"골재소요량";#N/A,#N/A,FALSE,"골재소요량"}</definedName>
    <definedName name="DSF" hidden="1">{#N/A,#N/A,FALSE,"골재소요량";#N/A,#N/A,FALSE,"골재소요량"}</definedName>
    <definedName name="DSF_1" localSheetId="0" hidden="1">{#N/A,#N/A,FALSE,"골재소요량";#N/A,#N/A,FALSE,"골재소요량"}</definedName>
    <definedName name="DSF_1" hidden="1">{#N/A,#N/A,FALSE,"골재소요량";#N/A,#N/A,FALSE,"골재소요량"}</definedName>
    <definedName name="DSGASFDH">#REF!</definedName>
    <definedName name="DSGHFSD">#REF!</definedName>
    <definedName name="dsh">#REF!</definedName>
    <definedName name="DSKFJL">#REF!</definedName>
    <definedName name="dsm">#REF!</definedName>
    <definedName name="DSO">#REF!</definedName>
    <definedName name="DSSDS" hidden="1">{#N/A,#N/A,FALSE,"명세표"}</definedName>
    <definedName name="dsv" localSheetId="11">[0]!BlankMacro1</definedName>
    <definedName name="dsv" localSheetId="13">[0]!BlankMacro1</definedName>
    <definedName name="dsv" localSheetId="15">[0]!BlankMacro1</definedName>
    <definedName name="dsv" localSheetId="28">[0]!BlankMacro1</definedName>
    <definedName name="dsv" localSheetId="24">[0]!BlankMacro1</definedName>
    <definedName name="dsv" localSheetId="26">[0]!BlankMacro1</definedName>
    <definedName name="dsv" localSheetId="27">[0]!BlankMacro1</definedName>
    <definedName name="dsv">[0]!BlankMacro1</definedName>
    <definedName name="DSVP">#REF!</definedName>
    <definedName name="DW" localSheetId="0" hidden="1">{#N/A,#N/A,FALSE,"배수2"}</definedName>
    <definedName name="DW" hidden="1">{#N/A,#N/A,FALSE,"배수2"}</definedName>
    <definedName name="DWD" hidden="1">{#N/A,#N/A,FALSE,"전력간선"}</definedName>
    <definedName name="DWS" localSheetId="28">BlankMacro1</definedName>
    <definedName name="DWS" localSheetId="24">BlankMacro1</definedName>
    <definedName name="DWS" localSheetId="26">BlankMacro1</definedName>
    <definedName name="DWS" localSheetId="27">BlankMacro1</definedName>
    <definedName name="DWS">BlankMacro1</definedName>
    <definedName name="d을지">#REF!</definedName>
    <definedName name="E">#REF!</definedName>
    <definedName name="E_1">#REF!</definedName>
    <definedName name="e_2">#REF!</definedName>
    <definedName name="E_IV">#REF!</definedName>
    <definedName name="e1_e">#REF!</definedName>
    <definedName name="e1_ea">#REF!</definedName>
    <definedName name="e2_e">#REF!</definedName>
    <definedName name="e2_ea">#REF!</definedName>
    <definedName name="E25M">#REF!</definedName>
    <definedName name="E25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CA">#N/A</definedName>
    <definedName name="EARCB">#N/A</definedName>
    <definedName name="earthp">#REF!</definedName>
    <definedName name="EB">#REF!</definedName>
    <definedName name="EC">#REF!</definedName>
    <definedName name="Ec3Span">#REF!</definedName>
    <definedName name="edgh">#REF!</definedName>
    <definedName name="edit__home__del__branch_\f">#REF!</definedName>
    <definedName name="EDT">#N/A</definedName>
    <definedName name="edtgh">#REF!</definedName>
    <definedName name="ee" hidden="1">{#N/A,#N/A,FALSE,"단가표지"}</definedName>
    <definedName name="eee" localSheetId="0" hidden="1">{#N/A,#N/A,FALSE,"2~8번"}</definedName>
    <definedName name="eee" hidden="1">{#N/A,#N/A,FALSE,"2~8번"}</definedName>
    <definedName name="eee.송운" hidden="1">{#N/A,#N/A,FALSE,"운반시간"}</definedName>
    <definedName name="eee_1" localSheetId="0" hidden="1">{#N/A,#N/A,FALSE,"2~8번"}</definedName>
    <definedName name="eee_1" hidden="1">{#N/A,#N/A,FALSE,"2~8번"}</definedName>
    <definedName name="EEEE">#REF!</definedName>
    <definedName name="EEEEE">#N/A</definedName>
    <definedName name="eer">#REF!</definedName>
    <definedName name="EFG" hidden="1">{"'용역비'!$A$4:$C$8"}</definedName>
    <definedName name="EGE" hidden="1">{"'용역비'!$A$4:$C$8"}</definedName>
    <definedName name="EIRP">#REF!</definedName>
    <definedName name="ej" hidden="1">{"'용역비'!$A$4:$C$8"}</definedName>
    <definedName name="EK" hidden="1">#REF!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FE">#REF!</definedName>
    <definedName name="ELG">#REF!</definedName>
    <definedName name="ELI">#REF!</definedName>
    <definedName name="ELP">#REF!</definedName>
    <definedName name="ENCOST">#N/A</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pc">#REF!</definedName>
    <definedName name="Epc3Span">#REF!</definedName>
    <definedName name="er">#REF!</definedName>
    <definedName name="ERER">#REF!</definedName>
    <definedName name="erqewrqewr" localSheetId="28">BlankMacro1</definedName>
    <definedName name="erqewrqewr" localSheetId="24">BlankMacro1</definedName>
    <definedName name="erqewrqewr" localSheetId="26">BlankMacro1</definedName>
    <definedName name="erqewrqewr" localSheetId="27">BlankMacro1</definedName>
    <definedName name="erqewrqewr">BlankMacro1</definedName>
    <definedName name="ertyertye" hidden="1">{"'용역비'!$A$4:$C$8"}</definedName>
    <definedName name="ES">#REF!</definedName>
    <definedName name="esb">#REF!</definedName>
    <definedName name="esh">#REF!</definedName>
    <definedName name="Eslab">#REF!</definedName>
    <definedName name="esm">#REF!</definedName>
    <definedName name="etb">#REF!</definedName>
    <definedName name="eth">#REF!</definedName>
    <definedName name="etm">#REF!</definedName>
    <definedName name="ets">#REF!</definedName>
    <definedName name="ETYETY" hidden="1">{"'용역비'!$A$4:$C$8"}</definedName>
    <definedName name="etyj" hidden="1">{"'용역비'!$A$4:$C$8"}</definedName>
    <definedName name="etyjj" hidden="1">{"'용역비'!$A$4:$C$8"}</definedName>
    <definedName name="ETYJTYJ" hidden="1">{"'용역비'!$A$4:$C$8"}</definedName>
    <definedName name="Eu">#REF!</definedName>
    <definedName name="ewrertr4" hidden="1">{"'자리배치도'!$AG$1:$CI$28"}</definedName>
    <definedName name="EXE">#N/A</definedName>
    <definedName name="_xlnm.Extract" localSheetId="19">#REF!</definedName>
    <definedName name="_xlnm.Extract" localSheetId="21">#REF!</definedName>
    <definedName name="_xlnm.Extract" localSheetId="23">#REF!</definedName>
    <definedName name="_xlnm.Extract" localSheetId="3">#REF!</definedName>
    <definedName name="_xlnm.Extract" localSheetId="5">#REF!</definedName>
    <definedName name="_xlnm.Extract" localSheetId="7">#REF!</definedName>
    <definedName name="_xlnm.Extract" localSheetId="9">#REF!</definedName>
    <definedName name="_xlnm.Extract" localSheetId="11">#REF!</definedName>
    <definedName name="_xlnm.Extract" localSheetId="13">#REF!</definedName>
    <definedName name="_xlnm.Extract" localSheetId="15">#REF!</definedName>
    <definedName name="_xlnm.Extract" localSheetId="17">#REF!</definedName>
    <definedName name="_xlnm.Extract" localSheetId="0">#REF!</definedName>
    <definedName name="_xlnm.Extract">#REF!</definedName>
    <definedName name="EXTRACT_MI">#REF!</definedName>
    <definedName name="ey">#N/A</definedName>
    <definedName name="F">#N/A</definedName>
    <definedName name="F_CHASU">#N/A</definedName>
    <definedName name="F_CODE">#N/A</definedName>
    <definedName name="F_CODE1">#REF!</definedName>
    <definedName name="F_CST">#N/A</definedName>
    <definedName name="F_DCST">#N/A</definedName>
    <definedName name="F_DES">#REF!</definedName>
    <definedName name="F_DESC">#N/A</definedName>
    <definedName name="F_DEXPEN">#N/A</definedName>
    <definedName name="F_DLABOR">#N/A</definedName>
    <definedName name="F_EQ">#N/A</definedName>
    <definedName name="F_EQ0">#N/A</definedName>
    <definedName name="F_EXPEN">#N/A</definedName>
    <definedName name="F_FORM">#N/A</definedName>
    <definedName name="F_GUBUN">#N/A</definedName>
    <definedName name="F_INT1">#N/A</definedName>
    <definedName name="F_LA">#N/A</definedName>
    <definedName name="F_LA0">#N/A</definedName>
    <definedName name="F_LABOR">#N/A</definedName>
    <definedName name="F_LVL">#N/A</definedName>
    <definedName name="F_MA">#N/A</definedName>
    <definedName name="F_MA0">#N/A</definedName>
    <definedName name="F_MEMO">#N/A</definedName>
    <definedName name="F_NAME">#N/A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CST1">#N/A</definedName>
    <definedName name="F_SCST2">#N/A</definedName>
    <definedName name="F_SCST3">#N/A</definedName>
    <definedName name="F_SCST4">#N/A</definedName>
    <definedName name="F_SCST5">#N/A</definedName>
    <definedName name="F_SCST6">#N/A</definedName>
    <definedName name="F_SCST7">#N/A</definedName>
    <definedName name="F_SEQ">#N/A</definedName>
    <definedName name="F_SIZE">#N/A</definedName>
    <definedName name="F_SOS">#N/A</definedName>
    <definedName name="F_SU">#N/A</definedName>
    <definedName name="F_SUBTOT">#N/A</definedName>
    <definedName name="F_TMOD">#REF!</definedName>
    <definedName name="F_TQTY">#N/A</definedName>
    <definedName name="F_TUNIT">#REF!</definedName>
    <definedName name="F_UNIT">#N/A</definedName>
    <definedName name="F1F">#REF!</definedName>
    <definedName name="F1층">#REF!</definedName>
    <definedName name="F2F">#REF!</definedName>
    <definedName name="F3F">#REF!</definedName>
    <definedName name="FB">#REF!</definedName>
    <definedName name="FC">#REF!</definedName>
    <definedName name="FC_B">#REF!</definedName>
    <definedName name="Fci">#REF!</definedName>
    <definedName name="Fck">#REF!</definedName>
    <definedName name="FD">#REF!</definedName>
    <definedName name="FDASDFGG">#REF!</definedName>
    <definedName name="FDDGHSDHF">#REF!</definedName>
    <definedName name="FDFDF">#REF!</definedName>
    <definedName name="fdfr">#REF!</definedName>
    <definedName name="FDGDFAGFD" localSheetId="0" hidden="1">{#N/A,#N/A,FALSE,"포장1";#N/A,#N/A,FALSE,"포장1"}</definedName>
    <definedName name="FDGDFAGFD" hidden="1">{#N/A,#N/A,FALSE,"포장1";#N/A,#N/A,FALSE,"포장1"}</definedName>
    <definedName name="fdgfdg" localSheetId="0" hidden="1">{#N/A,#N/A,FALSE,"2~8번"}</definedName>
    <definedName name="fdgfdg" hidden="1">{#N/A,#N/A,FALSE,"2~8번"}</definedName>
    <definedName name="fdgfgf" localSheetId="0" hidden="1">{#N/A,#N/A,FALSE,"운반시간"}</definedName>
    <definedName name="fdgfgf" hidden="1">{#N/A,#N/A,FALSE,"운반시간"}</definedName>
    <definedName name="fdhevwtec" localSheetId="0" hidden="1">{#N/A,#N/A,FALSE,"구조1"}</definedName>
    <definedName name="fdhevwtec" hidden="1">{#N/A,#N/A,FALSE,"구조1"}</definedName>
    <definedName name="FDRHGFDS">#REF!</definedName>
    <definedName name="FDSF">#REF!</definedName>
    <definedName name="fdtdhg">#REF!</definedName>
    <definedName name="FDTRJHR">#REF!</definedName>
    <definedName name="fedgre" localSheetId="0" hidden="1">{#N/A,#N/A,FALSE,"배수1"}</definedName>
    <definedName name="fedgre" hidden="1">{#N/A,#N/A,FALSE,"배수1"}</definedName>
    <definedName name="FEEL">#REF!</definedName>
    <definedName name="ferff">#REF!</definedName>
    <definedName name="FEXRE">#REF!</definedName>
    <definedName name="FF" localSheetId="0" hidden="1">{#N/A,#N/A,FALSE,"P.C.B"}</definedName>
    <definedName name="FF" hidden="1">{#N/A,#N/A,FALSE,"P.C.B"}</definedName>
    <definedName name="FFDGGFD">#REF!</definedName>
    <definedName name="FFF" localSheetId="0" hidden="1">{#N/A,#N/A,FALSE,"P.C.B"}</definedName>
    <definedName name="FFF" hidden="1">{#N/A,#N/A,FALSE,"P.C.B"}</definedName>
    <definedName name="FFFF">#REF!</definedName>
    <definedName name="FFFFF">#REF!</definedName>
    <definedName name="ffffff" localSheetId="0" hidden="1">{#N/A,#N/A,FALSE,"조골재"}</definedName>
    <definedName name="ffffff" hidden="1">{#N/A,#N/A,FALSE,"조골재"}</definedName>
    <definedName name="FFFFFFFFFFFFFFFFFFFFFF">#REF!</definedName>
    <definedName name="FFFFFFFFFFSF">#REF!</definedName>
    <definedName name="ffk" hidden="1">#REF!</definedName>
    <definedName name="FG">#REF!</definedName>
    <definedName name="FGD">#REF!</definedName>
    <definedName name="FGDAG" localSheetId="0" hidden="1">{#N/A,#N/A,FALSE,"포장2"}</definedName>
    <definedName name="FGDAG" hidden="1">{#N/A,#N/A,FALSE,"포장2"}</definedName>
    <definedName name="FGDAGFG" localSheetId="0" hidden="1">{#N/A,#N/A,FALSE,"혼합골재"}</definedName>
    <definedName name="FGDAGFG" hidden="1">{#N/A,#N/A,FALSE,"혼합골재"}</definedName>
    <definedName name="fgfadgf" localSheetId="0" hidden="1">{#N/A,#N/A,FALSE,"혼합골재"}</definedName>
    <definedName name="fgfadgf" hidden="1">{#N/A,#N/A,FALSE,"혼합골재"}</definedName>
    <definedName name="FGFDG" localSheetId="0" hidden="1">{#N/A,#N/A,FALSE,"표지목차"}</definedName>
    <definedName name="FGFDG" hidden="1">{#N/A,#N/A,FALSE,"표지목차"}</definedName>
    <definedName name="fgfdgffff" localSheetId="0" hidden="1">{#N/A,#N/A,FALSE,"부대2"}</definedName>
    <definedName name="fgfdgffff" hidden="1">{#N/A,#N/A,FALSE,"부대2"}</definedName>
    <definedName name="fgfdsgdfg" localSheetId="0" hidden="1">{#N/A,#N/A,FALSE,"혼합골재"}</definedName>
    <definedName name="fgfdsgdfg" hidden="1">{#N/A,#N/A,FALSE,"혼합골재"}</definedName>
    <definedName name="fgfg" localSheetId="0" hidden="1">{#N/A,#N/A,FALSE,"2~8번"}</definedName>
    <definedName name="fgfg" hidden="1">{#N/A,#N/A,FALSE,"2~8번"}</definedName>
    <definedName name="fgfgfg" localSheetId="0" hidden="1">{#N/A,#N/A,FALSE,"골재소요량";#N/A,#N/A,FALSE,"골재소요량"}</definedName>
    <definedName name="fgfgfg" hidden="1">{#N/A,#N/A,FALSE,"골재소요량";#N/A,#N/A,FALSE,"골재소요량"}</definedName>
    <definedName name="fggfdxgr">#REF!</definedName>
    <definedName name="FGGG">#REF!</definedName>
    <definedName name="fghfdagfd" localSheetId="0" hidden="1">{#N/A,#N/A,FALSE,"표지목차"}</definedName>
    <definedName name="fghfdagfd" hidden="1">{#N/A,#N/A,FALSE,"표지목차"}</definedName>
    <definedName name="fghgh" localSheetId="11">#REF!,#REF!</definedName>
    <definedName name="fghgh" localSheetId="13">#REF!,#REF!</definedName>
    <definedName name="fghgh" localSheetId="15">#REF!,#REF!</definedName>
    <definedName name="fghgh">#REF!,#REF!</definedName>
    <definedName name="fgn" localSheetId="0" hidden="1">{#N/A,#N/A,FALSE,"구조2"}</definedName>
    <definedName name="fgn" hidden="1">{#N/A,#N/A,FALSE,"구조2"}</definedName>
    <definedName name="fgnrt" localSheetId="0" hidden="1">{#N/A,#N/A,FALSE,"단가표지"}</definedName>
    <definedName name="fgnrt" hidden="1">{#N/A,#N/A,FALSE,"단가표지"}</definedName>
    <definedName name="FH">#REF!</definedName>
    <definedName name="fhddg" localSheetId="0" hidden="1">{#N/A,#N/A,FALSE,"부대1"}</definedName>
    <definedName name="fhddg" hidden="1">{#N/A,#N/A,FALSE,"부대1"}</definedName>
    <definedName name="FHKR" localSheetId="0" hidden="1">{#N/A,#N/A,FALSE,"P.C.B"}</definedName>
    <definedName name="FHKR" hidden="1">{#N/A,#N/A,FALSE,"P.C.B"}</definedName>
    <definedName name="File_Save">#N/A</definedName>
    <definedName name="FILENAME">#REF!</definedName>
    <definedName name="first">#REF!</definedName>
    <definedName name="FIXT">#REF!</definedName>
    <definedName name="FJSDHF" localSheetId="0" hidden="1">{#N/A,#N/A,FALSE,"단가표지"}</definedName>
    <definedName name="FJSDHF" hidden="1">{#N/A,#N/A,FALSE,"단가표지"}</definedName>
    <definedName name="FK" hidden="1">{"'용역비'!$A$4:$C$8"}</definedName>
    <definedName name="fkk">#REF!</definedName>
    <definedName name="flag">#REF!</definedName>
    <definedName name="fld00">#REF!</definedName>
    <definedName name="Fld000">#REF!</definedName>
    <definedName name="FN">#REF!</definedName>
    <definedName name="FOUND_A">#REF!</definedName>
    <definedName name="FOUND_H">#REF!</definedName>
    <definedName name="Fpu">#REF!</definedName>
    <definedName name="Fpy">#REF!</definedName>
    <definedName name="FR8_1C">#REF!</definedName>
    <definedName name="FR8_2C">#REF!</definedName>
    <definedName name="FR8_3C">#REF!</definedName>
    <definedName name="FR8_4C">#REF!</definedName>
    <definedName name="front">#REF!</definedName>
    <definedName name="FS" localSheetId="0" hidden="1">{#N/A,#N/A,FALSE,"배수1"}</definedName>
    <definedName name="FS" hidden="1">{#N/A,#N/A,FALSE,"배수1"}</definedName>
    <definedName name="fsdafhaaaaeraw" localSheetId="0" hidden="1">{#N/A,#N/A,FALSE,"구조1"}</definedName>
    <definedName name="fsdafhaaaaeraw" hidden="1">{#N/A,#N/A,FALSE,"구조1"}</definedName>
    <definedName name="FSHSHHHHHHFDH">#REF!</definedName>
    <definedName name="FSWADJK">#REF!</definedName>
    <definedName name="fv" hidden="1">{#N/A,#N/A,FALSE,"전력간선"}</definedName>
    <definedName name="fx" localSheetId="0" hidden="1">{#N/A,#N/A,FALSE,"조골재"}</definedName>
    <definedName name="fx" hidden="1">{#N/A,#N/A,FALSE,"조골재"}</definedName>
    <definedName name="Fy">#REF!</definedName>
    <definedName name="FZ">#REF!</definedName>
    <definedName name="Fㄹ" localSheetId="11">[0]!BlankMacro1</definedName>
    <definedName name="Fㄹ" localSheetId="13">[0]!BlankMacro1</definedName>
    <definedName name="Fㄹ" localSheetId="15">[0]!BlankMacro1</definedName>
    <definedName name="Fㄹ" localSheetId="28">[0]!BlankMacro1</definedName>
    <definedName name="Fㄹ" localSheetId="24">[0]!BlankMacro1</definedName>
    <definedName name="Fㄹ" localSheetId="26">[0]!BlankMacro1</definedName>
    <definedName name="Fㄹ" localSheetId="27">[0]!BlankMacro1</definedName>
    <definedName name="Fㄹ">[0]!BlankMacro1</definedName>
    <definedName name="F라인" localSheetId="11">[0]!BlankMacro1</definedName>
    <definedName name="F라인" localSheetId="13">[0]!BlankMacro1</definedName>
    <definedName name="F라인" localSheetId="15">[0]!BlankMacro1</definedName>
    <definedName name="F라인" localSheetId="28">[0]!BlankMacro1</definedName>
    <definedName name="F라인" localSheetId="24">[0]!BlankMacro1</definedName>
    <definedName name="F라인" localSheetId="26">[0]!BlankMacro1</definedName>
    <definedName name="F라인" localSheetId="27">[0]!BlankMacro1</definedName>
    <definedName name="F라인">[0]!BlankMacro1</definedName>
    <definedName name="F이">#REF!</definedName>
    <definedName name="F일">#REF!</definedName>
    <definedName name="g">#REF!</definedName>
    <definedName name="G_m">#REF!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4A1P">#REF!</definedName>
    <definedName name="g4a1t">#REF!</definedName>
    <definedName name="g4a2p">#REF!</definedName>
    <definedName name="g4a2t">#REF!</definedName>
    <definedName name="G5A1P">#REF!</definedName>
    <definedName name="g5a1t">#REF!</definedName>
    <definedName name="g5a2p">#REF!</definedName>
    <definedName name="g5a2t">#REF!</definedName>
    <definedName name="G6A1P">#REF!</definedName>
    <definedName name="g6a1t">#REF!</definedName>
    <definedName name="g6a2p">#REF!</definedName>
    <definedName name="g6a2t">#REF!</definedName>
    <definedName name="GAB">#REF!</definedName>
    <definedName name="gahahah" localSheetId="0" hidden="1">{#N/A,#N/A,FALSE,"포장1";#N/A,#N/A,FALSE,"포장1"}</definedName>
    <definedName name="gahahah" hidden="1">{#N/A,#N/A,FALSE,"포장1";#N/A,#N/A,FALSE,"포장1"}</definedName>
    <definedName name="GAK">#REF!</definedName>
    <definedName name="gb" localSheetId="0" hidden="1">{#N/A,#N/A,FALSE,"2~8번"}</definedName>
    <definedName name="gb" hidden="1">{#N/A,#N/A,FALSE,"2~8번"}</definedName>
    <definedName name="GC">#REF!</definedName>
    <definedName name="GDG" localSheetId="0" hidden="1">{#N/A,#N/A,FALSE,"포장2"}</definedName>
    <definedName name="GDG" hidden="1">{#N/A,#N/A,FALSE,"포장2"}</definedName>
    <definedName name="GDGFD" localSheetId="0" hidden="1">{#N/A,#N/A,FALSE,"배수1"}</definedName>
    <definedName name="GDGFD" hidden="1">{#N/A,#N/A,FALSE,"배수1"}</definedName>
    <definedName name="gdgrdf">#REF!</definedName>
    <definedName name="GEMCO" localSheetId="19" hidden="1">#REF!</definedName>
    <definedName name="GEMCO" localSheetId="21" hidden="1">#REF!</definedName>
    <definedName name="GEMCO" localSheetId="23" hidden="1">#REF!</definedName>
    <definedName name="GEMCO" localSheetId="3" hidden="1">#REF!</definedName>
    <definedName name="GEMCO" localSheetId="5" hidden="1">#REF!</definedName>
    <definedName name="GEMCO" localSheetId="7" hidden="1">#REF!</definedName>
    <definedName name="GEMCO" localSheetId="9" hidden="1">#REF!</definedName>
    <definedName name="GEMCO" localSheetId="11" hidden="1">#REF!</definedName>
    <definedName name="GEMCO" localSheetId="13" hidden="1">#REF!</definedName>
    <definedName name="GEMCO" localSheetId="15" hidden="1">#REF!</definedName>
    <definedName name="GEMCO" localSheetId="17" hidden="1">#REF!</definedName>
    <definedName name="GEMCO" localSheetId="0" hidden="1">#REF!</definedName>
    <definedName name="GEMCO" hidden="1">#REF!</definedName>
    <definedName name="GF">#REF!</definedName>
    <definedName name="GFD">#REF!</definedName>
    <definedName name="GFDG" localSheetId="0" hidden="1">{#N/A,#N/A,FALSE,"2~8번"}</definedName>
    <definedName name="GFDG" hidden="1">{#N/A,#N/A,FALSE,"2~8번"}</definedName>
    <definedName name="GFDGDFGFG" localSheetId="0" hidden="1">{#N/A,#N/A,FALSE,"혼합골재"}</definedName>
    <definedName name="GFDGDFGFG" hidden="1">{#N/A,#N/A,FALSE,"혼합골재"}</definedName>
    <definedName name="gfdgdgdf">#REF!</definedName>
    <definedName name="gfdtrf">#REF!</definedName>
    <definedName name="gfdtrfdgdf">#REF!</definedName>
    <definedName name="gfgdfg" hidden="1">#REF!</definedName>
    <definedName name="gfgfg" localSheetId="0" hidden="1">{#N/A,#N/A,FALSE,"골재소요량";#N/A,#N/A,FALSE,"골재소요량"}</definedName>
    <definedName name="gfgfg" hidden="1">{#N/A,#N/A,FALSE,"골재소요량";#N/A,#N/A,FALSE,"골재소요량"}</definedName>
    <definedName name="GFGFHGFHF" localSheetId="0" hidden="1">{#N/A,#N/A,FALSE,"토공2"}</definedName>
    <definedName name="GFGFHGFHF" hidden="1">{#N/A,#N/A,FALSE,"토공2"}</definedName>
    <definedName name="gfggfr">#REF!</definedName>
    <definedName name="gfhgh" localSheetId="0" hidden="1">{#N/A,#N/A,FALSE,"배수2"}</definedName>
    <definedName name="gfhgh" hidden="1">{#N/A,#N/A,FALSE,"배수2"}</definedName>
    <definedName name="GG">#REF!</definedName>
    <definedName name="ggfe">#REF!</definedName>
    <definedName name="ggfhgfshgh" localSheetId="0" hidden="1">{#N/A,#N/A,FALSE,"포장2"}</definedName>
    <definedName name="ggfhgfshgh" hidden="1">{#N/A,#N/A,FALSE,"포장2"}</definedName>
    <definedName name="GGG"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g" localSheetId="0" hidden="1">{#N/A,#N/A,FALSE,"구조1"}</definedName>
    <definedName name="ggggg" hidden="1">{#N/A,#N/A,FALSE,"구조1"}</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ghf">#REF!</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H" localSheetId="11">[0]!BlankMacro1</definedName>
    <definedName name="GHH" localSheetId="13">[0]!BlankMacro1</definedName>
    <definedName name="GHH" localSheetId="15">[0]!BlankMacro1</definedName>
    <definedName name="GHH" localSheetId="28">[0]!BlankMacro1</definedName>
    <definedName name="GHH" localSheetId="24">[0]!BlankMacro1</definedName>
    <definedName name="GHH" localSheetId="26">[0]!BlankMacro1</definedName>
    <definedName name="GHH" localSheetId="27">[0]!BlankMacro1</definedName>
    <definedName name="GHH">[0]!BlankMacro1</definedName>
    <definedName name="ghrgfdg">#REF!</definedName>
    <definedName name="ghrgfdxtr">#REF!</definedName>
    <definedName name="GJHGLI" localSheetId="0" hidden="1">{#N/A,#N/A,FALSE,"포장1";#N/A,#N/A,FALSE,"포장1"}</definedName>
    <definedName name="GJHGLI" hidden="1">{#N/A,#N/A,FALSE,"포장1";#N/A,#N/A,FALSE,"포장1"}</definedName>
    <definedName name="gkdah">#REF!</definedName>
    <definedName name="GLA1P">#REF!</definedName>
    <definedName name="gla1t">#REF!</definedName>
    <definedName name="gla2p">#REF!</definedName>
    <definedName name="gla2t">#REF!</definedName>
    <definedName name="GO">#REF!</definedName>
    <definedName name="gregf">#REF!</definedName>
    <definedName name="grew" hidden="1">#REF!</definedName>
    <definedName name="GRFCX">#REF!</definedName>
    <definedName name="grg">#REF!</definedName>
    <definedName name="grgdgr">#REF!</definedName>
    <definedName name="grggsf">#REF!</definedName>
    <definedName name="grgrfdxzg">#REF!</definedName>
    <definedName name="grgrg">#REF!</definedName>
    <definedName name="grgvcxg">#REF!</definedName>
    <definedName name="GRT" hidden="1">#REF!</definedName>
    <definedName name="grvds">#REF!</definedName>
    <definedName name="grZ">#REF!</definedName>
    <definedName name="GS" localSheetId="0" hidden="1">{#N/A,#N/A,FALSE,"포장2"}</definedName>
    <definedName name="GS" hidden="1">{#N/A,#N/A,FALSE,"포장2"}</definedName>
    <definedName name="gsagsdarafds" localSheetId="0" hidden="1">{#N/A,#N/A,FALSE,"토공2"}</definedName>
    <definedName name="gsagsdarafds" hidden="1">{#N/A,#N/A,FALSE,"토공2"}</definedName>
    <definedName name="gt">#REF!</definedName>
    <definedName name="gu">#REF!,#REF!</definedName>
    <definedName name="GuBae">#REF!</definedName>
    <definedName name="gunmok">[0]!gunmok</definedName>
    <definedName name="GV">#REF!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sys">#REF!</definedName>
    <definedName name="H_1">#REF!</definedName>
    <definedName name="H_2">#REF!</definedName>
    <definedName name="h_3">#REF!</definedName>
    <definedName name="h_pile">#REF!</definedName>
    <definedName name="h_pileea">#REF!</definedName>
    <definedName name="H_S">#REF!</definedName>
    <definedName name="H_W설치기사">#REF!</definedName>
    <definedName name="H_W설치사">#REF!</definedName>
    <definedName name="H_W시험기사">#REF!</definedName>
    <definedName name="H_W시험사">#REF!</definedName>
    <definedName name="H100x100x6x8t_단중">#REF!</definedName>
    <definedName name="H10A1P">#REF!</definedName>
    <definedName name="h10a1t">#REF!</definedName>
    <definedName name="h10a2p">#REF!</definedName>
    <definedName name="h10a2t">#REF!</definedName>
    <definedName name="H11A1P">#REF!</definedName>
    <definedName name="h11a1t">#REF!</definedName>
    <definedName name="h11a2p">#REF!</definedName>
    <definedName name="H11A2T">#REF!</definedName>
    <definedName name="H125x125x6.5x9t_단중">#REF!</definedName>
    <definedName name="H150x100x6x9t_단중">#REF!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A1P">#REF!</definedName>
    <definedName name="h3a1t">#REF!</definedName>
    <definedName name="h3a2p">#REF!</definedName>
    <definedName name="h3a2t">#REF!</definedName>
    <definedName name="H3AP1">#REF!</definedName>
    <definedName name="H3H">#REF!</definedName>
    <definedName name="H3L">#REF!</definedName>
    <definedName name="H3R">#REF!</definedName>
    <definedName name="H3WL">#REF!</definedName>
    <definedName name="H3WR">#REF!</definedName>
    <definedName name="h4a1p">#REF!</definedName>
    <definedName name="h4a1t">#REF!</definedName>
    <definedName name="h4a2p">#REF!</definedName>
    <definedName name="h4a2t">#REF!</definedName>
    <definedName name="H4H">#REF!</definedName>
    <definedName name="H4L">#REF!</definedName>
    <definedName name="H4R">#REF!</definedName>
    <definedName name="H5A1P">#REF!</definedName>
    <definedName name="h5a1t">#REF!</definedName>
    <definedName name="h5a2p">#REF!</definedName>
    <definedName name="h5a2t">#REF!</definedName>
    <definedName name="H5L">#REF!</definedName>
    <definedName name="H5R">#REF!</definedName>
    <definedName name="h6a">#REF!</definedName>
    <definedName name="H6A1P">#REF!</definedName>
    <definedName name="h6a1t">#REF!</definedName>
    <definedName name="h6a2p">#REF!</definedName>
    <definedName name="h6a2t">#REF!</definedName>
    <definedName name="H6L">#REF!</definedName>
    <definedName name="H6R">#REF!</definedName>
    <definedName name="H7A1P">#REF!</definedName>
    <definedName name="h7a1t">#REF!</definedName>
    <definedName name="h7a2p">#REF!</definedName>
    <definedName name="h7a2t">#REF!</definedName>
    <definedName name="H7L">#REF!</definedName>
    <definedName name="H7R">#REF!</definedName>
    <definedName name="H8A1P">#REF!</definedName>
    <definedName name="h8a1t">#REF!</definedName>
    <definedName name="h8a2p">#REF!</definedName>
    <definedName name="h8a2t">#REF!</definedName>
    <definedName name="H9A">#REF!</definedName>
    <definedName name="H9A1P">#REF!</definedName>
    <definedName name="h9a1t">#REF!</definedName>
    <definedName name="h9a2p">#REF!</definedName>
    <definedName name="h9a2t">#REF!</definedName>
    <definedName name="HA">#REF!</definedName>
    <definedName name="HA1P">#REF!</definedName>
    <definedName name="ha1t">#REF!</definedName>
    <definedName name="ha2p">#REF!</definedName>
    <definedName name="ha2t">#REF!</definedName>
    <definedName name="HAB">#REF!</definedName>
    <definedName name="hadfhafa" localSheetId="0" hidden="1">{#N/A,#N/A,FALSE,"혼합골재"}</definedName>
    <definedName name="hadfhafa" hidden="1">{#N/A,#N/A,FALSE,"혼합골재"}</definedName>
    <definedName name="hadfhafhad" localSheetId="0" hidden="1">{#N/A,#N/A,FALSE,"운반시간"}</definedName>
    <definedName name="hadfhafhad" hidden="1">{#N/A,#N/A,FALSE,"운반시간"}</definedName>
    <definedName name="hadfhata" localSheetId="0" hidden="1">{#N/A,#N/A,FALSE,"표지목차"}</definedName>
    <definedName name="hadfhata" hidden="1">{#N/A,#N/A,FALSE,"표지목차"}</definedName>
    <definedName name="hadhfaha" localSheetId="0" hidden="1">{#N/A,#N/A,FALSE,"포장2"}</definedName>
    <definedName name="hadhfaha" hidden="1">{#N/A,#N/A,FALSE,"포장2"}</definedName>
    <definedName name="HAF">#REF!</definedName>
    <definedName name="hal" hidden="1">#REF!</definedName>
    <definedName name="han" hidden="1">#REF!</definedName>
    <definedName name="hardwar" localSheetId="19" hidden="1">#REF!</definedName>
    <definedName name="hardwar" localSheetId="21" hidden="1">#REF!</definedName>
    <definedName name="hardwar" localSheetId="23" hidden="1">#REF!</definedName>
    <definedName name="hardwar" localSheetId="3" hidden="1">#REF!</definedName>
    <definedName name="hardwar" localSheetId="5" hidden="1">#REF!</definedName>
    <definedName name="hardwar" localSheetId="7" hidden="1">#REF!</definedName>
    <definedName name="hardwar" localSheetId="9" hidden="1">#REF!</definedName>
    <definedName name="hardwar" localSheetId="11" hidden="1">#REF!</definedName>
    <definedName name="hardwar" localSheetId="13" hidden="1">#REF!</definedName>
    <definedName name="hardwar" localSheetId="15" hidden="1">#REF!</definedName>
    <definedName name="hardwar" localSheetId="17" hidden="1">#REF!</definedName>
    <definedName name="hardwar" localSheetId="0" hidden="1">#REF!</definedName>
    <definedName name="hardwar" hidden="1">#REF!</definedName>
    <definedName name="HBOLT">#REF!</definedName>
    <definedName name="HBV">#REF!</definedName>
    <definedName name="HC">#REF!</definedName>
    <definedName name="Hca">#REF!</definedName>
    <definedName name="Hcd">#REF!</definedName>
    <definedName name="HCR">#REF!</definedName>
    <definedName name="HD">#REF!</definedName>
    <definedName name="HDATA">#N/A</definedName>
    <definedName name="hddr">#REF!</definedName>
    <definedName name="HDSVP">#REF!</definedName>
    <definedName name="HE">#REF!</definedName>
    <definedName name="Hello">#REF!</definedName>
    <definedName name="HF">#REF!</definedName>
    <definedName name="hfgr">#REF!</definedName>
    <definedName name="hfgrg">#REF!</definedName>
    <definedName name="hfgrgfdg">#REF!</definedName>
    <definedName name="hfiytf" localSheetId="28">BlankMacro1</definedName>
    <definedName name="hfiytf" localSheetId="24">BlankMacro1</definedName>
    <definedName name="hfiytf" localSheetId="26">BlankMacro1</definedName>
    <definedName name="hfiytf" localSheetId="27">BlankMacro1</definedName>
    <definedName name="hfiytf">BlankMacro1</definedName>
    <definedName name="hgd" localSheetId="0" hidden="1">{#N/A,#N/A,FALSE,"배수2"}</definedName>
    <definedName name="hgd" hidden="1">{#N/A,#N/A,FALSE,"배수2"}</definedName>
    <definedName name="hgderfd">#REF!</definedName>
    <definedName name="hgfgtr">#REF!</definedName>
    <definedName name="hgh" localSheetId="0" hidden="1">{#N/A,#N/A,FALSE,"단가표지"}</definedName>
    <definedName name="hgh" hidden="1">{#N/A,#N/A,FALSE,"단가표지"}</definedName>
    <definedName name="hghg" localSheetId="0" hidden="1">{#N/A,#N/A,FALSE,"운반시간"}</definedName>
    <definedName name="hghg" hidden="1">{#N/A,#N/A,FALSE,"운반시간"}</definedName>
    <definedName name="HH">#REF!</definedName>
    <definedName name="HHAF">#REF!</definedName>
    <definedName name="HHH">#REF!</definedName>
    <definedName name="HHHH" hidden="1">#REF!</definedName>
    <definedName name="HHMF">#REF!</definedName>
    <definedName name="HHR" localSheetId="0" hidden="1">{#N/A,#N/A,FALSE,"포장2"}</definedName>
    <definedName name="HHR" hidden="1">{#N/A,#N/A,FALSE,"포장2"}</definedName>
    <definedName name="HHS">#REF!</definedName>
    <definedName name="HHT">#REF!</definedName>
    <definedName name="HI_전선관">#REF!</definedName>
    <definedName name="hj">#REF!</definedName>
    <definedName name="hjtdfgfg">#REF!</definedName>
    <definedName name="hkj" localSheetId="0" hidden="1">{#N/A,#N/A,FALSE,"혼합골재"}</definedName>
    <definedName name="hkj" hidden="1">{#N/A,#N/A,FALSE,"혼합골재"}</definedName>
    <definedName name="HL">#REF!</definedName>
    <definedName name="HM">#REF!</definedName>
    <definedName name="HMAX">#N/A</definedName>
    <definedName name="HMF">#REF!</definedName>
    <definedName name="HMOTOR">#REF!</definedName>
    <definedName name="HO">#REF!</definedName>
    <definedName name="HORI">#REF!</definedName>
    <definedName name="HP">#REF!</definedName>
    <definedName name="HPI">#REF!</definedName>
    <definedName name="HPP">#REF!</definedName>
    <definedName name="HPUMP">#REF!</definedName>
    <definedName name="HR">#REF!</definedName>
    <definedName name="hrbjrjy" localSheetId="0" hidden="1">{#N/A,#N/A,FALSE,"배수2"}</definedName>
    <definedName name="hrbjrjy" hidden="1">{#N/A,#N/A,FALSE,"배수2"}</definedName>
    <definedName name="Hs">#REF!</definedName>
    <definedName name="HSH">#REF!</definedName>
    <definedName name="HSO">#REF!</definedName>
    <definedName name="HSP">#REF!</definedName>
    <definedName name="HSR" hidden="1">{"'용역비'!$A$4:$C$8"}</definedName>
    <definedName name="HST">#REF!</definedName>
    <definedName name="HSV">#REF!</definedName>
    <definedName name="htc_단가표_List">#REF!</definedName>
    <definedName name="htgfdg">#REF!</definedName>
    <definedName name="hthth">#REF!</definedName>
    <definedName name="HTML_CodePage" hidden="1">949</definedName>
    <definedName name="HTML_Control" localSheetId="0" hidden="1">{"'정산내역서'!$A$1:$I$35","'정산서(절.성토부)'!$A$1:$Q$17","'정산서(교량부)'!$A$1:$Q$84","'총괄표'!$A$1:$M$12","'시행현황'!$A$1:$G$12","'표지'!$A$1:$N$27","'정산서(절.성토부)'!$A$3:$Q$7"}</definedName>
    <definedName name="HTML_Control" hidden="1">{"'정산내역서'!$A$1:$I$35","'정산서(절.성토부)'!$A$1:$Q$17","'정산서(교량부)'!$A$1:$Q$84","'총괄표'!$A$1:$M$12","'시행현황'!$A$1:$G$12","'표지'!$A$1:$N$27","'정산서(절.성토부)'!$A$3:$Q$7"}</definedName>
    <definedName name="HTML_Description" hidden="1">""</definedName>
    <definedName name="HTML_Email" hidden="1">""</definedName>
    <definedName name="HTML_Header" hidden="1">"정산서(절.성토부)"</definedName>
    <definedName name="HTML_LastUpdate" hidden="1">"99-06-17"</definedName>
    <definedName name="HTML_LineAfter" hidden="1">FALSE</definedName>
    <definedName name="HTML_LineBefore" hidden="1">FALSE</definedName>
    <definedName name="HTML_Name" hidden="1">"박태홍"</definedName>
    <definedName name="HTML_OBDlg2" hidden="1">TRUE</definedName>
    <definedName name="HTML_OBDlg3" hidden="1">TRUE</definedName>
    <definedName name="HTML_OBDlg4" hidden="1">TRUE</definedName>
    <definedName name="HTML_OS" hidden="1">0</definedName>
    <definedName name="HTML_PathFile" hidden="1">"C:\TAEHONG\MyHTML.htm"</definedName>
    <definedName name="HTML_PathTemplate" hidden="1">"C:\USERS\JHW\Kwangju\Distribution-Analysis\HTMLTemp.htm"</definedName>
    <definedName name="HTML_Title" hidden="1">"kuma-re1"</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u">#REF!</definedName>
    <definedName name="HUB">#REF!</definedName>
    <definedName name="HUH">#REF!</definedName>
    <definedName name="HVAFP">#REF!</definedName>
    <definedName name="HVMF">#REF!</definedName>
    <definedName name="HWEI">#REF!</definedName>
    <definedName name="HWL">#REF!</definedName>
    <definedName name="HWP">#REF!</definedName>
    <definedName name="HWR">#REF!</definedName>
    <definedName name="HW설치기사">#REF!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기사">#REF!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W신규일위">#REF!</definedName>
    <definedName name="HYUNDAI">#REF!</definedName>
    <definedName name="H모래180규격">#REF!</definedName>
    <definedName name="H모래90규격">#REF!</definedName>
    <definedName name="H사">#REF!</definedName>
    <definedName name="H삼">#REF!</definedName>
    <definedName name="H이">#REF!</definedName>
    <definedName name="H일">#REF!</definedName>
    <definedName name="i">#REF!</definedName>
    <definedName name="I_BEAM">#REF!</definedName>
    <definedName name="I_EA">#REF!</definedName>
    <definedName name="ID">#REF!,#REF!</definedName>
    <definedName name="II" hidden="1">{"'용역비'!$A$4:$C$8"}</definedName>
    <definedName name="IIB호D13">#REF!</definedName>
    <definedName name="IIB호D16">#REF!</definedName>
    <definedName name="IIC호D13">#REF!</definedName>
    <definedName name="IIC호D16">#REF!</definedName>
    <definedName name="iii">#REF!</definedName>
    <definedName name="IIIC호D13">#REF!</definedName>
    <definedName name="IIIC호D16">#REF!</definedName>
    <definedName name="IIII" hidden="1">{"'용역비'!$A$4:$C$8"}</definedName>
    <definedName name="IIIII" hidden="1">{"'용역비'!$A$4:$C$8"}</definedName>
    <definedName name="IIIIII">#REF!</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L">#N/A</definedName>
    <definedName name="ilch">#REF!</definedName>
    <definedName name="ILP80적">#REF!</definedName>
    <definedName name="ILP80회">#REF!</definedName>
    <definedName name="ILP적">#REF!</definedName>
    <definedName name="ILP회">#REF!</definedName>
    <definedName name="IMP">#REF!</definedName>
    <definedName name="In_SCODcr">#REF!</definedName>
    <definedName name="IND">#REF!</definedName>
    <definedName name="INPUT">#REF!</definedName>
    <definedName name="INTPUT">#REF!</definedName>
    <definedName name="INTPUTDATA">#REF!</definedName>
    <definedName name="IOI" hidden="1">{"'용역비'!$A$4:$C$8"}</definedName>
    <definedName name="IOIOIOIO" localSheetId="0" hidden="1">{#N/A,#N/A,FALSE,"표지목차"}</definedName>
    <definedName name="IOIOIOIO" hidden="1">{#N/A,#N/A,FALSE,"표지목차"}</definedName>
    <definedName name="IT">#REF!</definedName>
    <definedName name="ITEM">#REF!</definedName>
    <definedName name="ITEM_">#REF!</definedName>
    <definedName name="item3">#REF!</definedName>
    <definedName name="ITEMDESC">#REF!</definedName>
    <definedName name="ITNUM">#N/A</definedName>
    <definedName name="j">#REF!</definedName>
    <definedName name="J_1">#REF!</definedName>
    <definedName name="J_D">#REF!</definedName>
    <definedName name="j1_e">#REF!</definedName>
    <definedName name="j1_ea">#REF!</definedName>
    <definedName name="JAATD">#REF!</definedName>
    <definedName name="JACK">#REF!</definedName>
    <definedName name="jack_ea">#REF!</definedName>
    <definedName name="JACK100TON">#REF!</definedName>
    <definedName name="JH">#REF!</definedName>
    <definedName name="jhewjopf" hidden="1">{#N/A,#N/A,TRUE,"토적및재료집계";#N/A,#N/A,TRUE,"토적및재료집계";#N/A,#N/A,TRUE,"단위량"}</definedName>
    <definedName name="jhj">#REF!</definedName>
    <definedName name="jhjg" localSheetId="0" hidden="1">{#N/A,#N/A,FALSE,"조골재"}</definedName>
    <definedName name="jhjg" hidden="1">{#N/A,#N/A,FALSE,"조골재"}</definedName>
    <definedName name="jhjh" localSheetId="0" hidden="1">{#N/A,#N/A,FALSE,"표지목차"}</definedName>
    <definedName name="jhjh" hidden="1">{#N/A,#N/A,FALSE,"표지목차"}</definedName>
    <definedName name="JJ">#REF!</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#REF!</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ghjgk" hidden="1">#REF!</definedName>
    <definedName name="JKJKJKJK" localSheetId="0" hidden="1">{#N/A,#N/A,FALSE,"포장1";#N/A,#N/A,FALSE,"포장1"}</definedName>
    <definedName name="JKJKJKJK" hidden="1">{#N/A,#N/A,FALSE,"포장1";#N/A,#N/A,FALSE,"포장1"}</definedName>
    <definedName name="JL">#REF!</definedName>
    <definedName name="JOB">#REF!</definedName>
    <definedName name="JOINT">#REF!</definedName>
    <definedName name="JPP">#REF!</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YH">#REF!</definedName>
    <definedName name="jyhytdz">#REF!</definedName>
    <definedName name="jyjyfjy45">#REF!</definedName>
    <definedName name="jytrtysr" localSheetId="0" hidden="1">{#N/A,#N/A,FALSE,"조골재"}</definedName>
    <definedName name="jytrtysr" hidden="1">{#N/A,#N/A,FALSE,"조골재"}</definedName>
    <definedName name="K">#REF!</definedName>
    <definedName name="K_D">#REF!</definedName>
    <definedName name="K_PR">#REF!</definedName>
    <definedName name="KA">#REF!</definedName>
    <definedName name="KAE">#REF!</definedName>
    <definedName name="KANG1">#REF!</definedName>
    <definedName name="KANG2">#REF!</definedName>
    <definedName name="KAS">#REF!</definedName>
    <definedName name="Ka일">#REF!</definedName>
    <definedName name="Ka투">#REF!</definedName>
    <definedName name="KD">#REF!</definedName>
    <definedName name="KDJ">#REF!</definedName>
    <definedName name="kdjf">#REF!</definedName>
    <definedName name="Kdo">#REF!</definedName>
    <definedName name="Kea">#REF!</definedName>
    <definedName name="KFJG">#REF!</definedName>
    <definedName name="Kh">#REF!</definedName>
    <definedName name="khl" localSheetId="0" hidden="1">{#N/A,#N/A,FALSE,"2~8번"}</definedName>
    <definedName name="khl" hidden="1">{#N/A,#N/A,FALSE,"2~8번"}</definedName>
    <definedName name="kim">#REF!</definedName>
    <definedName name="KJHGHGGTG">#REF!</definedName>
    <definedName name="KJIUK">#REF!</definedName>
    <definedName name="KJUGR">#REF!</definedName>
    <definedName name="KK">#REF!</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P">#REF!</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LKLKLK" localSheetId="0" hidden="1">{#N/A,#N/A,FALSE,"포장2"}</definedName>
    <definedName name="KLLKLKLK" hidden="1">{#N/A,#N/A,FALSE,"포장2"}</definedName>
    <definedName name="KMP">#REF!</definedName>
    <definedName name="kn">#REF!</definedName>
    <definedName name="Kns">#REF!</definedName>
    <definedName name="Ko">#REF!</definedName>
    <definedName name="KOREA">#REF!</definedName>
    <definedName name="Ks">#REF!</definedName>
    <definedName name="KSF">#REF!</definedName>
    <definedName name="ksm" localSheetId="0" hidden="1">{#N/A,#N/A,FALSE,"운반시간"}</definedName>
    <definedName name="ksm" hidden="1">{#N/A,#N/A,FALSE,"운반시간"}</definedName>
    <definedName name="ktf" localSheetId="19" hidden="1">#REF!</definedName>
    <definedName name="ktf" localSheetId="21" hidden="1">#REF!</definedName>
    <definedName name="ktf" localSheetId="23" hidden="1">#REF!</definedName>
    <definedName name="ktf" localSheetId="3" hidden="1">#REF!</definedName>
    <definedName name="ktf" localSheetId="5" hidden="1">#REF!</definedName>
    <definedName name="ktf" localSheetId="7" hidden="1">#REF!</definedName>
    <definedName name="ktf" localSheetId="9" hidden="1">#REF!</definedName>
    <definedName name="ktf" localSheetId="11" hidden="1">#REF!</definedName>
    <definedName name="ktf" localSheetId="13" hidden="1">#REF!</definedName>
    <definedName name="ktf" localSheetId="15" hidden="1">#REF!</definedName>
    <definedName name="ktf" localSheetId="17" hidden="1">#REF!</definedName>
    <definedName name="ktf" localSheetId="0" hidden="1">#REF!</definedName>
    <definedName name="ktf" hidden="1">#REF!</definedName>
    <definedName name="kty" localSheetId="19" hidden="1">#REF!</definedName>
    <definedName name="kty" localSheetId="21" hidden="1">#REF!</definedName>
    <definedName name="kty" localSheetId="23" hidden="1">#REF!</definedName>
    <definedName name="kty" localSheetId="3" hidden="1">#REF!</definedName>
    <definedName name="kty" localSheetId="5" hidden="1">#REF!</definedName>
    <definedName name="kty" localSheetId="7" hidden="1">#REF!</definedName>
    <definedName name="kty" localSheetId="9" hidden="1">#REF!</definedName>
    <definedName name="kty" localSheetId="11" hidden="1">#REF!</definedName>
    <definedName name="kty" localSheetId="13" hidden="1">#REF!</definedName>
    <definedName name="kty" localSheetId="15" hidden="1">#REF!</definedName>
    <definedName name="kty" localSheetId="17" hidden="1">#REF!</definedName>
    <definedName name="kty" localSheetId="0" hidden="1">#REF!</definedName>
    <definedName name="kty" hidden="1">#REF!</definedName>
    <definedName name="KUP">#REF!</definedName>
    <definedName name="Kv">#REF!</definedName>
    <definedName name="KVO">#REF!</definedName>
    <definedName name="kytjnjr" localSheetId="0" hidden="1">{#N/A,#N/A,FALSE,"토공2"}</definedName>
    <definedName name="kytjnjr" hidden="1">{#N/A,#N/A,FALSE,"토공2"}</definedName>
    <definedName name="l">#REF!</definedName>
    <definedName name="L_1">#REF!</definedName>
    <definedName name="l1_ea">#REF!</definedName>
    <definedName name="L1A1P">#REF!</definedName>
    <definedName name="l1a1t">#REF!</definedName>
    <definedName name="l1a2p">#REF!</definedName>
    <definedName name="l1a2t">#REF!</definedName>
    <definedName name="L1AS">#REF!</definedName>
    <definedName name="L1L">#REF!</definedName>
    <definedName name="L1S">#REF!</definedName>
    <definedName name="L2A1P">#REF!</definedName>
    <definedName name="l2a1t">#REF!</definedName>
    <definedName name="l2a2p">#REF!</definedName>
    <definedName name="l2a2t">#REF!</definedName>
    <definedName name="L2L">#REF!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S">#REF!</definedName>
    <definedName name="L6A1P">#REF!</definedName>
    <definedName name="l6a1t">#REF!</definedName>
    <definedName name="l6a2p">#REF!</definedName>
    <definedName name="l6a2t">#REF!</definedName>
    <definedName name="LA">#REF!</definedName>
    <definedName name="LA1P">#REF!</definedName>
    <definedName name="la1t">#REF!</definedName>
    <definedName name="la2p">#REF!</definedName>
    <definedName name="la2t">#REF!</definedName>
    <definedName name="lab">#REF!</definedName>
    <definedName name="labor">#REF!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#REF!</definedName>
    <definedName name="LAST">#REF!</definedName>
    <definedName name="LBOX1">#REF!</definedName>
    <definedName name="LBOX2">#REF!</definedName>
    <definedName name="LC">#REF!</definedName>
    <definedName name="LCC">#REF!</definedName>
    <definedName name="LCL">#REF!</definedName>
    <definedName name="Lclb">#REF!</definedName>
    <definedName name="LD">#REF!</definedName>
    <definedName name="LE">#REF!</definedName>
    <definedName name="LEE">#REF!</definedName>
    <definedName name="Len">#REF!</definedName>
    <definedName name="lf">#REF!</definedName>
    <definedName name="lg">#REF!</definedName>
    <definedName name="LH">#REF!</definedName>
    <definedName name="LH.4">#REF!</definedName>
    <definedName name="LH.7">#REF!</definedName>
    <definedName name="li" hidden="1">{"'용역비'!$A$4:$C$8"}</definedName>
    <definedName name="LIM">#REF!</definedName>
    <definedName name="limcount" hidden="1">1</definedName>
    <definedName name="ljkㅏㅎ" hidden="1">{#N/A,#N/A,FALSE,"2~8번"}</definedName>
    <definedName name="LK" localSheetId="28">BlankMacro1</definedName>
    <definedName name="LK" localSheetId="24">BlankMacro1</definedName>
    <definedName name="LK" localSheetId="26">BlankMacro1</definedName>
    <definedName name="LK" localSheetId="27">BlankMacro1</definedName>
    <definedName name="LK">BlankMacro1</definedName>
    <definedName name="LKLKL">#REF!</definedName>
    <definedName name="ll">#REF!</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#REF!</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0" hidden="1">{#N/A,#N/A,FALSE,"P.C.B"}</definedName>
    <definedName name="lll" hidden="1">{#N/A,#N/A,FALSE,"P.C.B"}</definedName>
    <definedName name="LLLL">#REF!</definedName>
    <definedName name="lllllll">#REF!</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형측구">#REF!</definedName>
    <definedName name="LMO">#REF!</definedName>
    <definedName name="lo">#REF!</definedName>
    <definedName name="LP___4">#REF!</definedName>
    <definedName name="LPI">#REF!</definedName>
    <definedName name="LS">#REF!</definedName>
    <definedName name="ls_ea">#REF!</definedName>
    <definedName name="LSA">#REF!</definedName>
    <definedName name="LSD">#REF!</definedName>
    <definedName name="LSE">#REF!</definedName>
    <definedName name="LSH">#REF!</definedName>
    <definedName name="LST">#REF!</definedName>
    <definedName name="LU">#REF!</definedName>
    <definedName name="L형옹벽">#REF!</definedName>
    <definedName name="L형위치조서">#REF!</definedName>
    <definedName name="L형측구">#REF!</definedName>
    <definedName name="M">#REF!</definedName>
    <definedName name="M_EF">#REF!</definedName>
    <definedName name="M1A1P">#REF!</definedName>
    <definedName name="m1a1t">#REF!</definedName>
    <definedName name="m1a2p">#REF!</definedName>
    <definedName name="m1a2t">#REF!</definedName>
    <definedName name="㎡">#REF!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cro1" localSheetId="11">#REF!</definedName>
    <definedName name="Macro1" localSheetId="13">#REF!</definedName>
    <definedName name="Macro1" localSheetId="15">#REF!</definedName>
    <definedName name="Macro1">#REF!</definedName>
    <definedName name="Macro10" localSheetId="11">#REF!</definedName>
    <definedName name="Macro10" localSheetId="13">#REF!</definedName>
    <definedName name="Macro10" localSheetId="15">#REF!</definedName>
    <definedName name="Macro10">#REF!</definedName>
    <definedName name="Macro11" localSheetId="11">#REF!</definedName>
    <definedName name="Macro11" localSheetId="13">#REF!</definedName>
    <definedName name="Macro11" localSheetId="15">#REF!</definedName>
    <definedName name="Macro11">#REF!</definedName>
    <definedName name="Macro12" localSheetId="11">#REF!</definedName>
    <definedName name="Macro12" localSheetId="13">#REF!</definedName>
    <definedName name="Macro12" localSheetId="15">#REF!</definedName>
    <definedName name="Macro12">#REF!</definedName>
    <definedName name="Macro13" localSheetId="11">#REF!</definedName>
    <definedName name="Macro13" localSheetId="13">#REF!</definedName>
    <definedName name="Macro13" localSheetId="15">#REF!</definedName>
    <definedName name="Macro13">#REF!</definedName>
    <definedName name="Macro14" localSheetId="11">#REF!</definedName>
    <definedName name="Macro14" localSheetId="13">#REF!</definedName>
    <definedName name="Macro14" localSheetId="15">#REF!</definedName>
    <definedName name="Macro14">#REF!</definedName>
    <definedName name="MACRO20" localSheetId="11">#REF!</definedName>
    <definedName name="MACRO20" localSheetId="13">#REF!</definedName>
    <definedName name="MACRO20" localSheetId="15">#REF!</definedName>
    <definedName name="MACRO20">#REF!</definedName>
    <definedName name="Macro4" localSheetId="11">#REF!</definedName>
    <definedName name="Macro4" localSheetId="13">#REF!</definedName>
    <definedName name="Macro4" localSheetId="15">#REF!</definedName>
    <definedName name="Macro4">#REF!</definedName>
    <definedName name="Macro5" localSheetId="11">#REF!</definedName>
    <definedName name="Macro5" localSheetId="13">#REF!</definedName>
    <definedName name="Macro5" localSheetId="15">#REF!</definedName>
    <definedName name="Macro5">#REF!</definedName>
    <definedName name="Macro6" localSheetId="11">#REF!</definedName>
    <definedName name="Macro6" localSheetId="13">#REF!</definedName>
    <definedName name="Macro6" localSheetId="15">#REF!</definedName>
    <definedName name="Macro6">#REF!</definedName>
    <definedName name="Macro7" localSheetId="11">#REF!</definedName>
    <definedName name="Macro7" localSheetId="13">#REF!</definedName>
    <definedName name="Macro7" localSheetId="15">#REF!</definedName>
    <definedName name="Macro7">#REF!</definedName>
    <definedName name="Macro8" localSheetId="11">#REF!</definedName>
    <definedName name="Macro8" localSheetId="13">#REF!</definedName>
    <definedName name="Macro8" localSheetId="15">#REF!</definedName>
    <definedName name="Macro8">#REF!</definedName>
    <definedName name="Macro9" localSheetId="11">#REF!</definedName>
    <definedName name="Macro9" localSheetId="13">#REF!</definedName>
    <definedName name="Macro9" localSheetId="15">#REF!</definedName>
    <definedName name="Macro9">#REF!</definedName>
    <definedName name="MaH">#REF!</definedName>
    <definedName name="MAIN_COM_소계">#REF!</definedName>
    <definedName name="MATO">#REF!</definedName>
    <definedName name="MB.1">#REF!</definedName>
    <definedName name="MB.2">#REF!</definedName>
    <definedName name="Mc3Span">#REF!</definedName>
    <definedName name="MCB">#REF!</definedName>
    <definedName name="MCH">#REF!</definedName>
    <definedName name="MCON">#REF!</definedName>
    <definedName name="MD">#REF!</definedName>
    <definedName name="MDA">#REF!</definedName>
    <definedName name="MDE">#REF!</definedName>
    <definedName name="ME">#REF!</definedName>
    <definedName name="MEASURE">#REF!</definedName>
    <definedName name="MENU1">#REF!</definedName>
    <definedName name="MENU2">#REF!</definedName>
    <definedName name="MH">#REF!</definedName>
    <definedName name="MHL175W">#REF!</definedName>
    <definedName name="MHL250W">#REF!</definedName>
    <definedName name="MHL400W">#REF!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K" localSheetId="0" hidden="1">{#N/A,#N/A,FALSE,"배수1"}</definedName>
    <definedName name="MK" hidden="1">{#N/A,#N/A,FALSE,"배수1"}</definedName>
    <definedName name="MKJIUCX">#REF!</definedName>
    <definedName name="MLA">#REF!</definedName>
    <definedName name="MLE">#REF!</definedName>
    <definedName name="MLR">#REF!</definedName>
    <definedName name="MLSS">#REF!</definedName>
    <definedName name="MLVSS">#REF!</definedName>
    <definedName name="mm" hidden="1">{#N/A,#N/A,TRUE,"토적및재료집계";#N/A,#N/A,TRUE,"토적및재료집계";#N/A,#N/A,TRUE,"단위량"}</definedName>
    <definedName name="MMM"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M">#REF!</definedName>
    <definedName name="mn">#REF!</definedName>
    <definedName name="MNHL">#REF!</definedName>
    <definedName name="MO">#REF!</definedName>
    <definedName name="MONEY">#REF!,#REF!</definedName>
    <definedName name="monitor">#REF!</definedName>
    <definedName name="MONTHS">#REF!</definedName>
    <definedName name="MOTOR">#REF!</definedName>
    <definedName name="MOTOR__농형_전폐">#REF!</definedName>
    <definedName name="MP">#REF!</definedName>
    <definedName name="MR">#REF!</definedName>
    <definedName name="MRD">#REF!</definedName>
    <definedName name="MRL">#REF!</definedName>
    <definedName name="MS">#REF!</definedName>
    <definedName name="msb">#REF!</definedName>
    <definedName name="msh">#REF!</definedName>
    <definedName name="msm">#REF!</definedName>
    <definedName name="MU">#REF!</definedName>
    <definedName name="MUO_REA">#REF!</definedName>
    <definedName name="MUO_TOE">#REF!</definedName>
    <definedName name="musu">#REF!</definedName>
    <definedName name="MX">#REF!</definedName>
    <definedName name="MYB.1">#REF!</definedName>
    <definedName name="MYB.2">#REF!</definedName>
    <definedName name="MYH">#REF!</definedName>
    <definedName name="MZ">#REF!</definedName>
    <definedName name="M당무게">#REF!</definedName>
    <definedName name="N">#N/A</definedName>
    <definedName name="N_1">#REF!</definedName>
    <definedName name="N_10">#REF!</definedName>
    <definedName name="N_11">#REF!</definedName>
    <definedName name="N_12">#REF!</definedName>
    <definedName name="N_13">#REF!</definedName>
    <definedName name="N_14">#REF!</definedName>
    <definedName name="N_15">#REF!</definedName>
    <definedName name="N_16">#REF!</definedName>
    <definedName name="N_17">#REF!</definedName>
    <definedName name="N_18">#REF!</definedName>
    <definedName name="N_19">#REF!</definedName>
    <definedName name="N_2">#REF!</definedName>
    <definedName name="N_20">#REF!</definedName>
    <definedName name="N_21">#REF!</definedName>
    <definedName name="N_22">#REF!</definedName>
    <definedName name="N_23">#REF!</definedName>
    <definedName name="N_24">#REF!</definedName>
    <definedName name="N_25">#REF!</definedName>
    <definedName name="N_26">#REF!</definedName>
    <definedName name="N_27">#REF!</definedName>
    <definedName name="N_28">#REF!</definedName>
    <definedName name="N_29">#REF!</definedName>
    <definedName name="N_3">#REF!</definedName>
    <definedName name="N_30">#REF!</definedName>
    <definedName name="N_31">#REF!</definedName>
    <definedName name="N_4">#REF!</definedName>
    <definedName name="N_5">#REF!</definedName>
    <definedName name="N_6">#REF!</definedName>
    <definedName name="N_7">#REF!</definedName>
    <definedName name="N_8">#REF!</definedName>
    <definedName name="N_9">#REF!</definedName>
    <definedName name="N_C">#REF!</definedName>
    <definedName name="N_D">#REF!</definedName>
    <definedName name="N_Q">#REF!</definedName>
    <definedName name="N_R">#REF!</definedName>
    <definedName name="N01S">#REF!</definedName>
    <definedName name="N1A">#REF!</definedName>
    <definedName name="N1D">#REF!</definedName>
    <definedName name="N1S">#REF!</definedName>
    <definedName name="N2S">#REF!</definedName>
    <definedName name="N3S">#REF!</definedName>
    <definedName name="NA">#REF!</definedName>
    <definedName name="NAK">#N/A</definedName>
    <definedName name="NAM">#REF!</definedName>
    <definedName name="NC">#REF!</definedName>
    <definedName name="Nca">#REF!</definedName>
    <definedName name="Ncd">#REF!</definedName>
    <definedName name="ND">#REF!</definedName>
    <definedName name="NDO">#REF!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#REF!</definedName>
    <definedName name="Next_rec">#N/A</definedName>
    <definedName name="ＮＥＹＯＫ">#REF!</definedName>
    <definedName name="NH4N">#REF!</definedName>
    <definedName name="NHL">#REF!</definedName>
    <definedName name="NHM">#REF!</definedName>
    <definedName name="NI">#REF!</definedName>
    <definedName name="NMB">#REF!</definedName>
    <definedName name="NN">#REF!</definedName>
    <definedName name="NNN">#REF!</definedName>
    <definedName name="NNNN">#REF!</definedName>
    <definedName name="NO">#N/A</definedName>
    <definedName name="NO.">#REF!</definedName>
    <definedName name="NO3eq">#REF!</definedName>
    <definedName name="NOIM">#REF!</definedName>
    <definedName name="NOMU">#REF!</definedName>
    <definedName name="NOMUBY">#REF!</definedName>
    <definedName name="NON">#REF!</definedName>
    <definedName name="NOR">#REF!</definedName>
    <definedName name="NOT">#REF!</definedName>
    <definedName name="NOTCH">#REF!</definedName>
    <definedName name="Nox">#REF!</definedName>
    <definedName name="NP">#REF!</definedName>
    <definedName name="NPI">#REF!</definedName>
    <definedName name="NPZ">#REF!</definedName>
    <definedName name="NS">#REF!</definedName>
    <definedName name="NSA">#REF!</definedName>
    <definedName name="NSC">#REF!</definedName>
    <definedName name="NSD">#REF!</definedName>
    <definedName name="NSE">#REF!</definedName>
    <definedName name="NSH">#REF!</definedName>
    <definedName name="NSO">#REF!</definedName>
    <definedName name="nsort">#REF!</definedName>
    <definedName name="NSP">#REF!</definedName>
    <definedName name="NST">#REF!</definedName>
    <definedName name="NSV">#REF!</definedName>
    <definedName name="Nx">#REF!</definedName>
    <definedName name="NYDATA">#REF!</definedName>
    <definedName name="n이">#REF!</definedName>
    <definedName name="n이_1">#REF!</definedName>
    <definedName name="n이_2">#REF!</definedName>
    <definedName name="n일">#REF!</definedName>
    <definedName name="N치">#REF!</definedName>
    <definedName name="O">#REF!</definedName>
    <definedName name="o_m">#REF!</definedName>
    <definedName name="ODD" hidden="1">{#N/A,#N/A,FALSE,"명세표"}</definedName>
    <definedName name="OH" hidden="1">{#N/A,#N/A,FALSE,"명세표"}</definedName>
    <definedName name="OHH" hidden="1">{#N/A,#N/A,FALSE,"명세표"}</definedName>
    <definedName name="OIL" hidden="1">{"'용역비'!$A$4:$C$8"}</definedName>
    <definedName name="OIO">#REF!</definedName>
    <definedName name="oo">#REF!</definedName>
    <definedName name="OOO"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P">#REF!</definedName>
    <definedName name="OPEN1">[0]!OPEN1</definedName>
    <definedName name="OPP" hidden="1">#REF!</definedName>
    <definedName name="OUT">#REF!</definedName>
    <definedName name="OUTD">#REF!</definedName>
    <definedName name="OUTPUT">#REF!</definedName>
    <definedName name="P">#REF!,#REF!,#REF!</definedName>
    <definedName name="P_A">#REF!</definedName>
    <definedName name="P_D">#REF!</definedName>
    <definedName name="P_E">#REF!</definedName>
    <definedName name="P_H2">#REF!</definedName>
    <definedName name="p_m">#REF!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X">#REF!</definedName>
    <definedName name="P1Z">#REF!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X">#REF!</definedName>
    <definedName name="P2Z">#REF!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a">#REF!</definedName>
    <definedName name="PAC">#N/A</definedName>
    <definedName name="PACB">#N/A</definedName>
    <definedName name="PACC">#N/A</definedName>
    <definedName name="PACD">#N/A</definedName>
    <definedName name="pai">#REF!</definedName>
    <definedName name="PALLET">#REF!</definedName>
    <definedName name="PARCA">#N/A</definedName>
    <definedName name="pa삼">#REF!</definedName>
    <definedName name="Pa오">#REF!</definedName>
    <definedName name="PB">#REF!</definedName>
    <definedName name="PBB">#REF!</definedName>
    <definedName name="PC">#REF!</definedName>
    <definedName name="PCO">#REF!</definedName>
    <definedName name="PD">#REF!</definedName>
    <definedName name="PDF">#REF!</definedName>
    <definedName name="PE">#REF!</definedName>
    <definedName name="PE100C">#REF!</definedName>
    <definedName name="PE16C">#REF!</definedName>
    <definedName name="PE22C">#REF!</definedName>
    <definedName name="PE28C">#REF!</definedName>
    <definedName name="PE36C">#REF!</definedName>
    <definedName name="PE42C">#REF!</definedName>
    <definedName name="PE54C">#REF!</definedName>
    <definedName name="PEA">#REF!</definedName>
    <definedName name="PEAK">#N/A</definedName>
    <definedName name="PEE">#REF!</definedName>
    <definedName name="PF">#REF!</definedName>
    <definedName name="PFD">#REF!</definedName>
    <definedName name="PG">#REF!</definedName>
    <definedName name="PH">#REF!</definedName>
    <definedName name="PHG">#REF!</definedName>
    <definedName name="PI">#REF!</definedName>
    <definedName name="pi_e">#REF!</definedName>
    <definedName name="pi_ea">#REF!</definedName>
    <definedName name="piece">#REF!</definedName>
    <definedName name="PILE규격">#REF!</definedName>
    <definedName name="pile길이">#REF!</definedName>
    <definedName name="PIPE40">#REF!</definedName>
    <definedName name="PJ">#REF!</definedName>
    <definedName name="PJT">#N/A</definedName>
    <definedName name="PK">#REF!</definedName>
    <definedName name="PL">#REF!</definedName>
    <definedName name="PLANT_JE_GWAN_GONG">#REF!</definedName>
    <definedName name="PLATE_12t_단중">#REF!</definedName>
    <definedName name="PLATE_19t_단중">#REF!</definedName>
    <definedName name="PLATE_6t_단중">#REF!</definedName>
    <definedName name="PLATE_9t_단중">#REF!</definedName>
    <definedName name="PLATE_OLD">#REF!</definedName>
    <definedName name="plg">#REF!</definedName>
    <definedName name="PM">#REF!</definedName>
    <definedName name="PN">#REF!</definedName>
    <definedName name="PO">#REF!</definedName>
    <definedName name="POOM">#REF!</definedName>
    <definedName name="POT_BEARING">#REF!</definedName>
    <definedName name="PP">#N/A</definedName>
    <definedName name="PPP">#REF!</definedName>
    <definedName name="PQ">#REF!</definedName>
    <definedName name="PR">#REF!</definedName>
    <definedName name="PRC">#REF!</definedName>
    <definedName name="Prel">#REF!</definedName>
    <definedName name="Previous_rec">#N/A</definedName>
    <definedName name="prin">#REF!</definedName>
    <definedName name="PRINT">#REF!</definedName>
    <definedName name="PRINT.TIELES">#REF!</definedName>
    <definedName name="PRINT.TITELS">#REF!</definedName>
    <definedName name="PRINT.TITLES">#REF!</definedName>
    <definedName name="_xlnm.Print_Area" localSheetId="19">#REF!</definedName>
    <definedName name="_xlnm.Print_Area" localSheetId="21">#REF!</definedName>
    <definedName name="_xlnm.Print_Area" localSheetId="23">#REF!</definedName>
    <definedName name="_xlnm.Print_Area" localSheetId="3">#REF!</definedName>
    <definedName name="_xlnm.Print_Area" localSheetId="5">#REF!</definedName>
    <definedName name="_xlnm.Print_Area" localSheetId="7">#REF!</definedName>
    <definedName name="_xlnm.Print_Area" localSheetId="9">#REF!</definedName>
    <definedName name="_xlnm.Print_Area" localSheetId="11">#REF!</definedName>
    <definedName name="_xlnm.Print_Area" localSheetId="13">#REF!</definedName>
    <definedName name="_xlnm.Print_Area" localSheetId="15">#REF!</definedName>
    <definedName name="_xlnm.Print_Area" localSheetId="17">#REF!</definedName>
    <definedName name="_xlnm.Print_Area" localSheetId="0">갑!$A$1:$BB$22</definedName>
    <definedName name="_xlnm.Print_Area" localSheetId="29">세부산출서!$A$1:$G$308</definedName>
    <definedName name="_xlnm.Print_Area" localSheetId="28">'수량(구매품)'!$A$1:$G$50</definedName>
    <definedName name="_xlnm.Print_Area" localSheetId="24">'수량(구조보강)'!$A$1:$G$18</definedName>
    <definedName name="_xlnm.Print_Area" localSheetId="26">'수량(내부1층)'!$A$1:$G$194</definedName>
    <definedName name="_xlnm.Print_Area" localSheetId="27">'수량(내부2층)'!$A$1:$G$176</definedName>
    <definedName name="_xlnm.Print_Area" localSheetId="25">'수량(외부)'!$A$1:$G$116</definedName>
    <definedName name="_xlnm.Print_Area" localSheetId="2">원가!$B$1:$H$36</definedName>
    <definedName name="_xlnm.Print_Area" localSheetId="30">제비율!$B$2:$FG$120</definedName>
    <definedName name="_xlnm.Print_Area">#REF!</definedName>
    <definedName name="PRINT_AREA_MI">#REF!</definedName>
    <definedName name="PRINT_AREA_MI1">#REF!</definedName>
    <definedName name="Print_Area\C">#REF!</definedName>
    <definedName name="Print_Area1">#REF!</definedName>
    <definedName name="Print_Area2">#REF!</definedName>
    <definedName name="Print_T">#REF!</definedName>
    <definedName name="print_tieles">#REF!</definedName>
    <definedName name="PRINT_TILIES">#REF!,#REF!,#REF!,#REF!,#REF!</definedName>
    <definedName name="PRINT_TILTES">#REF!</definedName>
    <definedName name="print_titele">#REF!</definedName>
    <definedName name="PRINT_TITELES">#REF!</definedName>
    <definedName name="print_tites">#REF!</definedName>
    <definedName name="print_titil">#REF!</definedName>
    <definedName name="print_title">#REF!</definedName>
    <definedName name="_xlnm.Print_Titles" localSheetId="19">#REF!</definedName>
    <definedName name="_xlnm.Print_Titles" localSheetId="21">#REF!</definedName>
    <definedName name="_xlnm.Print_Titles" localSheetId="23">#REF!</definedName>
    <definedName name="_xlnm.Print_Titles" localSheetId="3">#REF!</definedName>
    <definedName name="_xlnm.Print_Titles" localSheetId="5">#REF!</definedName>
    <definedName name="_xlnm.Print_Titles" localSheetId="7">#REF!</definedName>
    <definedName name="_xlnm.Print_Titles" localSheetId="9">#REF!</definedName>
    <definedName name="_xlnm.Print_Titles" localSheetId="11">#REF!</definedName>
    <definedName name="_xlnm.Print_Titles" localSheetId="13">#REF!</definedName>
    <definedName name="_xlnm.Print_Titles" localSheetId="15">#REF!</definedName>
    <definedName name="_xlnm.Print_Titles" localSheetId="17">#REF!</definedName>
    <definedName name="_xlnm.Print_Titles" localSheetId="0">#REF!</definedName>
    <definedName name="_xlnm.Print_Titles" localSheetId="6">내역!$1:$3</definedName>
    <definedName name="_xlnm.Print_Titles" localSheetId="22">노임!$1:$2</definedName>
    <definedName name="_xlnm.Print_Titles" localSheetId="29">세부산출서!$1:$2</definedName>
    <definedName name="_xlnm.Print_Titles" localSheetId="28">'수량(구매품)'!$1:$2</definedName>
    <definedName name="_xlnm.Print_Titles" localSheetId="24">'수량(구조보강)'!$1:$2</definedName>
    <definedName name="_xlnm.Print_Titles" localSheetId="26">'수량(내부1층)'!$1:$2</definedName>
    <definedName name="_xlnm.Print_Titles" localSheetId="27">'수량(내부2층)'!$1:$2</definedName>
    <definedName name="_xlnm.Print_Titles" localSheetId="25">'수량(외부)'!$1:$2</definedName>
    <definedName name="_xlnm.Print_Titles" localSheetId="2">원가!$1:$3</definedName>
    <definedName name="_xlnm.Print_Titles" localSheetId="8">일위목록!$1:$2</definedName>
    <definedName name="_xlnm.Print_Titles" localSheetId="18">자재!$1:$2</definedName>
    <definedName name="_xlnm.Print_Titles" localSheetId="20">자재조서!$1:$3</definedName>
    <definedName name="_xlnm.Print_Titles" localSheetId="16">중기기초!$1:$2</definedName>
    <definedName name="_xlnm.Print_Titles" localSheetId="31">중기변수!$1:$2</definedName>
    <definedName name="_xlnm.Print_Titles" localSheetId="14">중기기초!$1:$2</definedName>
    <definedName name="_xlnm.Print_Titles" localSheetId="4">집계!$1:$3</definedName>
    <definedName name="_xlnm.Print_Titles" localSheetId="10">호표!$1:$3</definedName>
    <definedName name="_xlnm.Print_Titles">#REF!</definedName>
    <definedName name="PRINT_TITLES_MI">#REF!</definedName>
    <definedName name="PRINT_TITLES_MI1">#REF!</definedName>
    <definedName name="printer">#REF!</definedName>
    <definedName name="PRINTER_AREA">#REF!</definedName>
    <definedName name="printer_Titles">#REF!</definedName>
    <definedName name="printer_ttitle">#REF!</definedName>
    <definedName name="prints_title">#REF!</definedName>
    <definedName name="PRINTTITLES">#REF!</definedName>
    <definedName name="PRN">#REF!</definedName>
    <definedName name="PRO">#REF!</definedName>
    <definedName name="PROJECT">#N/A</definedName>
    <definedName name="Projects">#REF!</definedName>
    <definedName name="PRT">#N/A</definedName>
    <definedName name="PRTNAME">#REF!</definedName>
    <definedName name="PS">#REF!</definedName>
    <definedName name="psb">#REF!</definedName>
    <definedName name="psh">#REF!</definedName>
    <definedName name="psm">#REF!</definedName>
    <definedName name="PSS">#REF!</definedName>
    <definedName name="PT">#REF!</definedName>
    <definedName name="PTINT">#N/A</definedName>
    <definedName name="ptint_titles">#REF!</definedName>
    <definedName name="PTT">#REF!</definedName>
    <definedName name="PU">#REF!</definedName>
    <definedName name="PUM">#REF!</definedName>
    <definedName name="PUMP">#REF!</definedName>
    <definedName name="PUU">#REF!</definedName>
    <definedName name="PV">#REF!</definedName>
    <definedName name="PVC">#REF!</definedName>
    <definedName name="PVI">#REF!</definedName>
    <definedName name="PVT">#REF!</definedName>
    <definedName name="PWP">#REF!</definedName>
    <definedName name="PWS">#REF!</definedName>
    <definedName name="PWW">#REF!</definedName>
    <definedName name="Px">#REF!</definedName>
    <definedName name="Pxa">#REF!</definedName>
    <definedName name="Pxan">#REF!</definedName>
    <definedName name="Pxh">#REF!</definedName>
    <definedName name="PY">#REF!</definedName>
    <definedName name="p엘보">#REF!</definedName>
    <definedName name="p파이프">#REF!</definedName>
    <definedName name="Q" localSheetId="0" hidden="1">{#N/A,#N/A,FALSE,"P.C.B"}</definedName>
    <definedName name="Q" hidden="1">{#N/A,#N/A,FALSE,"P.C.B"}</definedName>
    <definedName name="Q0245되메우기불량">#REF!</definedName>
    <definedName name="Q0245사석불량">#REF!</definedName>
    <definedName name="Q0245사석야간">#REF!</definedName>
    <definedName name="Q0245토사불량">#REF!</definedName>
    <definedName name="Q0245토사야간">#REF!</definedName>
    <definedName name="Q04135되메우기불량">#REF!</definedName>
    <definedName name="Q04135사석불량">#REF!</definedName>
    <definedName name="Q04135사석야간">#REF!</definedName>
    <definedName name="Q04135토사불량">#REF!</definedName>
    <definedName name="Q04135토사야간">#REF!</definedName>
    <definedName name="Q0490되메우기">#REF!</definedName>
    <definedName name="Q0490되메우기불량">#REF!</definedName>
    <definedName name="Q0490토사불량">#REF!</definedName>
    <definedName name="Q0790되메우기불량">#REF!</definedName>
    <definedName name="q234562456" hidden="1">{"'용역비'!$A$4:$C$8"}</definedName>
    <definedName name="Q3WEE" localSheetId="0" hidden="1">{#N/A,#N/A,FALSE,"조골재"}</definedName>
    <definedName name="Q3WEE" hidden="1">{#N/A,#N/A,FALSE,"조골재"}</definedName>
    <definedName name="Q3WEE_1" localSheetId="0" hidden="1">{#N/A,#N/A,FALSE,"조골재"}</definedName>
    <definedName name="Q3WEE_1" hidden="1">{#N/A,#N/A,FALSE,"조골재"}</definedName>
    <definedName name="qa" localSheetId="0" hidden="1">{#N/A,#N/A,FALSE,"속도"}</definedName>
    <definedName name="qa" hidden="1">{#N/A,#N/A,FALSE,"속도"}</definedName>
    <definedName name="qaa" localSheetId="0" hidden="1">{#N/A,#N/A,FALSE,"속도"}</definedName>
    <definedName name="qaa" hidden="1">{#N/A,#N/A,FALSE,"속도"}</definedName>
    <definedName name="qaaa" localSheetId="0" hidden="1">{#N/A,#N/A,FALSE,"속도"}</definedName>
    <definedName name="qaaa" hidden="1">{#N/A,#N/A,FALSE,"속도"}</definedName>
    <definedName name="QAE">#REF!</definedName>
    <definedName name="QAZX">#REF!</definedName>
    <definedName name="qb" localSheetId="0" hidden="1">{#N/A,#N/A,FALSE,"2~8번"}</definedName>
    <definedName name="qb" hidden="1">{#N/A,#N/A,FALSE,"2~8번"}</definedName>
    <definedName name="qbb" localSheetId="0" hidden="1">{#N/A,#N/A,FALSE,"2~8번"}</definedName>
    <definedName name="qbb" hidden="1">{#N/A,#N/A,FALSE,"2~8번"}</definedName>
    <definedName name="qe">#REF!</definedName>
    <definedName name="qewqwe" localSheetId="11">#REF!,#REF!</definedName>
    <definedName name="qewqwe" localSheetId="13">#REF!,#REF!</definedName>
    <definedName name="qewqwe" localSheetId="15">#REF!,#REF!</definedName>
    <definedName name="qewqwe">#REF!,#REF!</definedName>
    <definedName name="Qe앨">#REF!</definedName>
    <definedName name="QFQF" hidden="1">#REF!</definedName>
    <definedName name="QHQN" localSheetId="0" hidden="1">{#N/A,#N/A,FALSE,"손익표지";#N/A,#N/A,FALSE,"손익계산";#N/A,#N/A,FALSE,"일반관리비";#N/A,#N/A,FALSE,"영업외수익";#N/A,#N/A,FALSE,"영업외비용";#N/A,#N/A,FALSE,"매출액";#N/A,#N/A,FALSE,"요약손익";#N/A,#N/A,FALSE,"요약대차";#N/A,#N/A,FALSE,"매출채권현황";#N/A,#N/A,FALSE,"매출채권명세"}</definedName>
    <definedName name="QHQN" hidden="1">{#N/A,#N/A,FALSE,"손익표지";#N/A,#N/A,FALSE,"손익계산";#N/A,#N/A,FALSE,"일반관리비";#N/A,#N/A,FALSE,"영업외수익";#N/A,#N/A,FALSE,"영업외비용";#N/A,#N/A,FALSE,"매출액";#N/A,#N/A,FALSE,"요약손익";#N/A,#N/A,FALSE,"요약대차";#N/A,#N/A,FALSE,"매출채권현황";#N/A,#N/A,FALSE,"매출채권명세"}</definedName>
    <definedName name="qk" hidden="1">{"'자리배치도'!$AG$1:$CI$28"}</definedName>
    <definedName name="qkqh1" hidden="1">{#N/A,#N/A,FALSE,"명세표"}</definedName>
    <definedName name="QLQL">#REF!</definedName>
    <definedName name="qoehtmd">[0]!qoehtmd</definedName>
    <definedName name="qor" hidden="1">#REF!</definedName>
    <definedName name="QQ" localSheetId="0" hidden="1">{#N/A,#N/A,FALSE,"2~8번"}</definedName>
    <definedName name="QQ" hidden="1">{#N/A,#N/A,FALSE,"2~8번"}</definedName>
    <definedName name="qqq">#REF!</definedName>
    <definedName name="QQQQQWEWEFF">[0]!QQQQQWEWEFF</definedName>
    <definedName name="QR" localSheetId="28">BlankMacro1</definedName>
    <definedName name="QR" localSheetId="24">BlankMacro1</definedName>
    <definedName name="QR" localSheetId="26">BlankMacro1</definedName>
    <definedName name="QR" localSheetId="27">BlankMacro1</definedName>
    <definedName name="QR">BlankMacro1</definedName>
    <definedName name="QTY">#REF!</definedName>
    <definedName name="qu">#REF!</definedName>
    <definedName name="QW" localSheetId="0" hidden="1">{#N/A,#N/A,FALSE,"배수2"}</definedName>
    <definedName name="QW" hidden="1">{#N/A,#N/A,FALSE,"배수2"}</definedName>
    <definedName name="qwan" localSheetId="0" hidden="1">{#N/A,#N/A,FALSE,"2~8번"}</definedName>
    <definedName name="qwan" hidden="1">{#N/A,#N/A,FALSE,"2~8번"}</definedName>
    <definedName name="QWDC">#REF!</definedName>
    <definedName name="qwe">#REF!</definedName>
    <definedName name="QWER">#REF!</definedName>
    <definedName name="QWQ" localSheetId="0" hidden="1">{#N/A,#N/A,FALSE,"배수2"}</definedName>
    <definedName name="QWQ" hidden="1">{#N/A,#N/A,FALSE,"배수2"}</definedName>
    <definedName name="qwreq" hidden="1">#REF!</definedName>
    <definedName name="qwrn10" localSheetId="0" hidden="1">{#N/A,#N/A,FALSE,"이정표"}</definedName>
    <definedName name="qwrn10" hidden="1">{#N/A,#N/A,FALSE,"이정표"}</definedName>
    <definedName name="qwrn11" localSheetId="0" hidden="1">{#N/A,#N/A,FALSE,"조골재"}</definedName>
    <definedName name="qwrn11" hidden="1">{#N/A,#N/A,FALSE,"조골재"}</definedName>
    <definedName name="qwrn12" localSheetId="0" hidden="1">{#N/A,#N/A,FALSE,"구조1"}</definedName>
    <definedName name="qwrn12" hidden="1">{#N/A,#N/A,FALSE,"구조1"}</definedName>
    <definedName name="qwrn13" localSheetId="0" hidden="1">{#N/A,#N/A,FALSE,"토공2"}</definedName>
    <definedName name="qwrn13" hidden="1">{#N/A,#N/A,FALSE,"토공2"}</definedName>
    <definedName name="qwrn14" localSheetId="0" hidden="1">{#N/A,#N/A,FALSE,"포장1";#N/A,#N/A,FALSE,"포장1"}</definedName>
    <definedName name="qwrn14" hidden="1">{#N/A,#N/A,FALSE,"포장1";#N/A,#N/A,FALSE,"포장1"}</definedName>
    <definedName name="qwrn15" localSheetId="0" hidden="1">{#N/A,#N/A,FALSE,"포장2"}</definedName>
    <definedName name="qwrn15" hidden="1">{#N/A,#N/A,FALSE,"포장2"}</definedName>
    <definedName name="qwrn16" localSheetId="0" hidden="1">{#N/A,#N/A,FALSE,"표지목차"}</definedName>
    <definedName name="qwrn16" hidden="1">{#N/A,#N/A,FALSE,"표지목차"}</definedName>
    <definedName name="qwrn17" localSheetId="0" hidden="1">{#N/A,#N/A,FALSE,"혼합골재"}</definedName>
    <definedName name="qwrn17" hidden="1">{#N/A,#N/A,FALSE,"혼합골재"}</definedName>
    <definedName name="qwrn2" localSheetId="0" hidden="1">{#N/A,#N/A,FALSE,"구조2"}</definedName>
    <definedName name="qwrn2" hidden="1">{#N/A,#N/A,FALSE,"구조2"}</definedName>
    <definedName name="qwrn3" localSheetId="0" hidden="1">{#N/A,#N/A,FALSE,"단가표지"}</definedName>
    <definedName name="qwrn3" hidden="1">{#N/A,#N/A,FALSE,"단가표지"}</definedName>
    <definedName name="qwrn4" localSheetId="0" hidden="1">{#N/A,#N/A,FALSE,"배수1"}</definedName>
    <definedName name="qwrn4" hidden="1">{#N/A,#N/A,FALSE,"배수1"}</definedName>
    <definedName name="qwrn5" localSheetId="0" hidden="1">{#N/A,#N/A,FALSE,"배수2"}</definedName>
    <definedName name="qwrn5" hidden="1">{#N/A,#N/A,FALSE,"배수2"}</definedName>
    <definedName name="qwrn6" localSheetId="0" hidden="1">{#N/A,#N/A,FALSE,"부대1"}</definedName>
    <definedName name="qwrn6" hidden="1">{#N/A,#N/A,FALSE,"부대1"}</definedName>
    <definedName name="qwrn7" localSheetId="0" hidden="1">{#N/A,#N/A,FALSE,"부대2"}</definedName>
    <definedName name="qwrn7" hidden="1">{#N/A,#N/A,FALSE,"부대2"}</definedName>
    <definedName name="qwrn8" localSheetId="0" hidden="1">{#N/A,#N/A,FALSE,"속도"}</definedName>
    <definedName name="qwrn8" hidden="1">{#N/A,#N/A,FALSE,"속도"}</definedName>
    <definedName name="qwrn9" localSheetId="0" hidden="1">{#N/A,#N/A,FALSE,"운반시간"}</definedName>
    <definedName name="qwrn9" hidden="1">{#N/A,#N/A,FALSE,"운반시간"}</definedName>
    <definedName name="qwrnn" localSheetId="0" hidden="1">{#N/A,#N/A,FALSE,"골재소요량";#N/A,#N/A,FALSE,"골재소요량"}</definedName>
    <definedName name="qwrnn" hidden="1">{#N/A,#N/A,FALSE,"골재소요량";#N/A,#N/A,FALSE,"골재소요량"}</definedName>
    <definedName name="QWS" hidden="1">#REF!</definedName>
    <definedName name="QWSD">#REF!</definedName>
    <definedName name="QWSDERTY">#REF!</definedName>
    <definedName name="qww">#REF!</definedName>
    <definedName name="qyk" hidden="1">{"'용역비'!$A$4:$C$8"}</definedName>
    <definedName name="q디">#REF!</definedName>
    <definedName name="q앨">#REF!</definedName>
    <definedName name="R_">#REF!</definedName>
    <definedName name="RACK">#REF!</definedName>
    <definedName name="RAD">#REF!</definedName>
    <definedName name="range_T">#REF!</definedName>
    <definedName name="range1">#REF!</definedName>
    <definedName name="range2">#REF!</definedName>
    <definedName name="range3">#REF!</definedName>
    <definedName name="rarasfsda" localSheetId="0" hidden="1">{#N/A,#N/A,FALSE,"이정표"}</definedName>
    <definedName name="rarasfsda" hidden="1">{#N/A,#N/A,FALSE,"이정표"}</definedName>
    <definedName name="RAS">#REF!</definedName>
    <definedName name="rasfsafsafdsa" localSheetId="0" hidden="1">{#N/A,#N/A,FALSE,"조골재"}</definedName>
    <definedName name="rasfsafsafdsa" hidden="1">{#N/A,#N/A,FALSE,"조골재"}</definedName>
    <definedName name="RATE">#REF!</definedName>
    <definedName name="RAW">#REF!</definedName>
    <definedName name="RB">#REF!</definedName>
    <definedName name="RC_B">#REF!</definedName>
    <definedName name="RC플륨관">#N/A</definedName>
    <definedName name="_xlnm.Recorder" localSheetId="19">#REF!</definedName>
    <definedName name="_xlnm.Recorder" localSheetId="21">#REF!</definedName>
    <definedName name="_xlnm.Recorder" localSheetId="23">#REF!</definedName>
    <definedName name="_xlnm.Recorder" localSheetId="3">#REF!</definedName>
    <definedName name="_xlnm.Recorder" localSheetId="5">#REF!</definedName>
    <definedName name="_xlnm.Recorder" localSheetId="7">#REF!</definedName>
    <definedName name="_xlnm.Recorder" localSheetId="9">#REF!</definedName>
    <definedName name="_xlnm.Recorder" localSheetId="11">#REF!</definedName>
    <definedName name="_xlnm.Recorder" localSheetId="13">#REF!</definedName>
    <definedName name="_xlnm.Recorder" localSheetId="15">#REF!</definedName>
    <definedName name="_xlnm.Recorder" localSheetId="17">#REF!</definedName>
    <definedName name="_xlnm.Recorder" localSheetId="0">#REF!</definedName>
    <definedName name="_xlnm.Recorder">#REF!</definedName>
    <definedName name="REF_6">#REF!</definedName>
    <definedName name="REF_F">#REF!</definedName>
    <definedName name="REF_G">#REF!</definedName>
    <definedName name="REF_H">#REF!</definedName>
    <definedName name="REF_J">#REF!</definedName>
    <definedName name="REF_L">#REF!</definedName>
    <definedName name="REF_O">#REF!</definedName>
    <definedName name="REF_Q">#REF!</definedName>
    <definedName name="REM">#N/A</definedName>
    <definedName name="REMK">#N/A</definedName>
    <definedName name="rert" hidden="1">{"'5국공정'!$A$1:$E$128"}</definedName>
    <definedName name="RF">#N/A</definedName>
    <definedName name="RFYIFIOYGOPIO" hidden="1">#REF!</definedName>
    <definedName name="rgfet">#REF!</definedName>
    <definedName name="rgxg">#REF!</definedName>
    <definedName name="RH" hidden="1">{"'용역비'!$A$4:$C$8"}</definedName>
    <definedName name="RH.4">#REF!</definedName>
    <definedName name="RH.7">#REF!</definedName>
    <definedName name="RHDTK">#REF!</definedName>
    <definedName name="rhkstp" hidden="1">{#N/A,#N/A,FALSE,"DAOCM 2차 검토"}</definedName>
    <definedName name="RKD">#REF!</definedName>
    <definedName name="RKFL">#REF!</definedName>
    <definedName name="rks" localSheetId="0" hidden="1">{#N/A,#N/A,FALSE,"구조2"}</definedName>
    <definedName name="rks" hidden="1">{#N/A,#N/A,FALSE,"구조2"}</definedName>
    <definedName name="rkss" localSheetId="0" hidden="1">{#N/A,#N/A,FALSE,"부대1"}</definedName>
    <definedName name="rkss" hidden="1">{#N/A,#N/A,FALSE,"부대1"}</definedName>
    <definedName name="rksss" localSheetId="0" hidden="1">{#N/A,#N/A,FALSE,"부대2"}</definedName>
    <definedName name="rksss" hidden="1">{#N/A,#N/A,FALSE,"부대2"}</definedName>
    <definedName name="rkssss" localSheetId="0" hidden="1">{#N/A,#N/A,FALSE,"속도"}</definedName>
    <definedName name="rkssss" hidden="1">{#N/A,#N/A,FALSE,"속도"}</definedName>
    <definedName name="rkstjs">[0]!rkstjs</definedName>
    <definedName name="RL">#REF!</definedName>
    <definedName name="Rl이">#REF!</definedName>
    <definedName name="Rl일">#REF!</definedName>
    <definedName name="RM_D">#REF!</definedName>
    <definedName name="RNG">#REF!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und">#REF!</definedName>
    <definedName name="rounddown">#REF!</definedName>
    <definedName name="RPE">#REF!</definedName>
    <definedName name="RR">#REF!</definedName>
    <definedName name="RR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RR">#REF!</definedName>
    <definedName name="rsaraf" localSheetId="0" hidden="1">{#N/A,#N/A,FALSE,"운반시간"}</definedName>
    <definedName name="rsaraf" hidden="1">{#N/A,#N/A,FALSE,"운반시간"}</definedName>
    <definedName name="RSS">#REF!</definedName>
    <definedName name="RT" hidden="1">{"'용역비'!$A$4:$C$8"}</definedName>
    <definedName name="RTGH" hidden="1">{"'용역비'!$A$4:$C$8"}</definedName>
    <definedName name="rth" hidden="1">{"'용역비'!$A$4:$C$8"}</definedName>
    <definedName name="RTR">#REF!</definedName>
    <definedName name="RTS">#REF!</definedName>
    <definedName name="rty" hidden="1">{"'용역비'!$A$4:$C$8"}</definedName>
    <definedName name="ru">#REF!</definedName>
    <definedName name="rwe6vtd" localSheetId="0" hidden="1">{#N/A,#N/A,FALSE,"표지목차"}</definedName>
    <definedName name="rwe6vtd" hidden="1">{#N/A,#N/A,FALSE,"표지목차"}</definedName>
    <definedName name="ryescerfwe" localSheetId="0" hidden="1">{#N/A,#N/A,FALSE,"부대2"}</definedName>
    <definedName name="ryescerfwe" hidden="1">{#N/A,#N/A,FALSE,"부대2"}</definedName>
    <definedName name="RYUIRYU" hidden="1">{"'용역비'!$A$4:$C$8"}</definedName>
    <definedName name="ryuk" hidden="1">{"'용역비'!$A$4:$C$8"}</definedName>
    <definedName name="rα">#REF!</definedName>
    <definedName name="rβ">#REF!</definedName>
    <definedName name="rγ">#REF!</definedName>
    <definedName name="rδ">#REF!</definedName>
    <definedName name="rπ">#REF!</definedName>
    <definedName name="rφ">#REF!</definedName>
    <definedName name="S">#REF!</definedName>
    <definedName name="S.C">#REF!</definedName>
    <definedName name="s_1">#REF!</definedName>
    <definedName name="s_2">#REF!</definedName>
    <definedName name="S_BB">#REF!</definedName>
    <definedName name="S_BU">#REF!</definedName>
    <definedName name="S_EF">#REF!</definedName>
    <definedName name="S_P">#REF!</definedName>
    <definedName name="S_W시험기사">#REF!</definedName>
    <definedName name="S_W시험사">#REF!</definedName>
    <definedName name="S2L">#REF!</definedName>
    <definedName name="SA">#REF!</definedName>
    <definedName name="sab">#REF!</definedName>
    <definedName name="SADDDFGH">#REF!</definedName>
    <definedName name="SADE">#REF!</definedName>
    <definedName name="SADI">#REF!</definedName>
    <definedName name="sah">#REF!</definedName>
    <definedName name="SALI">#REF!</definedName>
    <definedName name="sam">#REF!</definedName>
    <definedName name="SAN">#REF!</definedName>
    <definedName name="sanch_2">#REF!</definedName>
    <definedName name="sanch_3">#REF!</definedName>
    <definedName name="sanch_4">#REF!</definedName>
    <definedName name="SAPBEXdnldView" hidden="1">"3VMJIZA96O4EPAWH21XJ6NZ10"</definedName>
    <definedName name="SAPBEXrevision" hidden="1">91</definedName>
    <definedName name="SAPBEXsysID" hidden="1">"BWP"</definedName>
    <definedName name="SAPBEXwbID" hidden="1">"3VZM68I05QF9S610SN8AXUS5X"</definedName>
    <definedName name="sas">#REF!</definedName>
    <definedName name="SAV">#N/A</definedName>
    <definedName name="SB">#REF!</definedName>
    <definedName name="SC">#REF!</definedName>
    <definedName name="SCK">#REF!</definedName>
    <definedName name="SCODcr">#REF!</definedName>
    <definedName name="SD">#REF!</definedName>
    <definedName name="sdakfj">#REF!</definedName>
    <definedName name="SDCFG\" localSheetId="0" hidden="1">{#N/A,#N/A,FALSE,"운반시간"}</definedName>
    <definedName name="SDCFG\" hidden="1">{#N/A,#N/A,FALSE,"운반시간"}</definedName>
    <definedName name="SDDFD" localSheetId="0" hidden="1">{#N/A,#N/A,FALSE,"배수1"}</definedName>
    <definedName name="SDDFD" hidden="1">{#N/A,#N/A,FALSE,"배수1"}</definedName>
    <definedName name="SDF">#REF!</definedName>
    <definedName name="SDFDFD" localSheetId="0" hidden="1">{#N/A,#N/A,FALSE,"운반시간"}</definedName>
    <definedName name="SDFDFD" hidden="1">{#N/A,#N/A,FALSE,"운반시간"}</definedName>
    <definedName name="sdfjk">#REF!</definedName>
    <definedName name="sdg" hidden="1">#REF!</definedName>
    <definedName name="SDGASD">#N/A</definedName>
    <definedName name="sdjfkl">#REF!</definedName>
    <definedName name="SDNR">#REF!</definedName>
    <definedName name="sdryhj" hidden="1">{"'용역비'!$A$4:$C$8"}</definedName>
    <definedName name="SDS" localSheetId="0" hidden="1">{#N/A,#N/A,FALSE,"2~8번"}</definedName>
    <definedName name="SDS" hidden="1">{#N/A,#N/A,FALSE,"2~8번"}</definedName>
    <definedName name="SDS_1" localSheetId="0" hidden="1">{#N/A,#N/A,FALSE,"2~8번"}</definedName>
    <definedName name="SDS_1" hidden="1">{#N/A,#N/A,FALSE,"2~8번"}</definedName>
    <definedName name="sdsdddd" localSheetId="0" hidden="1">{#N/A,#N/A,FALSE,"토공2"}</definedName>
    <definedName name="sdsdddd" hidden="1">{#N/A,#N/A,FALSE,"토공2"}</definedName>
    <definedName name="sdsss">#REF!</definedName>
    <definedName name="sdvfsd" hidden="1">{"'5국공정'!$A$1:$E$128"}</definedName>
    <definedName name="SE" hidden="1">{"'용역비'!$A$4:$C$8"}</definedName>
    <definedName name="SELECT">#N/A</definedName>
    <definedName name="sencount" hidden="1">1</definedName>
    <definedName name="SEQU">#N/A</definedName>
    <definedName name="SERVER">#REF!</definedName>
    <definedName name="SEVSE">#REF!</definedName>
    <definedName name="SEXCV">#REF!</definedName>
    <definedName name="SEXP">#N/A</definedName>
    <definedName name="SFA" localSheetId="0" hidden="1">{#N/A,#N/A,FALSE,"포장1";#N/A,#N/A,FALSE,"포장1"}</definedName>
    <definedName name="SFA" hidden="1">{#N/A,#N/A,FALSE,"포장1";#N/A,#N/A,FALSE,"포장1"}</definedName>
    <definedName name="sfdgsd" hidden="1">#REF!</definedName>
    <definedName name="sfggf" localSheetId="0" hidden="1">{#N/A,#N/A,FALSE,"배수1"}</definedName>
    <definedName name="sfggf" hidden="1">{#N/A,#N/A,FALSE,"배수1"}</definedName>
    <definedName name="sfgsdfd" hidden="1">#REF!</definedName>
    <definedName name="SFR">#REF!</definedName>
    <definedName name="SFSDFDSF" localSheetId="0" hidden="1">{#N/A,#N/A,FALSE,"운반시간"}</definedName>
    <definedName name="SFSDFDSF" hidden="1">{#N/A,#N/A,FALSE,"운반시간"}</definedName>
    <definedName name="SG1A">#REF!</definedName>
    <definedName name="SG2A">#REF!</definedName>
    <definedName name="SGARETER" hidden="1">#REF!</definedName>
    <definedName name="SHE">#REF!</definedName>
    <definedName name="SHEET56">#REF!</definedName>
    <definedName name="SHIN" localSheetId="0" hidden="1">{#N/A,#N/A,FALSE,"P.C.B"}</definedName>
    <definedName name="SHIN" hidden="1">{#N/A,#N/A,FALSE,"P.C.B"}</definedName>
    <definedName name="SHO">#REF!</definedName>
    <definedName name="SHORT_FORM_PRINTOUT">#REF!</definedName>
    <definedName name="SHT">#REF!</definedName>
    <definedName name="SIDE">#REF!</definedName>
    <definedName name="sido">#REF!</definedName>
    <definedName name="SIL">#REF!</definedName>
    <definedName name="sin">#REF!</definedName>
    <definedName name="sinchook">#REF!</definedName>
    <definedName name="SIZE">#N/A</definedName>
    <definedName name="SK">#REF!</definedName>
    <definedName name="skadjf">#REF!</definedName>
    <definedName name="SKE">#REF!</definedName>
    <definedName name="SKEW">#REF!</definedName>
    <definedName name="SKIN">#REF!</definedName>
    <definedName name="SL1A">#REF!</definedName>
    <definedName name="SL2A">#REF!</definedName>
    <definedName name="SL2B">#REF!</definedName>
    <definedName name="SL3A">#REF!</definedName>
    <definedName name="SL3B">#REF!</definedName>
    <definedName name="SL4A">#REF!</definedName>
    <definedName name="SLAB">#N/A</definedName>
    <definedName name="SLAB1">#REF!</definedName>
    <definedName name="SLAB2">#REF!</definedName>
    <definedName name="SLAB3">#REF!</definedName>
    <definedName name="SLFE">#REF!</definedName>
    <definedName name="SLFO">#REF!</definedName>
    <definedName name="SLID">#REF!</definedName>
    <definedName name="slo">#REF!</definedName>
    <definedName name="SLOP">#REF!</definedName>
    <definedName name="SM">#REF!</definedName>
    <definedName name="SM10A">#REF!</definedName>
    <definedName name="SM10B">#REF!</definedName>
    <definedName name="SM11A">#REF!</definedName>
    <definedName name="SM11B">#REF!</definedName>
    <definedName name="SM12A">#REF!</definedName>
    <definedName name="SM12B">#REF!</definedName>
    <definedName name="SM1A">#REF!</definedName>
    <definedName name="SM2A">#REF!</definedName>
    <definedName name="SM3A">#REF!</definedName>
    <definedName name="SM3B">#REF!</definedName>
    <definedName name="SM4A">#REF!</definedName>
    <definedName name="SM5A">#REF!</definedName>
    <definedName name="SM5B">#REF!</definedName>
    <definedName name="SM6A">#REF!</definedName>
    <definedName name="SM6B">#REF!</definedName>
    <definedName name="SM7A">#REF!</definedName>
    <definedName name="SM7B">#REF!</definedName>
    <definedName name="SM7C">#REF!</definedName>
    <definedName name="SM8A">#REF!</definedName>
    <definedName name="SM9A">#REF!</definedName>
    <definedName name="SM9B">#REF!</definedName>
    <definedName name="SM9C">#REF!</definedName>
    <definedName name="SMAT">#N/A</definedName>
    <definedName name="SMHR">#N/A</definedName>
    <definedName name="SMP">#REF!</definedName>
    <definedName name="SO">#N/A</definedName>
    <definedName name="SODURTJ" localSheetId="11">Dlog_Show</definedName>
    <definedName name="SODURTJ" localSheetId="13">Dlog_Show</definedName>
    <definedName name="SODURTJ" localSheetId="15">Dlog_Show</definedName>
    <definedName name="SODURTJ" localSheetId="28">Dlog_Show</definedName>
    <definedName name="SODURTJ" localSheetId="24">Dlog_Show</definedName>
    <definedName name="SODURTJ" localSheetId="26">Dlog_Show</definedName>
    <definedName name="SODURTJ" localSheetId="27">Dlog_Show</definedName>
    <definedName name="SODURTJ">Dlog_Show</definedName>
    <definedName name="SOIL">#REF!</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ON" localSheetId="0" hidden="1">{#N/A,#N/A,FALSE,"P.C.B"}</definedName>
    <definedName name="SOON" hidden="1">{#N/A,#N/A,FALSE,"P.C.B"}</definedName>
    <definedName name="SORT">#REF!</definedName>
    <definedName name="SORT1">#REF!</definedName>
    <definedName name="sort2">#REF!</definedName>
    <definedName name="SORTCODE">#N/A</definedName>
    <definedName name="sp.sys">#REF!</definedName>
    <definedName name="SPA">#REF!</definedName>
    <definedName name="SPACE">#REF!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r">#REF!,#REF!</definedName>
    <definedName name="SRT_all">#REF!</definedName>
    <definedName name="SRT_d">#REF!</definedName>
    <definedName name="SRT_m">#REF!</definedName>
    <definedName name="srth" hidden="1">{"'용역비'!$A$4:$C$8"}</definedName>
    <definedName name="ss">#REF!</definedName>
    <definedName name="ssb">#REF!</definedName>
    <definedName name="ssh">#REF!</definedName>
    <definedName name="ssm">#REF!</definedName>
    <definedName name="sss" localSheetId="0" hidden="1">{#N/A,#N/A,FALSE,"전력간선"}</definedName>
    <definedName name="sss" hidden="1">{#N/A,#N/A,FALSE,"전력간선"}</definedName>
    <definedName name="SSS_1" localSheetId="0" hidden="1">{#N/A,#N/A,FALSE,"2~8번"}</definedName>
    <definedName name="SSS_1" hidden="1">{#N/A,#N/A,FALSE,"2~8번"}</definedName>
    <definedName name="SSSS">#REF!</definedName>
    <definedName name="SSSSS">#REF!</definedName>
    <definedName name="SSSSSS">#REF!</definedName>
    <definedName name="ST">#REF!</definedName>
    <definedName name="START">#REF!</definedName>
    <definedName name="startA">#REF!</definedName>
    <definedName name="stb">#REF!</definedName>
    <definedName name="stEg">#REF!</definedName>
    <definedName name="stEv">#REF!</definedName>
    <definedName name="sth">#REF!</definedName>
    <definedName name="stJh">#REF!</definedName>
    <definedName name="stm">#REF!</definedName>
    <definedName name="stMh">#REF!</definedName>
    <definedName name="stPe">#REF!</definedName>
    <definedName name="Strand가닥수">#REF!</definedName>
    <definedName name="Strand단면적">#REF!</definedName>
    <definedName name="Strand직경">#REF!</definedName>
    <definedName name="STRUT">#REF!</definedName>
    <definedName name="STRUT_E">#REF!</definedName>
    <definedName name="STRUT_EA">#REF!</definedName>
    <definedName name="STRUT_EA1">#REF!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Tr">#REF!</definedName>
    <definedName name="ST산출" localSheetId="11">[0]!BlankMacro1</definedName>
    <definedName name="ST산출" localSheetId="13">[0]!BlankMacro1</definedName>
    <definedName name="ST산출" localSheetId="15">[0]!BlankMacro1</definedName>
    <definedName name="ST산출" localSheetId="28">[0]!BlankMacro1</definedName>
    <definedName name="ST산출" localSheetId="24">[0]!BlankMacro1</definedName>
    <definedName name="ST산출" localSheetId="26">[0]!BlankMacro1</definedName>
    <definedName name="ST산출" localSheetId="27">[0]!BlankMacro1</definedName>
    <definedName name="ST산출">[0]!BlankMacro1</definedName>
    <definedName name="SU">#REF!</definedName>
    <definedName name="sum">#REF!</definedName>
    <definedName name="SUO_REA">#REF!</definedName>
    <definedName name="SUO_TOE">#REF!</definedName>
    <definedName name="SUYO">#N/A</definedName>
    <definedName name="SV">#REF!</definedName>
    <definedName name="SVR">#REF!</definedName>
    <definedName name="SVRAG">#REF!</definedName>
    <definedName name="SVRDESC">#REF!</definedName>
    <definedName name="SW">#REF!</definedName>
    <definedName name="SWL">#REF!</definedName>
    <definedName name="swprice">#N/A</definedName>
    <definedName name="SWR">#REF!</definedName>
    <definedName name="SW시험기사">#REF!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Y">#REF!</definedName>
    <definedName name="T">#REF!</definedName>
    <definedName name="T_AMOUNT">#N/A</definedName>
    <definedName name="T_MLSS">#REF!</definedName>
    <definedName name="T_N">#REF!</definedName>
    <definedName name="T_P">#REF!</definedName>
    <definedName name="T_Pch">#REF!</definedName>
    <definedName name="T_UPRICE">#N/A</definedName>
    <definedName name="T0">#REF!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a1p">#REF!</definedName>
    <definedName name="t1a1t">#REF!</definedName>
    <definedName name="t1a2p">#REF!</definedName>
    <definedName name="t1a2t">#REF!</definedName>
    <definedName name="T1S">#REF!</definedName>
    <definedName name="t2a1p">#REF!</definedName>
    <definedName name="t2a1t">#REF!</definedName>
    <definedName name="t2a2p">#REF!</definedName>
    <definedName name="t2a2t">#REF!</definedName>
    <definedName name="T2S">#REF!</definedName>
    <definedName name="T3A1P">#REF!</definedName>
    <definedName name="t3a1t">#REF!</definedName>
    <definedName name="t3a2p">#REF!</definedName>
    <definedName name="t3a2t">#REF!</definedName>
    <definedName name="T3S">#REF!</definedName>
    <definedName name="Ta">#REF!</definedName>
    <definedName name="TA1P">#REF!</definedName>
    <definedName name="ta1t">#REF!</definedName>
    <definedName name="ta2p">#REF!</definedName>
    <definedName name="ta2t">#REF!</definedName>
    <definedName name="tab.도금">#REF!</definedName>
    <definedName name="table_arch">#REF!</definedName>
    <definedName name="table_arch_sub">#REF!</definedName>
    <definedName name="table_elec">#REF!</definedName>
    <definedName name="table_elec_sub">#REF!</definedName>
    <definedName name="TAF">#REF!</definedName>
    <definedName name="TAH">#REF!</definedName>
    <definedName name="TAK">#REF!</definedName>
    <definedName name="TAM">#REF!</definedName>
    <definedName name="TANB">#REF!</definedName>
    <definedName name="Tb">#REF!</definedName>
    <definedName name="Tba">#REF!</definedName>
    <definedName name="TBM">#REF!</definedName>
    <definedName name="tc">#REF!</definedName>
    <definedName name="TCA">#REF!</definedName>
    <definedName name="TCB">#REF!</definedName>
    <definedName name="TE">#REF!</definedName>
    <definedName name="Ted">#REF!</definedName>
    <definedName name="Tel">#REF!</definedName>
    <definedName name="TEMP">#REF!</definedName>
    <definedName name="Tendon단면적">#REF!</definedName>
    <definedName name="TENSION_고온계">#REF!</definedName>
    <definedName name="test">#REF!</definedName>
    <definedName name="Text5">#REF!</definedName>
    <definedName name="TEYJ" hidden="1">{"'용역비'!$A$4:$C$8"}</definedName>
    <definedName name="tf4eafg">#REF!</definedName>
    <definedName name="TFUI" hidden="1">{"'용역비'!$A$4:$C$8"}</definedName>
    <definedName name="TIT">#REF!</definedName>
    <definedName name="TITLE">#REF!</definedName>
    <definedName name="TITLE_PRINTS">#REF!</definedName>
    <definedName name="title1">#REF!</definedName>
    <definedName name="TITLES_PRINT">#REF!</definedName>
    <definedName name="Tl">#REF!</definedName>
    <definedName name="TLFTN">[0]!TLFTN</definedName>
    <definedName name="TMO">#REF!</definedName>
    <definedName name="TNOR">#REF!</definedName>
    <definedName name="TO">#REF!</definedName>
    <definedName name="TOB">#REF!</definedName>
    <definedName name="todl" hidden="1">#REF!</definedName>
    <definedName name="tofms" hidden="1">#REF!</definedName>
    <definedName name="TOH">#REF!</definedName>
    <definedName name="TOLB">#REF!</definedName>
    <definedName name="TON">" Sheet1!$G$54"</definedName>
    <definedName name="TOO">#N/A</definedName>
    <definedName name="TOP">#REF!</definedName>
    <definedName name="TOTAL">#N/A</definedName>
    <definedName name="TOWB">#REF!</definedName>
    <definedName name="TOWH">#REF!</definedName>
    <definedName name="TPF">#REF!</definedName>
    <definedName name="TPH">#REF!</definedName>
    <definedName name="TPM">#REF!</definedName>
    <definedName name="tr" hidden="1">#REF!</definedName>
    <definedName name="TR_1">#REF!</definedName>
    <definedName name="TR510300간재">#REF!</definedName>
    <definedName name="TR510300노무">#REF!</definedName>
    <definedName name="TR510300손료">#REF!</definedName>
    <definedName name="Tra">#REF!</definedName>
    <definedName name="TRETETT">#REF!</definedName>
    <definedName name="TREZSEF">#REF!</definedName>
    <definedName name="trg">#REF!</definedName>
    <definedName name="trgre">#REF!</definedName>
    <definedName name="trhfhtrhgh">#REF!</definedName>
    <definedName name="trvrgr">#REF!</definedName>
    <definedName name="TRVRT">#REF!</definedName>
    <definedName name="TRY5RSF">#REF!</definedName>
    <definedName name="TS">#REF!</definedName>
    <definedName name="Tsa">#REF!</definedName>
    <definedName name="TSS">#REF!</definedName>
    <definedName name="TT">ROUND(#REF!*#REF!,0)</definedName>
    <definedName name="TTT">#REF!</definedName>
    <definedName name="TTTT" hidden="1">#REF!</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V">#REF!</definedName>
    <definedName name="TW">#REF!</definedName>
    <definedName name="TWA">#REF!</definedName>
    <definedName name="TWL">#REF!</definedName>
    <definedName name="TWR">#REF!</definedName>
    <definedName name="TWW">#REF!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e" hidden="1">#REF!</definedName>
    <definedName name="TYHFDGFD" localSheetId="0" hidden="1">{#N/A,#N/A,FALSE,"배수2"}</definedName>
    <definedName name="TYHFDGFD" hidden="1">{#N/A,#N/A,FALSE,"배수2"}</definedName>
    <definedName name="TYJ" hidden="1">{"'용역비'!$A$4:$C$8"}</definedName>
    <definedName name="tyje" hidden="1">{"'용역비'!$A$4:$C$8"}</definedName>
    <definedName name="tyjet" hidden="1">{"'용역비'!$A$4:$C$8"}</definedName>
    <definedName name="TYPE">#REF!</definedName>
    <definedName name="TYPE1">#REF!</definedName>
    <definedName name="TYPE2">#REF!</definedName>
    <definedName name="tytju4tewete" localSheetId="0" hidden="1">{#N/A,#N/A,FALSE,"속도"}</definedName>
    <definedName name="tytju4tewete" hidden="1">{#N/A,#N/A,FALSE,"속도"}</definedName>
    <definedName name="TYTY">#REF!</definedName>
    <definedName name="tyu" hidden="1">{"'용역비'!$A$4:$C$8"}</definedName>
    <definedName name="T자R10">#REF!</definedName>
    <definedName name="T자R15">#REF!</definedName>
    <definedName name="T자R20">#REF!</definedName>
    <definedName name="T자R5">#REF!</definedName>
    <definedName name="T자R6">#REF!</definedName>
    <definedName name="T자R7">#REF!</definedName>
    <definedName name="T자R8">#REF!</definedName>
    <definedName name="T자W0.3">#REF!</definedName>
    <definedName name="T자W0.4">#REF!</definedName>
    <definedName name="T자W0.5">#REF!</definedName>
    <definedName name="T자W0.6">#REF!</definedName>
    <definedName name="T자W0.8">#REF!</definedName>
    <definedName name="T자W1.0">#REF!</definedName>
    <definedName name="T자W1.2">#REF!</definedName>
    <definedName name="U">#REF!</definedName>
    <definedName name="U19042704">#REF!</definedName>
    <definedName name="UD">#REF!</definedName>
    <definedName name="UDITCH내역서">#REF!</definedName>
    <definedName name="UH">#REF!</definedName>
    <definedName name="UL">#REF!</definedName>
    <definedName name="ulo" hidden="1">{"'용역비'!$A$4:$C$8"}</definedName>
    <definedName name="Un">#REF!</definedName>
    <definedName name="Un_m">#REF!</definedName>
    <definedName name="UNIT">#N/A</definedName>
    <definedName name="UP">#REF!</definedName>
    <definedName name="USD">#REF!</definedName>
    <definedName name="UT">#REF!</definedName>
    <definedName name="UTI" hidden="1">{"'용역비'!$A$4:$C$8"}</definedName>
    <definedName name="UTIOL" hidden="1">{"'용역비'!$A$4:$C$8"}</definedName>
    <definedName name="uu">#REF!</definedName>
    <definedName name="uuuu" hidden="1">{#N/A,#N/A,FALSE,"단가표지"}</definedName>
    <definedName name="uy5f">#REF!</definedName>
    <definedName name="uyjesc" localSheetId="0" hidden="1">{#N/A,#N/A,FALSE,"포장1";#N/A,#N/A,FALSE,"포장1"}</definedName>
    <definedName name="uyjesc" hidden="1">{#N/A,#N/A,FALSE,"포장1";#N/A,#N/A,FALSE,"포장1"}</definedName>
    <definedName name="u측구">#REF!</definedName>
    <definedName name="U형신축이음">#REF!</definedName>
    <definedName name="U형측구">#REF!</definedName>
    <definedName name="V">#REF!</definedName>
    <definedName name="v6a">#REF!</definedName>
    <definedName name="VAFP">#REF!</definedName>
    <definedName name="VAT">#REF!</definedName>
    <definedName name="VBOLT">#REF!</definedName>
    <definedName name="VBV">#REF!</definedName>
    <definedName name="vcdgr">#REF!</definedName>
    <definedName name="VCR">#REF!</definedName>
    <definedName name="VDATA">#N/A</definedName>
    <definedName name="VDSVP">#REF!</definedName>
    <definedName name="VGREFE">#REF!</definedName>
    <definedName name="VHAF">#REF!</definedName>
    <definedName name="VHMF">#REF!</definedName>
    <definedName name="VMAX">#N/A</definedName>
    <definedName name="VMF">#REF!</definedName>
    <definedName name="vmfkdlaj">#REF!</definedName>
    <definedName name="VMOTOR">#REF!</definedName>
    <definedName name="VPUMP">#REF!</definedName>
    <definedName name="VRGSFG">#REF!</definedName>
    <definedName name="VSS_SS">#REF!</definedName>
    <definedName name="VSV">#REF!</definedName>
    <definedName name="VV">#REF!</definedName>
    <definedName name="VVAFP">#REF!</definedName>
    <definedName name="VVMF">#REF!</definedName>
    <definedName name="VVV">#REF!</definedName>
    <definedName name="vwat" localSheetId="0" hidden="1">{#N/A,#N/A,FALSE,"운반시간"}</definedName>
    <definedName name="vwat" hidden="1">{#N/A,#N/A,FALSE,"운반시간"}</definedName>
    <definedName name="VWEI">#REF!</definedName>
    <definedName name="VY" hidden="1">{#N/A,#N/A,FALSE,"단가표지"}</definedName>
    <definedName name="W" localSheetId="0" hidden="1">{#N/A,#N/A,FALSE,"P.C.B"}</definedName>
    <definedName name="W" hidden="1">{#N/A,#N/A,FALSE,"P.C.B"}</definedName>
    <definedName name="w_m">#REF!</definedName>
    <definedName name="w_m1">#REF!</definedName>
    <definedName name="w_m2">#REF!</definedName>
    <definedName name="w_m22">#REF!</definedName>
    <definedName name="W1C">#REF!</definedName>
    <definedName name="W2C">#REF!</definedName>
    <definedName name="W3C">#REF!</definedName>
    <definedName name="WA">#REF!</definedName>
    <definedName name="WAA">#REF!</definedName>
    <definedName name="WAAA">#REF!</definedName>
    <definedName name="WALE">#REF!</definedName>
    <definedName name="wale_e">#REF!</definedName>
    <definedName name="wale_ea">#REF!</definedName>
    <definedName name="WB">#REF!</definedName>
    <definedName name="WB.1">#REF!</definedName>
    <definedName name="WB.2">#REF!</definedName>
    <definedName name="WB.3">#REF!</definedName>
    <definedName name="WC">#REF!</definedName>
    <definedName name="WCC">#REF!</definedName>
    <definedName name="WCP">#REF!</definedName>
    <definedName name="WD">#REF!</definedName>
    <definedName name="WD_P">#REF!</definedName>
    <definedName name="WD_W">#REF!</definedName>
    <definedName name="we">#REF!</definedName>
    <definedName name="WEI">#REF!</definedName>
    <definedName name="WEQ">#REF!</definedName>
    <definedName name="wer_1" localSheetId="0" hidden="1">{#N/A,#N/A,FALSE,"골재소요량";#N/A,#N/A,FALSE,"골재소요량"}</definedName>
    <definedName name="wer_1" hidden="1">{#N/A,#N/A,FALSE,"골재소요량";#N/A,#N/A,FALSE,"골재소요량"}</definedName>
    <definedName name="WERFE">#REF!</definedName>
    <definedName name="werg">#REF!</definedName>
    <definedName name="werq">#N/A</definedName>
    <definedName name="WEW">#REF!</definedName>
    <definedName name="WF">#REF!</definedName>
    <definedName name="WFF">#REF!</definedName>
    <definedName name="WFSD">#REF!</definedName>
    <definedName name="WH">#REF!</definedName>
    <definedName name="WH.1">#REF!</definedName>
    <definedName name="WH.2">#REF!</definedName>
    <definedName name="WH.3">#REF!</definedName>
    <definedName name="whekd" hidden="1">{#N/A,#N/A,FALSE,"포장단가"}</definedName>
    <definedName name="wind_span">#REF!</definedName>
    <definedName name="WIRE">#REF!</definedName>
    <definedName name="WIS단가비교" hidden="1">{#N/A,#N/A,TRUE,"토적및재료집계";#N/A,#N/A,TRUE,"토적및재료집계";#N/A,#N/A,TRUE,"단위량"}</definedName>
    <definedName name="wjd">#REF!</definedName>
    <definedName name="wk">#REF!</definedName>
    <definedName name="wkqcjf">#REF!</definedName>
    <definedName name="WL">#REF!</definedName>
    <definedName name="wldns">#REF!</definedName>
    <definedName name="wlq">#REF!</definedName>
    <definedName name="WLT">#REF!</definedName>
    <definedName name="wm.조골재1" hidden="1">{#N/A,#N/A,FALSE,"조골재"}</definedName>
    <definedName name="WON">#REF!</definedName>
    <definedName name="WPP">#REF!</definedName>
    <definedName name="wrn.2번." localSheetId="0" hidden="1">{#N/A,#N/A,FALSE,"2~8번"}</definedName>
    <definedName name="wrn.2번." hidden="1">{#N/A,#N/A,FALSE,"2~8번"}</definedName>
    <definedName name="wrn.2번._1" localSheetId="0" hidden="1">{#N/A,#N/A,FALSE,"2~8번"}</definedName>
    <definedName name="wrn.2번._1" hidden="1">{#N/A,#N/A,FALSE,"2~8번"}</definedName>
    <definedName name="wrn.3번." localSheetId="0" hidden="1">{#N/A,#N/A,FALSE,"2~8번"}</definedName>
    <definedName name="wrn.3번." hidden="1">{#N/A,#N/A,FALSE,"2~8번"}</definedName>
    <definedName name="wrn.97년._.사업계획._.및._.예산지침." hidden="1">{#N/A,#N/A,TRUE,"1";#N/A,#N/A,TRUE,"2";#N/A,#N/A,TRUE,"3";#N/A,#N/A,TRUE,"4";#N/A,#N/A,TRUE,"5";#N/A,#N/A,TRUE,"6";#N/A,#N/A,TRUE,"7"}</definedName>
    <definedName name="wrn.DACOM._.광전송장치._.투찰가._.검토." hidden="1">{#N/A,#N/A,FALSE,"DAOCM 2차 검토"}</definedName>
    <definedName name="wrn.PCB원가계산." localSheetId="0" hidden="1">{#N/A,#N/A,FALSE,"P.C.B"}</definedName>
    <definedName name="wrn.PCB원가계산." hidden="1">{#N/A,#N/A,FALSE,"P.C.B"}</definedName>
    <definedName name="wrn.test1." hidden="1">{#N/A,#N/A,FALSE,"명세표"}</definedName>
    <definedName name="wrn.건설기계사업소._.상반기보고." hidden="1">{#N/A,#N/A,FALSE,"사업총괄";#N/A,#N/A,FALSE,"장비사업";#N/A,#N/A,FALSE,"철구사업";#N/A,#N/A,FALSE,"준설사업"}</definedName>
    <definedName name="wrn.골재소요량." localSheetId="0" hidden="1">{#N/A,#N/A,FALSE,"골재소요량";#N/A,#N/A,FALSE,"골재소요량"}</definedName>
    <definedName name="wrn.골재소요량." hidden="1">{#N/A,#N/A,FALSE,"골재소요량";#N/A,#N/A,FALSE,"골재소요량"}</definedName>
    <definedName name="wrn.골재소요량._1" localSheetId="0" hidden="1">{#N/A,#N/A,FALSE,"골재소요량";#N/A,#N/A,FALSE,"골재소요량"}</definedName>
    <definedName name="wrn.골재소요량._1" hidden="1">{#N/A,#N/A,FALSE,"골재소요량";#N/A,#N/A,FALSE,"골재소요량"}</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기성." hidden="1">{#N/A,#N/A,FALSE,"신청통보";#N/A,#N/A,FALSE,"기성확인서";#N/A,#N/A,FALSE,"기성내역서"}</definedName>
    <definedName name="wrn.단가표지." localSheetId="0" hidden="1">{#N/A,#N/A,FALSE,"단가표지"}</definedName>
    <definedName name="wrn.단가표지." hidden="1">{#N/A,#N/A,FALSE,"단가표지"}</definedName>
    <definedName name="wrn.단가표지._1" localSheetId="0" hidden="1">{#N/A,#N/A,FALSE,"단가표지"}</definedName>
    <definedName name="wrn.단가표지._1"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변경예산." hidden="1">{#N/A,#N/A,FALSE,"변경관리예산";#N/A,#N/A,FALSE,"변경장비예산";#N/A,#N/A,FALSE,"변경준설예산";#N/A,#N/A,FALSE,"변경철구예산"}</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localSheetId="0" hidden="1">{#N/A,#N/A,FALSE,"속도"}</definedName>
    <definedName name="wrn.속도." hidden="1">{#N/A,#N/A,FALSE,"속도"}</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hidden="1">{#N/A,#N/A,FALSE,"결의서";#N/A,#N/A,FALSE,"내역서";#N/A,#N/A,FALSE,"도급예상";#N/A,#N/A,FALSE,"시방서"}</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hidden="1">{"SJ - 기본 보기",#N/A,FALSE,"공사별 외주견적"}</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localSheetId="0" hidden="1">{#N/A,#N/A,FALSE,"운반시간"}</definedName>
    <definedName name="wrn.운반시간." hidden="1">{#N/A,#N/A,FALSE,"운반시간"}</definedName>
    <definedName name="wrn.운반시간._1" localSheetId="0" hidden="1">{#N/A,#N/A,FALSE,"운반시간"}</definedName>
    <definedName name="wrn.운반시간._1" hidden="1">{#N/A,#N/A,FALSE,"운반시간"}</definedName>
    <definedName name="wrn.이정표." localSheetId="0" hidden="1">{#N/A,#N/A,FALSE,"이정표"}</definedName>
    <definedName name="wrn.이정표." hidden="1">{#N/A,#N/A,FALSE,"이정표"}</definedName>
    <definedName name="wrn.일위대가." hidden="1">{#N/A,#N/A,TRUE,"대가1"}</definedName>
    <definedName name="wrn.전열선출서." hidden="1">{#N/A,#N/A,FALSE,"전열산출서"}</definedName>
    <definedName name="wrn.조골재." localSheetId="0" hidden="1">{#N/A,#N/A,FALSE,"조골재"}</definedName>
    <definedName name="wrn.조골재." hidden="1">{#N/A,#N/A,FALSE,"조골재"}</definedName>
    <definedName name="wrn.조골재._1" localSheetId="0" hidden="1">{#N/A,#N/A,FALSE,"조골재"}</definedName>
    <definedName name="wrn.조골재._1"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통신지." hidden="1">{#N/A,#N/A,FALSE,"기안지";#N/A,#N/A,FALSE,"통신지"}</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포장단가." localSheetId="0" hidden="1">{#N/A,#N/A,FALSE,"포장단가"}</definedName>
    <definedName name="wrn.포장단가." hidden="1">{#N/A,#N/A,FALSE,"포장단가"}</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localSheetId="0" hidden="1">{#N/A,#N/A,FALSE,"표지목차"}</definedName>
    <definedName name="wrn.표지목차." hidden="1">{#N/A,#N/A,FALSE,"표지목차"}</definedName>
    <definedName name="wrn.표지목차._1" localSheetId="0" hidden="1">{#N/A,#N/A,FALSE,"표지목차"}</definedName>
    <definedName name="wrn.표지목차._1" hidden="1">{#N/A,#N/A,FALSE,"표지목차"}</definedName>
    <definedName name="wrn.표지목차1."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rn.혼합골재._1" localSheetId="0" hidden="1">{#N/A,#N/A,FALSE,"혼합골재"}</definedName>
    <definedName name="wrn.혼합골재._1" hidden="1">{#N/A,#N/A,FALSE,"혼합골재"}</definedName>
    <definedName name="wrty" hidden="1">{"'용역비'!$A$4:$C$8"}</definedName>
    <definedName name="wrtyrtyrt" hidden="1">{"'용역비'!$A$4:$C$8"}</definedName>
    <definedName name="wrtywrtywr" hidden="1">{"'용역비'!$A$4:$C$8"}</definedName>
    <definedName name="WS">#REF!</definedName>
    <definedName name="WSO">#REF!</definedName>
    <definedName name="WST">#REF!</definedName>
    <definedName name="WSUM">#REF!</definedName>
    <definedName name="Ws삼">#REF!</definedName>
    <definedName name="Ws이">#REF!</definedName>
    <definedName name="Ws일">#REF!</definedName>
    <definedName name="WT">#REF!</definedName>
    <definedName name="wtvegrh" localSheetId="0" hidden="1">{#N/A,#N/A,FALSE,"포장2"}</definedName>
    <definedName name="wtvegrh" hidden="1">{#N/A,#N/A,FALSE,"포장2"}</definedName>
    <definedName name="wuy" hidden="1">{"'용역비'!$A$4:$C$8"}</definedName>
    <definedName name="wvyh" localSheetId="0" hidden="1">{#N/A,#N/A,FALSE,"혼합골재"}</definedName>
    <definedName name="wvyh" hidden="1">{#N/A,#N/A,FALSE,"혼합골재"}</definedName>
    <definedName name="WW">#REF!</definedName>
    <definedName name="WW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#REF!</definedName>
    <definedName name="X48호선_1_구조물철거집계표_국도48__List">#REF!</definedName>
    <definedName name="X9701D_일위대가_List">#REF!</definedName>
    <definedName name="XA">#REF!</definedName>
    <definedName name="XCVBGSDFGSER" hidden="1">#REF!</definedName>
    <definedName name="xfe">#REF!</definedName>
    <definedName name="xhrhd" hidden="1">{#N/A,#N/A,FALSE,"토공2"}</definedName>
    <definedName name="XL">#REF!</definedName>
    <definedName name="XL동림010" localSheetId="0" hidden="1">{#N/A,#N/A,FALSE,"현장 NCR 분석";#N/A,#N/A,FALSE,"현장품질감사";#N/A,#N/A,FALSE,"현장품질감사"}</definedName>
    <definedName name="XL동림010" hidden="1">{#N/A,#N/A,FALSE,"현장 NCR 분석";#N/A,#N/A,FALSE,"현장품질감사";#N/A,#N/A,FALSE,"현장품질감사"}</definedName>
    <definedName name="XSE">#REF!</definedName>
    <definedName name="XX">#N/A</definedName>
    <definedName name="xxx">#REF!</definedName>
    <definedName name="XXXX">#REF!</definedName>
    <definedName name="XXXXXX" hidden="1">{"'공사부문'!$A$6:$A$32"}</definedName>
    <definedName name="Y">#REF!</definedName>
    <definedName name="Y.S.KIM">#REF!,#REF!,#REF!,#REF!,#REF!,#REF!,#REF!,#REF!,#REF!,#REF!,#REF!,#REF!,#REF!,#REF!,#REF!,#REF!,#REF!,#REF!,#REF!</definedName>
    <definedName name="y5bewy5vgr" localSheetId="0" hidden="1">{#N/A,#N/A,FALSE,"운반시간"}</definedName>
    <definedName name="y5bewy5vgr" hidden="1">{#N/A,#N/A,FALSE,"운반시간"}</definedName>
    <definedName name="YA">#REF!</definedName>
    <definedName name="YC">#REF!</definedName>
    <definedName name="YD">#REF!</definedName>
    <definedName name="YE">#N/A</definedName>
    <definedName name="YEKA">#N/A</definedName>
    <definedName name="YFU" hidden="1">{"'용역비'!$A$4:$C$8"}</definedName>
    <definedName name="ygfdtrg">#REF!</definedName>
    <definedName name="YHJ">#REF!</definedName>
    <definedName name="YL" hidden="1">{"'용역비'!$A$4:$C$8"}</definedName>
    <definedName name="YOO">#REF!</definedName>
    <definedName name="yoo10">#REF!</definedName>
    <definedName name="yoo2">#REF!</definedName>
    <definedName name="yoo3">#REF!</definedName>
    <definedName name="yoo4">#REF!</definedName>
    <definedName name="YOO5">#REF!</definedName>
    <definedName name="YOO6">#REF!</definedName>
    <definedName name="YOO7">#REF!</definedName>
    <definedName name="yoo8">#REF!</definedName>
    <definedName name="YOO9">#REF!</definedName>
    <definedName name="YOON">#REF!</definedName>
    <definedName name="YOON2">#REF!</definedName>
    <definedName name="YOON3">#REF!</definedName>
    <definedName name="YOON4">#REF!</definedName>
    <definedName name="yrtgftr">#REF!</definedName>
    <definedName name="ysu">#REF!</definedName>
    <definedName name="ytbty">#REF!</definedName>
    <definedName name="yu" hidden="1">{"'용역비'!$A$4:$C$8"}</definedName>
    <definedName name="YUK" hidden="1">{"'용역비'!$A$4:$C$8"}</definedName>
    <definedName name="YUKOI" hidden="1">{"'용역비'!$A$4:$C$8"}</definedName>
    <definedName name="YUYUY" localSheetId="0" hidden="1">{#N/A,#N/A,FALSE,"혼합골재"}</definedName>
    <definedName name="YUYUY" hidden="1">{#N/A,#N/A,FALSE,"혼합골재"}</definedName>
    <definedName name="yvdfvhd" localSheetId="0" hidden="1">{#N/A,#N/A,FALSE,"이정표"}</definedName>
    <definedName name="yvdfvhd" hidden="1">{#N/A,#N/A,FALSE,"이정표"}</definedName>
    <definedName name="ywrtvwvy" localSheetId="0" hidden="1">{#N/A,#N/A,FALSE,"부대1"}</definedName>
    <definedName name="ywrtvwvy" hidden="1">{#N/A,#N/A,FALSE,"부대1"}</definedName>
    <definedName name="YYY"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 localSheetId="0" hidden="1">{#N/A,#N/A,FALSE,"P.C.B"}</definedName>
    <definedName name="Z" hidden="1">{#N/A,#N/A,FALSE,"P.C.B"}</definedName>
    <definedName name="za">[0]!za</definedName>
    <definedName name="zaa">[0]!zaa</definedName>
    <definedName name="ZP">#REF!</definedName>
    <definedName name="zx" hidden="1">#REF!</definedName>
    <definedName name="zz">#REF!</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αβ1">#REF!</definedName>
    <definedName name="αβ2">#REF!</definedName>
    <definedName name="ㄱ">#REF!</definedName>
    <definedName name="ㄱ1">#REF!</definedName>
    <definedName name="ㄱ2">#REF!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localSheetId="0" hidden="1">{#N/A,#N/A,FALSE,"운반시간"}</definedName>
    <definedName name="ㄱㄱ" hidden="1">{#N/A,#N/A,FALSE,"운반시간"}</definedName>
    <definedName name="ㄱㄱㄱ">#REF!</definedName>
    <definedName name="ㄱㄱㄱㄱㄱ">#REF!</definedName>
    <definedName name="ㄱㄱㄱㄱㄱㄱ" hidden="1">{"'용역비'!$A$4:$C$8"}</definedName>
    <definedName name="ㄱㄷ" localSheetId="28">BlankMacro1</definedName>
    <definedName name="ㄱㄷ" localSheetId="24">BlankMacro1</definedName>
    <definedName name="ㄱㄷ" localSheetId="26">BlankMacro1</definedName>
    <definedName name="ㄱㄷ" localSheetId="27">BlankMacro1</definedName>
    <definedName name="ㄱㄷ">BlankMacro1</definedName>
    <definedName name="ㄱㄷㄱㄷ" localSheetId="0" hidden="1">{#N/A,#N/A,FALSE,"2~8번"}</definedName>
    <definedName name="ㄱㄷㄱㄷ" hidden="1">{#N/A,#N/A,FALSE,"2~8번"}</definedName>
    <definedName name="ㄱㄷㄷㄱ" hidden="1">{#N/A,#N/A,FALSE,"구조2"}</definedName>
    <definedName name="ㄱㄷ쇼" hidden="1">#REF!</definedName>
    <definedName name="ㄱㄷㅈ" localSheetId="28">BlankMacro1</definedName>
    <definedName name="ㄱㄷㅈ" localSheetId="24">BlankMacro1</definedName>
    <definedName name="ㄱㄷㅈ" localSheetId="26">BlankMacro1</definedName>
    <definedName name="ㄱㄷㅈ" localSheetId="27">BlankMacro1</definedName>
    <definedName name="ㄱㄷㅈ">BlankMacro1</definedName>
    <definedName name="ㄱㄷㅈㅂ" localSheetId="28">BlankMacro1</definedName>
    <definedName name="ㄱㄷㅈㅂ" localSheetId="24">BlankMacro1</definedName>
    <definedName name="ㄱㄷㅈㅂ" localSheetId="26">BlankMacro1</definedName>
    <definedName name="ㄱㄷㅈㅂ" localSheetId="27">BlankMacro1</definedName>
    <definedName name="ㄱㄷㅈㅂ">BlankMacro1</definedName>
    <definedName name="ㄱㄷㅈㅄㄷ" hidden="1">#REF!</definedName>
    <definedName name="ㄱㄷㅈㅅㄱㄷㅅ" localSheetId="28">BlankMacro1</definedName>
    <definedName name="ㄱㄷㅈㅅㄱㄷㅅ" localSheetId="24">BlankMacro1</definedName>
    <definedName name="ㄱㄷㅈㅅㄱㄷㅅ" localSheetId="26">BlankMacro1</definedName>
    <definedName name="ㄱㄷㅈㅅㄱㄷㅅ" localSheetId="27">BlankMacro1</definedName>
    <definedName name="ㄱㄷㅈㅅㄱㄷㅅ">BlankMacro1</definedName>
    <definedName name="ㄱㄷㅈㅅㅎ" localSheetId="28">BlankMacro1</definedName>
    <definedName name="ㄱㄷㅈㅅㅎ" localSheetId="24">BlankMacro1</definedName>
    <definedName name="ㄱㄷㅈㅅㅎ" localSheetId="26">BlankMacro1</definedName>
    <definedName name="ㄱㄷㅈㅅㅎ" localSheetId="27">BlankMacro1</definedName>
    <definedName name="ㄱㄷㅈㅅㅎ">BlankMacro1</definedName>
    <definedName name="ㄱㄷ죠" hidden="1">#REF!</definedName>
    <definedName name="ㄱ됵ㄷ" hidden="1">#REF!</definedName>
    <definedName name="ㄱ둊" hidden="1">#REF!</definedName>
    <definedName name="ㄱㅁㄴ" hidden="1">{#N/A,#N/A,FALSE,"토공2"}</definedName>
    <definedName name="ㄱㅁㄹ">#N/A</definedName>
    <definedName name="ㄱ쇼교ㅛ교">#REF!</definedName>
    <definedName name="ㄱㅈㅎ" hidden="1">#REF!</definedName>
    <definedName name="가">#REF!</definedName>
    <definedName name="가.건축공사">#N/A</definedName>
    <definedName name="가.공원시설물공">#N/A</definedName>
    <definedName name="가2">#REF!</definedName>
    <definedName name="가3">#REF!</definedName>
    <definedName name="가4">#REF!</definedName>
    <definedName name="가5">#REF!</definedName>
    <definedName name="가6">#REF!</definedName>
    <definedName name="가S_O" hidden="1">{#N/A,#N/A,FALSE,"DAOCM 2차 검토"}</definedName>
    <definedName name="가가" localSheetId="28">BlankMacro1</definedName>
    <definedName name="가가" localSheetId="24">BlankMacro1</definedName>
    <definedName name="가가" localSheetId="26">BlankMacro1</definedName>
    <definedName name="가가" localSheetId="27">BlankMacro1</definedName>
    <definedName name="가가">BlankMacro1</definedName>
    <definedName name="가건물">#REF!</definedName>
    <definedName name="가건물손료">#REF!</definedName>
    <definedName name="가공조립">#REF!</definedName>
    <definedName name="가관지수링">#REF!</definedName>
    <definedName name="가나" localSheetId="0" hidden="1">{"'정산내역서'!$A$1:$I$35","'정산서(절.성토부)'!$A$1:$Q$17","'정산서(교량부)'!$A$1:$Q$84","'총괄표'!$A$1:$M$12","'시행현황'!$A$1:$G$12","'표지'!$A$1:$N$27","'정산서(절.성토부)'!$A$3:$Q$7"}</definedName>
    <definedName name="가나" hidden="1">{"'정산내역서'!$A$1:$I$35","'정산서(절.성토부)'!$A$1:$Q$17","'정산서(교량부)'!$A$1:$Q$84","'총괄표'!$A$1:$M$12","'시행현황'!$A$1:$G$12","'표지'!$A$1:$N$27","'정산서(절.성토부)'!$A$3:$Q$7"}</definedName>
    <definedName name="가나다" hidden="1">#REF!</definedName>
    <definedName name="가나다라마바사" hidden="1">{#N/A,#N/A,FALSE,"명세표"}</definedName>
    <definedName name="가나다람ㅁㅁㅁ">#REF!</definedName>
    <definedName name="가도" hidden="1">#REF!</definedName>
    <definedName name="가도로">#REF!</definedName>
    <definedName name="가로등" localSheetId="19">#REF!</definedName>
    <definedName name="가로등" localSheetId="21">#REF!</definedName>
    <definedName name="가로등" localSheetId="23">#REF!</definedName>
    <definedName name="가로등" localSheetId="3">#REF!</definedName>
    <definedName name="가로등" localSheetId="5">#REF!</definedName>
    <definedName name="가로등" localSheetId="7">#REF!</definedName>
    <definedName name="가로등" localSheetId="9">#REF!</definedName>
    <definedName name="가로등" localSheetId="11">#REF!</definedName>
    <definedName name="가로등" localSheetId="13">#REF!</definedName>
    <definedName name="가로등" localSheetId="15">#REF!</definedName>
    <definedName name="가로등" localSheetId="17">#REF!</definedName>
    <definedName name="가로등" localSheetId="0">#REF!</definedName>
    <definedName name="가로등">#REF!</definedName>
    <definedName name="가로등부표1" localSheetId="11">#REF!</definedName>
    <definedName name="가로등부표1" localSheetId="13">#REF!</definedName>
    <definedName name="가로등부표1" localSheetId="15">#REF!</definedName>
    <definedName name="가로등부표1">#REF!</definedName>
    <definedName name="가로등부표2">#REF!,#REF!</definedName>
    <definedName name="가로등입력">#N/A</definedName>
    <definedName name="가로등주">#REF!</definedName>
    <definedName name="가링">#REF!</definedName>
    <definedName name="가마니">#REF!</definedName>
    <definedName name="가몰탈">#REF!</definedName>
    <definedName name="가뭄경비">#REF!</definedName>
    <definedName name="가뭄노무">#REF!</definedName>
    <definedName name="가뭄재료">#REF!</definedName>
    <definedName name="가배수로집계표" localSheetId="0" hidden="1">{"'정산내역서'!$A$1:$I$35","'정산서(절.성토부)'!$A$1:$Q$17","'정산서(교량부)'!$A$1:$Q$84","'총괄표'!$A$1:$M$12","'시행현황'!$A$1:$G$12","'표지'!$A$1:$N$27","'정산서(절.성토부)'!$A$3:$Q$7"}</definedName>
    <definedName name="가배수로집계표" hidden="1">{"'정산내역서'!$A$1:$I$35","'정산서(절.성토부)'!$A$1:$Q$17","'정산서(교량부)'!$A$1:$Q$84","'총괄표'!$A$1:$M$12","'시행현황'!$A$1:$G$12","'표지'!$A$1:$N$27","'정산서(절.성토부)'!$A$3:$Q$7"}</definedName>
    <definedName name="가설">#REF!</definedName>
    <definedName name="가설건물면적">#REF!</definedName>
    <definedName name="가설경">#REF!</definedName>
    <definedName name="가설경비">#REF!</definedName>
    <definedName name="가설공사">#REF!</definedName>
    <definedName name="가설공사노무비합계">#REF!</definedName>
    <definedName name="가설공사번호">#REF!</definedName>
    <definedName name="가설공사안내">#REF!</definedName>
    <definedName name="가설공사재료비합계">#REF!</definedName>
    <definedName name="가설공집계">#REF!</definedName>
    <definedName name="가설노">#REF!</definedName>
    <definedName name="가설노무비">#REF!</definedName>
    <definedName name="가설도급">#REF!</definedName>
    <definedName name="가설사무소경">#REF!</definedName>
    <definedName name="가설사무소노">#REF!</definedName>
    <definedName name="가설사무소재">#REF!</definedName>
    <definedName name="가설사무실">#REF!</definedName>
    <definedName name="가설실행">#REF!</definedName>
    <definedName name="가설재">#REF!</definedName>
    <definedName name="가설재료비">#REF!</definedName>
    <definedName name="가설창고경">#REF!</definedName>
    <definedName name="가설창고노">#REF!</definedName>
    <definedName name="가설창고재">#REF!</definedName>
    <definedName name="가설총">#REF!</definedName>
    <definedName name="가솔린">#REF!</definedName>
    <definedName name="가스구조일수">#REF!</definedName>
    <definedName name="가스구조일수1">#REF!</definedName>
    <definedName name="가스시설종수">#REF!</definedName>
    <definedName name="가스연장">#REF!</definedName>
    <definedName name="가스작업연장">#REF!</definedName>
    <definedName name="가스재구조일수">#REF!</definedName>
    <definedName name="가스재구조화비율">#REF!</definedName>
    <definedName name="가스정위치작업일수">#REF!</definedName>
    <definedName name="가스조사연장">#REF!</definedName>
    <definedName name="가스탐사지형계수">#REF!</definedName>
    <definedName name="가시나무5노무">#REF!</definedName>
    <definedName name="가시나무5재료">#REF!</definedName>
    <definedName name="가시나무6노무">#REF!</definedName>
    <definedName name="가시나무6재료">#REF!</definedName>
    <definedName name="가시나무H4.5">#REF!</definedName>
    <definedName name="가시나무R4">#REF!</definedName>
    <definedName name="가시나무R5">#REF!</definedName>
    <definedName name="가시나무R6">#REF!</definedName>
    <definedName name="가시나무R8">#REF!</definedName>
    <definedName name="가시나무노무8">#REF!</definedName>
    <definedName name="가시나무재료8">#REF!</definedName>
    <definedName name="가시설나머지">#REF!</definedName>
    <definedName name="가시설수량집계표">#REF!</definedName>
    <definedName name="가식장">#REF!</definedName>
    <definedName name="가오">#N/A</definedName>
    <definedName name="가요">#REF!</definedName>
    <definedName name="가원형4회">#REF!</definedName>
    <definedName name="가이윤율">#REF!</definedName>
    <definedName name="가이즈까">#REF!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입">#N/A</definedName>
    <definedName name="가정" localSheetId="19">#REF!</definedName>
    <definedName name="가정" localSheetId="21">#REF!</definedName>
    <definedName name="가정" localSheetId="23">#REF!</definedName>
    <definedName name="가정" localSheetId="3">#REF!</definedName>
    <definedName name="가정" localSheetId="5">#REF!</definedName>
    <definedName name="가정" localSheetId="7">#REF!</definedName>
    <definedName name="가정" localSheetId="9">#REF!</definedName>
    <definedName name="가정" localSheetId="11">#REF!</definedName>
    <definedName name="가정" localSheetId="13">#REF!</definedName>
    <definedName name="가정" localSheetId="15">#REF!</definedName>
    <definedName name="가정" localSheetId="17">#REF!</definedName>
    <definedName name="가정" localSheetId="0">#REF!</definedName>
    <definedName name="가정">#REF!</definedName>
    <definedName name="가제당경비">#REF!</definedName>
    <definedName name="가제당노무비">#REF!</definedName>
    <definedName name="가제당재료비">#REF!</definedName>
    <definedName name="가중나무B10">#REF!</definedName>
    <definedName name="가중나무B4">#REF!</definedName>
    <definedName name="가중나무B5">#REF!</definedName>
    <definedName name="가중나무B6">#REF!</definedName>
    <definedName name="가중나무B8">#REF!</definedName>
    <definedName name="가중치">#REF!</definedName>
    <definedName name="가철근">#REF!</definedName>
    <definedName name="가콘25">#REF!</definedName>
    <definedName name="가콘40">#REF!</definedName>
    <definedName name="각">#REF!</definedName>
    <definedName name="각각">#REF!</definedName>
    <definedName name="각재">#REF!</definedName>
    <definedName name="간">#REF!</definedName>
    <definedName name="간1">#REF!</definedName>
    <definedName name="간노">#REF!</definedName>
    <definedName name="간노1">#REF!</definedName>
    <definedName name="간노비">#REF!</definedName>
    <definedName name="간다" hidden="1">#REF!</definedName>
    <definedName name="간보비">#REF!</definedName>
    <definedName name="간선변경" localSheetId="28">BlankMacro1</definedName>
    <definedName name="간선변경" localSheetId="24">BlankMacro1</definedName>
    <definedName name="간선변경" localSheetId="26">BlankMacro1</definedName>
    <definedName name="간선변경" localSheetId="27">BlankMacro1</definedName>
    <definedName name="간선변경">BlankMacro1</definedName>
    <definedName name="간선합계">#REF!</definedName>
    <definedName name="간접">#REF!</definedName>
    <definedName name="간접노무">#REF!</definedName>
    <definedName name="간접노무.">#REF!</definedName>
    <definedName name="간접노무비">#REF!</definedName>
    <definedName name="간접노무비요율">#REF!</definedName>
    <definedName name="간접노무비요율_변경">#REF!</definedName>
    <definedName name="간접노무비율">#REF!</definedName>
    <definedName name="간접율">#REF!</definedName>
    <definedName name="간조">#REF!</definedName>
    <definedName name="간지">#REF!</definedName>
    <definedName name="간지2">#REF!</definedName>
    <definedName name="간지3">#REF!</definedName>
    <definedName name="간지4" localSheetId="28">BlankMacro1</definedName>
    <definedName name="간지4" localSheetId="24">BlankMacro1</definedName>
    <definedName name="간지4" localSheetId="26">BlankMacro1</definedName>
    <definedName name="간지4" localSheetId="27">BlankMacro1</definedName>
    <definedName name="간지4">BlankMacro1</definedName>
    <definedName name="간지내역" hidden="1">{"'용역비'!$A$4:$C$8"}</definedName>
    <definedName name="간지내역서" hidden="1">{"'용역비'!$A$4:$C$8"}</definedName>
    <definedName name="갈15">#REF!</definedName>
    <definedName name="갈대">#REF!</definedName>
    <definedName name="갈대3">#REF!</definedName>
    <definedName name="갈대노">#REF!</definedName>
    <definedName name="갈대재">#REF!</definedName>
    <definedName name="갈빌1호">#REF!</definedName>
    <definedName name="갈빌2호">#REF!</definedName>
    <definedName name="갈빌3호">#REF!</definedName>
    <definedName name="감">#REF!</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감">[0]!감감</definedName>
    <definedName name="감나무H2.5">#REF!</definedName>
    <definedName name="감나무H3.0">#REF!</definedName>
    <definedName name="감리">#REF!</definedName>
    <definedName name="감삼">[0]!감삼</definedName>
    <definedName name="감속턱수량">#REF!</definedName>
    <definedName name="감철근">#REF!</definedName>
    <definedName name="갑">#REF!</definedName>
    <definedName name="갑03">#REF!</definedName>
    <definedName name="갑10페이지">#REF!,#REF!,#REF!,#REF!,#REF!,#REF!,#REF!</definedName>
    <definedName name="갑11페이지">#REF!,#REF!,#REF!,#REF!,#REF!,#REF!,#REF!</definedName>
    <definedName name="갑12페이지">#REF!,#REF!,#REF!,#REF!,#REF!,#REF!,#REF!</definedName>
    <definedName name="갑13페이지">#REF!,#REF!,#REF!,#REF!,#REF!,#REF!,#REF!</definedName>
    <definedName name="갑14페이지">#REF!,#REF!,#REF!,#REF!,#REF!,#REF!,#REF!</definedName>
    <definedName name="갑15페이지">#REF!,#REF!,#REF!,#REF!,#REF!</definedName>
    <definedName name="갑1페이지">#REF!,#REF!,#REF!,#REF!,#REF!,#REF!</definedName>
    <definedName name="갑2페이지">#REF!,#REF!,#REF!,#REF!,#REF!,#REF!,#REF!</definedName>
    <definedName name="갑3페이지">#REF!,#REF!,#REF!,#REF!,#REF!,#REF!,#REF!</definedName>
    <definedName name="갑4페이지">#REF!,#REF!,#REF!,#REF!,#REF!,#REF!,#REF!</definedName>
    <definedName name="갑5페이지">#REF!,#REF!,#REF!,#REF!,#REF!,#REF!,#REF!</definedName>
    <definedName name="갑6페이지">#REF!,#REF!,#REF!,#REF!,#REF!,#REF!,#REF!</definedName>
    <definedName name="갑7페이지">#REF!,#REF!,#REF!,#REF!,#REF!,#REF!,#REF!</definedName>
    <definedName name="갑8페이지">#REF!,#REF!,#REF!,#REF!,#REF!,#REF!,#REF!</definedName>
    <definedName name="갑9페이지">#REF!,#REF!,#REF!,#REF!,#REF!,#REF!,#REF!</definedName>
    <definedName name="갑면1">#REF!,#REF!,#REF!,#REF!,#REF!,#REF!</definedName>
    <definedName name="갑면10">#REF!,#REF!,#REF!,#REF!,#REF!,#REF!,#REF!</definedName>
    <definedName name="갑면11">#REF!,#REF!,#REF!,#REF!,#REF!,#REF!,#REF!</definedName>
    <definedName name="갑면12">#REF!,#REF!,#REF!,#REF!,#REF!,#REF!,#REF!</definedName>
    <definedName name="갑면13">#REF!,#REF!,#REF!,#REF!,#REF!,#REF!,#REF!</definedName>
    <definedName name="갑면14">#REF!,#REF!,#REF!,#REF!,#REF!,#REF!,#REF!</definedName>
    <definedName name="갑면15">#REF!,#REF!,#REF!,#REF!,#REF!</definedName>
    <definedName name="갑면2">#REF!,#REF!,#REF!,#REF!,#REF!,#REF!,#REF!</definedName>
    <definedName name="갑면3">#REF!,#REF!,#REF!,#REF!,#REF!,#REF!,#REF!</definedName>
    <definedName name="갑면4">#REF!,#REF!,#REF!,#REF!,#REF!,#REF!,#REF!</definedName>
    <definedName name="갑면5">#REF!,#REF!,#REF!,#REF!,#REF!,#REF!,#REF!</definedName>
    <definedName name="갑면6">#REF!,#REF!,#REF!,#REF!,#REF!,#REF!,#REF!</definedName>
    <definedName name="갑면7">#REF!,#REF!,#REF!,#REF!,#REF!,#REF!,#REF!</definedName>
    <definedName name="갑면8">#REF!,#REF!,#REF!,#REF!,#REF!,#REF!,#REF!</definedName>
    <definedName name="갑면9">#REF!,#REF!,#REF!,#REF!,#REF!,#REF!,#REF!</definedName>
    <definedName name="갑비" localSheetId="11">#REF!,#REF!</definedName>
    <definedName name="갑비" localSheetId="13">#REF!,#REF!</definedName>
    <definedName name="갑비" localSheetId="15">#REF!,#REF!</definedName>
    <definedName name="갑비">#REF!,#REF!</definedName>
    <definedName name="갑지" hidden="1">#REF!</definedName>
    <definedName name="갑지1" localSheetId="11">#REF!,#REF!</definedName>
    <definedName name="갑지1" localSheetId="13">#REF!,#REF!</definedName>
    <definedName name="갑지1" localSheetId="15">#REF!,#REF!</definedName>
    <definedName name="갑지1">#REF!,#REF!</definedName>
    <definedName name="갑지2" localSheetId="11">#REF!,#REF!</definedName>
    <definedName name="갑지2" localSheetId="13">#REF!,#REF!</definedName>
    <definedName name="갑지2" localSheetId="15">#REF!,#REF!</definedName>
    <definedName name="갑지2">#REF!,#REF!</definedName>
    <definedName name="갑지도급비교" localSheetId="11">#REF!,#REF!</definedName>
    <definedName name="갑지도급비교" localSheetId="13">#REF!,#REF!</definedName>
    <definedName name="갑지도급비교" localSheetId="15">#REF!,#REF!</definedName>
    <definedName name="갑지도급비교">#REF!,#REF!</definedName>
    <definedName name="갑지총계">#REF!</definedName>
    <definedName name="값" localSheetId="0" hidden="1">{#N/A,#N/A,FALSE,"P.C.B"}</definedName>
    <definedName name="값" hidden="1">{#N/A,#N/A,FALSE,"P.C.B"}</definedName>
    <definedName name="강">#REF!</definedName>
    <definedName name="강감찬">#REF!</definedName>
    <definedName name="강강">#REF!</definedName>
    <definedName name="강강남제비비">#REF!</definedName>
    <definedName name="강관">#REF!</definedName>
    <definedName name="강관말뚝공">#REF!</definedName>
    <definedName name="강교스치로폴_채움">#REF!</definedName>
    <definedName name="강단면적">#REF!</definedName>
    <definedName name="강성3Span">#REF!</definedName>
    <definedName name="강신성">#REF!</definedName>
    <definedName name="강아지" hidden="1">#REF!</definedName>
    <definedName name="강우경비">#REF!</definedName>
    <definedName name="강우노무">#REF!</definedName>
    <definedName name="강우재료">#REF!</definedName>
    <definedName name="강의">#REF!</definedName>
    <definedName name="강재" localSheetId="0" hidden="1">{#N/A,#N/A,FALSE,"배수1"}</definedName>
    <definedName name="강재" hidden="1">{#N/A,#N/A,FALSE,"배수1"}</definedName>
    <definedName name="강재DATA">#REF!</definedName>
    <definedName name="강재거푸집">#REF!</definedName>
    <definedName name="강재규격">#REF!</definedName>
    <definedName name="강전기계조립공">#REF!</definedName>
    <definedName name="강제전선관">#REF!</definedName>
    <definedName name="강탄성계수">#REF!</definedName>
    <definedName name="개">#REF!</definedName>
    <definedName name="개거" hidden="1">#REF!</definedName>
    <definedName name="개거수량">#REF!</definedName>
    <definedName name="개거철근">#REF!</definedName>
    <definedName name="개거피브시">#REF!</definedName>
    <definedName name="개국" hidden="1">{"'5국공정'!$A$1:$E$128"}</definedName>
    <definedName name="개나리">#REF!</definedName>
    <definedName name="개나리12">#REF!</definedName>
    <definedName name="개나리3">#REF!</definedName>
    <definedName name="개나리5">#REF!</definedName>
    <definedName name="개나리7">#REF!</definedName>
    <definedName name="개나리9">#REF!</definedName>
    <definedName name="개발원가">#REF!</definedName>
    <definedName name="개비온">#REF!</definedName>
    <definedName name="개산분">#REF!</definedName>
    <definedName name="개소">#REF!</definedName>
    <definedName name="개소별명세표" hidden="1">{#N/A,#N/A,FALSE,"명세표"}</definedName>
    <definedName name="개쉬땅1204">#REF!</definedName>
    <definedName name="개쉬땅1506">#REF!</definedName>
    <definedName name="개요">#REF!</definedName>
    <definedName name="개착터널">#REF!</definedName>
    <definedName name="개천내기">#REF!</definedName>
    <definedName name="갯버들">#REF!</definedName>
    <definedName name="갯버들노">#REF!</definedName>
    <definedName name="갯버들재">#REF!</definedName>
    <definedName name="갱부">#REF!</definedName>
    <definedName name="갱부001">#REF!</definedName>
    <definedName name="갱부002">#REF!</definedName>
    <definedName name="갱부011">#REF!</definedName>
    <definedName name="갱부982">#REF!</definedName>
    <definedName name="갱부991">#REF!</definedName>
    <definedName name="갱부992">#REF!</definedName>
    <definedName name="거" hidden="1">{"'용역비'!$A$4:$C$8"}</definedName>
    <definedName name="거더폭">#REF!</definedName>
    <definedName name="거친마감">#REF!</definedName>
    <definedName name="거푸집">#REF!</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설용펌프_자흡식_150MM_20HP×20M_">#REF!</definedName>
    <definedName name="건설페기물처리비" localSheetId="28">BlankMacro1</definedName>
    <definedName name="건설페기물처리비" localSheetId="24">BlankMacro1</definedName>
    <definedName name="건설페기물처리비" localSheetId="26">BlankMacro1</definedName>
    <definedName name="건설페기물처리비" localSheetId="27">BlankMacro1</definedName>
    <definedName name="건설페기물처리비">BlankMacro1</definedName>
    <definedName name="건조수축율">#REF!</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면적">#REF!</definedName>
    <definedName name="건축목공" localSheetId="2">#REF!</definedName>
    <definedName name="건축목공">#REF!</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물">#REF!</definedName>
    <definedName name="건축물등기수">#REF!</definedName>
    <definedName name="건축상주">#REF!</definedName>
    <definedName name="건축원가" hidden="1">#REF!</definedName>
    <definedName name="건축집계">#REF!</definedName>
    <definedName name="건축철근">#REF!</definedName>
    <definedName name="건축총괄" localSheetId="28">BlankMacro1</definedName>
    <definedName name="건축총괄" localSheetId="24">BlankMacro1</definedName>
    <definedName name="건축총괄" localSheetId="26">BlankMacro1</definedName>
    <definedName name="건축총괄" localSheetId="27">BlankMacro1</definedName>
    <definedName name="건축총괄">BlankMacro1</definedName>
    <definedName name="걸쇠">#REF!</definedName>
    <definedName name="검사내역" hidden="1">{"'Sheet1'!$A$1:$H$49"}</definedName>
    <definedName name="검색">#N/A</definedName>
    <definedName name="검측감리공제요율">#REF!</definedName>
    <definedName name="게" hidden="1">{#N/A,#N/A,TRUE,"토적및재료집계";#N/A,#N/A,TRUE,"토적및재료집계";#N/A,#N/A,TRUE,"단위량"}</definedName>
    <definedName name="게이트">#REF!</definedName>
    <definedName name="겨" hidden="1">{"'용역비'!$A$4:$C$8"}</definedName>
    <definedName name="견">#REF!,#REF!</definedName>
    <definedName name="견적">#REF!</definedName>
    <definedName name="견적1">#REF!</definedName>
    <definedName name="견적LIST" localSheetId="11">Dlog_Show</definedName>
    <definedName name="견적LIST" localSheetId="13">Dlog_Show</definedName>
    <definedName name="견적LIST" localSheetId="15">Dlog_Show</definedName>
    <definedName name="견적LIST" localSheetId="28">Dlog_Show</definedName>
    <definedName name="견적LIST" localSheetId="24">Dlog_Show</definedName>
    <definedName name="견적LIST" localSheetId="26">Dlog_Show</definedName>
    <definedName name="견적LIST" localSheetId="27">Dlog_Show</definedName>
    <definedName name="견적LIST">Dlog_Show</definedName>
    <definedName name="견적가">#REF!</definedName>
    <definedName name="견적갑">#REF!</definedName>
    <definedName name="견적단가">#REF!</definedName>
    <definedName name="견적대">#REF!</definedName>
    <definedName name="견적서">#REF!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의뢰">#REF!</definedName>
    <definedName name="견적제출보고서">#REF!</definedName>
    <definedName name="견적토목">#REF!</definedName>
    <definedName name="견적협력업체3">#REF!,#REF!,#REF!,#REF!,#REF!,#REF!,#REF!,#REF!,#REF!,#REF!,#REF!,#REF!,#REF!,#REF!,#REF!,#REF!,#REF!,#REF!,#REF!</definedName>
    <definedName name="견적회사현황표">#REF!</definedName>
    <definedName name="견출공">#REF!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속선">#REF!</definedName>
    <definedName name="결재" localSheetId="0" hidden="1">{#N/A,#N/A,FALSE,"포장단가"}</definedName>
    <definedName name="결재" hidden="1">{#N/A,#N/A,FALSE,"포장단가"}</definedName>
    <definedName name="겹동백1002">#REF!</definedName>
    <definedName name="겹동백1204">#REF!</definedName>
    <definedName name="겹동백1506">#REF!</definedName>
    <definedName name="겹벗R6">#REF!</definedName>
    <definedName name="겹벗R8">#REF!</definedName>
    <definedName name="겹철쭉">#REF!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계블럭연장" localSheetId="19" hidden="1">#REF!</definedName>
    <definedName name="경계블럭연장" localSheetId="21" hidden="1">#REF!</definedName>
    <definedName name="경계블럭연장" localSheetId="23" hidden="1">#REF!</definedName>
    <definedName name="경계블럭연장" localSheetId="3" hidden="1">#REF!</definedName>
    <definedName name="경계블럭연장" localSheetId="5" hidden="1">#REF!</definedName>
    <definedName name="경계블럭연장" localSheetId="7" hidden="1">#REF!</definedName>
    <definedName name="경계블럭연장" localSheetId="9" hidden="1">#REF!</definedName>
    <definedName name="경계블럭연장" localSheetId="11" hidden="1">#REF!</definedName>
    <definedName name="경계블럭연장" localSheetId="13" hidden="1">#REF!</definedName>
    <definedName name="경계블럭연장" localSheetId="15" hidden="1">#REF!</definedName>
    <definedName name="경계블럭연장" localSheetId="17" hidden="1">#REF!</definedName>
    <definedName name="경계블럭연장" hidden="1">#REF!</definedName>
    <definedName name="경과년수">#REF!</definedName>
    <definedName name="경단가">#REF!</definedName>
    <definedName name="경리계표지">#REF!</definedName>
    <definedName name="경비">#REF!</definedName>
    <definedName name="경비_구조화">#REF!</definedName>
    <definedName name="경비_도면제작">#REF!</definedName>
    <definedName name="경비_도면출력">#REF!</definedName>
    <definedName name="경비_수동입력">#REF!</definedName>
    <definedName name="경비_정위치">#REF!</definedName>
    <definedName name="경비1">#REF!</definedName>
    <definedName name="경비2" localSheetId="11">[0]!BlankMacro1</definedName>
    <definedName name="경비2" localSheetId="13">[0]!BlankMacro1</definedName>
    <definedName name="경비2" localSheetId="15">[0]!BlankMacro1</definedName>
    <definedName name="경비2" localSheetId="28">[0]!BlankMacro1</definedName>
    <definedName name="경비2" localSheetId="24">[0]!BlankMacro1</definedName>
    <definedName name="경비2" localSheetId="26">[0]!BlankMacro1</definedName>
    <definedName name="경비2" localSheetId="27">[0]!BlankMacro1</definedName>
    <definedName name="경비2">[0]!BlankMacro1</definedName>
    <definedName name="경비계">#REF!</definedName>
    <definedName name="경비금액">#REF!</definedName>
    <definedName name="경비금액2">#REF!</definedName>
    <definedName name="경비단가">#REF!</definedName>
    <definedName name="경비배부율">#REF!</definedName>
    <definedName name="경비배부율산출표">#REF!</definedName>
    <definedName name="경비비율">#REF!</definedName>
    <definedName name="경비요율">#REF!</definedName>
    <definedName name="경비율">#REF!</definedName>
    <definedName name="경비율2">#REF!</definedName>
    <definedName name="경비율산종">#REF!</definedName>
    <definedName name="경비율산출">#REF!</definedName>
    <definedName name="경비융">#REF!</definedName>
    <definedName name="경비조정액산출표">#REF!</definedName>
    <definedName name="경비집계" hidden="1">{"'용역비'!$A$4:$C$8"}</definedName>
    <definedName name="경비합">#REF!</definedName>
    <definedName name="경상비1">#REF!</definedName>
    <definedName name="경암">#REF!</definedName>
    <definedName name="경우가격">[0]!경우가격</definedName>
    <definedName name="경운기" localSheetId="0" hidden="1">{#N/A,#N/A,FALSE,"포장단가"}</definedName>
    <definedName name="경운기" hidden="1">{#N/A,#N/A,FALSE,"포장단가"}</definedName>
    <definedName name="경운기경">#REF!</definedName>
    <definedName name="경운기노">#REF!</definedName>
    <definedName name="경운기재">#REF!</definedName>
    <definedName name="경유">#REF!</definedName>
    <definedName name="경유가격">[0]!경유가격</definedName>
    <definedName name="경유ㅠ">#REF!</definedName>
    <definedName name="경지">#REF!</definedName>
    <definedName name="경첩">#REF!</definedName>
    <definedName name="계" localSheetId="19">#REF!</definedName>
    <definedName name="계" localSheetId="21">#REF!</definedName>
    <definedName name="계" localSheetId="23">#REF!</definedName>
    <definedName name="계" localSheetId="3">#REF!</definedName>
    <definedName name="계" localSheetId="5">#REF!</definedName>
    <definedName name="계" localSheetId="7">#REF!</definedName>
    <definedName name="계" localSheetId="9">#REF!</definedName>
    <definedName name="계" localSheetId="11">#REF!</definedName>
    <definedName name="계" localSheetId="13">#REF!</definedName>
    <definedName name="계" localSheetId="15">#REF!</definedName>
    <definedName name="계" localSheetId="17">#REF!</definedName>
    <definedName name="계" localSheetId="0">#REF!</definedName>
    <definedName name="계">#REF!</definedName>
    <definedName name="계_①___⑦">#REF!</definedName>
    <definedName name="계_장_공">#REF!</definedName>
    <definedName name="계1">#REF!</definedName>
    <definedName name="계18">#REF!</definedName>
    <definedName name="계2">#REF!</definedName>
    <definedName name="계3">#REF!</definedName>
    <definedName name="계4">#REF!</definedName>
    <definedName name="계량기보호통16_볼내장앵글">#REF!</definedName>
    <definedName name="계량기보호통20_볼내장앵글">#REF!</definedName>
    <definedName name="계량기보호통25_볼내장앵글">#REF!</definedName>
    <definedName name="계량기보호통32">#REF!</definedName>
    <definedName name="계량기보호통40">#REF!</definedName>
    <definedName name="계량기보호통50">#REF!</definedName>
    <definedName name="계산">#REF!</definedName>
    <definedName name="계산서" hidden="1">#REF!</definedName>
    <definedName name="계수">#REF!</definedName>
    <definedName name="계수1">#REF!</definedName>
    <definedName name="계수2">#REF!</definedName>
    <definedName name="계수B5">#REF!</definedName>
    <definedName name="계수B6">#REF!</definedName>
    <definedName name="계수B8">#REF!</definedName>
    <definedName name="계수나무6노무">#REF!</definedName>
    <definedName name="계수나무6재료">#REF!</definedName>
    <definedName name="계약금액변경2">#N/A</definedName>
    <definedName name="계약표지">#REF!</definedName>
    <definedName name="계장공" localSheetId="2">#REF!</definedName>
    <definedName name="계장공">#REF!</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도로" localSheetId="11">#REF!,#REF!</definedName>
    <definedName name="계획도로" localSheetId="13">#REF!,#REF!</definedName>
    <definedName name="계획도로" localSheetId="15">#REF!,#REF!</definedName>
    <definedName name="계획도로">#REF!,#REF!</definedName>
    <definedName name="계획표">#REF!</definedName>
    <definedName name="고">#REF!</definedName>
    <definedName name="고강직경D13">#REF!</definedName>
    <definedName name="고강직경D16_25">#REF!</definedName>
    <definedName name="고강직경D29_35">#REF!</definedName>
    <definedName name="고광3">#REF!</definedName>
    <definedName name="고광5">#REF!</definedName>
    <definedName name="고급">#REF!</definedName>
    <definedName name="고급기능">#REF!</definedName>
    <definedName name="고급기능사_측량">#REF!</definedName>
    <definedName name="고급기술">#REF!</definedName>
    <definedName name="고급기술자">#REF!</definedName>
    <definedName name="고급능">#REF!</definedName>
    <definedName name="고급능사">#REF!</definedName>
    <definedName name="고급능사측량">#REF!</definedName>
    <definedName name="고급달">#REF!</definedName>
    <definedName name="고급도화">#REF!</definedName>
    <definedName name="고급ㅂ">#REF!</definedName>
    <definedName name="고급선원">#REF!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엔지니어링">#REF!</definedName>
    <definedName name="고급여비">#REF!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급자">#REF!</definedName>
    <definedName name="고급전체">#REF!</definedName>
    <definedName name="고급조경">#REF!</definedName>
    <definedName name="고급지도제작">#REF!</definedName>
    <definedName name="고급측량">#REF!</definedName>
    <definedName name="고급항공사진">#REF!</definedName>
    <definedName name="고기">#REF!</definedName>
    <definedName name="고기달">#REF!</definedName>
    <definedName name="고능">#REF!</definedName>
    <definedName name="고술">#REF!</definedName>
    <definedName name="고암교">[0]!고암교</definedName>
    <definedName name="고압블럭수량">#REF!</definedName>
    <definedName name="고압케이블전공" localSheetId="2">#REF!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양시성라공원" localSheetId="11">Dlog_Show</definedName>
    <definedName name="고양시성라공원" localSheetId="13">Dlog_Show</definedName>
    <definedName name="고양시성라공원" localSheetId="15">Dlog_Show</definedName>
    <definedName name="고양시성라공원" localSheetId="28">Dlog_Show</definedName>
    <definedName name="고양시성라공원" localSheetId="24">Dlog_Show</definedName>
    <definedName name="고양시성라공원" localSheetId="26">Dlog_Show</definedName>
    <definedName name="고양시성라공원" localSheetId="27">Dlog_Show</definedName>
    <definedName name="고양시성라공원">Dlog_Show</definedName>
    <definedName name="고용">#REF!</definedName>
    <definedName name="고용.">#REF!</definedName>
    <definedName name="고용보">#REF!</definedName>
    <definedName name="고용보험료">#REF!</definedName>
    <definedName name="고용보험료_산식">#REF!</definedName>
    <definedName name="고용보험료요율">#REF!</definedName>
    <definedName name="고용보험료요율_변경">#REF!</definedName>
    <definedName name="고용보험료율">#REF!</definedName>
    <definedName name="고용보험율">#REF!</definedName>
    <definedName name="고재">#REF!</definedName>
    <definedName name="고정차고부속동신설수량">#REF!</definedName>
    <definedName name="고정판">#REF!</definedName>
    <definedName name="고철">#REF!</definedName>
    <definedName name="고케">#REF!</definedName>
    <definedName name="곡각부단위수량">#N/A</definedName>
    <definedName name="곡관11_100">#REF!</definedName>
    <definedName name="곡관11_150">#REF!</definedName>
    <definedName name="곡관11_200">#REF!</definedName>
    <definedName name="곡관11_300">#REF!</definedName>
    <definedName name="곡관11_400">#REF!</definedName>
    <definedName name="곡관11_500">#REF!</definedName>
    <definedName name="곡관11_600">#REF!</definedName>
    <definedName name="곡관11_700">#REF!</definedName>
    <definedName name="곡관11_80">#REF!</definedName>
    <definedName name="곡관11_800">#REF!</definedName>
    <definedName name="곡관22_100">#REF!</definedName>
    <definedName name="곡관22_150">#REF!</definedName>
    <definedName name="곡관22_200">#REF!</definedName>
    <definedName name="곡관22_300">#REF!</definedName>
    <definedName name="곡관22_400">#REF!</definedName>
    <definedName name="곡관22_500">#REF!</definedName>
    <definedName name="곡관22_600">#REF!</definedName>
    <definedName name="곡관22_700">#REF!</definedName>
    <definedName name="곡관22_80">#REF!</definedName>
    <definedName name="곡관22_800">#REF!</definedName>
    <definedName name="곡관45_100">#REF!</definedName>
    <definedName name="곡관45_150">#REF!</definedName>
    <definedName name="곡관45_200">#REF!</definedName>
    <definedName name="곡관45_300">#REF!</definedName>
    <definedName name="곡관45_400">#REF!</definedName>
    <definedName name="곡관45_500">#REF!</definedName>
    <definedName name="곡관45_600">#REF!</definedName>
    <definedName name="곡관45_700">#REF!</definedName>
    <definedName name="곡관45_80">#REF!</definedName>
    <definedName name="곡관45_800">#REF!</definedName>
    <definedName name="곡관90_100">#REF!</definedName>
    <definedName name="곡관90_150mm">#REF!</definedName>
    <definedName name="곡관90_200">#REF!</definedName>
    <definedName name="곡관90_300">#REF!</definedName>
    <definedName name="곡관90_400">#REF!</definedName>
    <definedName name="곡관90_500">#REF!</definedName>
    <definedName name="곡관90_600">#REF!</definedName>
    <definedName name="곡관90_700">#REF!</definedName>
    <definedName name="곡관90_80">#REF!</definedName>
    <definedName name="곡관90_800">#REF!</definedName>
    <definedName name="곡선부">#REF!</definedName>
    <definedName name="골">#REF!</definedName>
    <definedName name="골_재_대">#REF!</definedName>
    <definedName name="골간접">#REF!</definedName>
    <definedName name="골건설">#REF!</definedName>
    <definedName name="골경비">#REF!</definedName>
    <definedName name="골관리">#REF!</definedName>
    <definedName name="골보험">#REF!</definedName>
    <definedName name="골부가">#REF!</definedName>
    <definedName name="골안전">#REF!</definedName>
    <definedName name="골이윤">#REF!</definedName>
    <definedName name="골재1">#REF!</definedName>
    <definedName name="골재Q모래불량">#REF!</definedName>
    <definedName name="골재Q자갈불량">#REF!</definedName>
    <definedName name="골재Q잡석불량">#REF!</definedName>
    <definedName name="골재사용료">#REF!</definedName>
    <definedName name="골재자재수량">#REF!</definedName>
    <definedName name="골재집계">#REF!</definedName>
    <definedName name="골조">#REF!</definedName>
    <definedName name="곰솔2508">#REF!</definedName>
    <definedName name="곰솔3010">#REF!</definedName>
    <definedName name="곰솔H3.0xW1.0">#REF!</definedName>
    <definedName name="곰솔H3.0xW1.2xR10">#REF!</definedName>
    <definedName name="곰솔H3.5xW1.5xR12">#REF!</definedName>
    <definedName name="곰솔R10">#REF!</definedName>
    <definedName name="곰솔R12">#REF!</definedName>
    <definedName name="곰솔R15">#REF!</definedName>
    <definedName name="곱">#REF!</definedName>
    <definedName name="곱곱">#REF!</definedName>
    <definedName name="공">#REF!</definedName>
    <definedName name="공___종">#REF!</definedName>
    <definedName name="공__종">#REF!</definedName>
    <definedName name="공1">#REF!</definedName>
    <definedName name="공2">#REF!</definedName>
    <definedName name="공3">#REF!</definedName>
    <definedName name="공4">#REF!</definedName>
    <definedName name="공5">#REF!</definedName>
    <definedName name="공7">#REF!</definedName>
    <definedName name="공8">#REF!</definedName>
    <definedName name="공9">#REF!</definedName>
    <definedName name="공가원가VMS\" hidden="1">{#N/A,#N/A,TRUE,"토적및재료집계";#N/A,#N/A,TRUE,"토적및재료집계";#N/A,#N/A,TRUE,"단위량"}</definedName>
    <definedName name="공감비">#REF!</definedName>
    <definedName name="공감비수">#REF!</definedName>
    <definedName name="공감비평">#REF!</definedName>
    <definedName name="공고공람비">#REF!</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구">#REF!</definedName>
    <definedName name="공구손료">#REF!</definedName>
    <definedName name="공급가액">#REF!</definedName>
    <definedName name="공기">#REF!</definedName>
    <definedName name="공기_배관물량">#REF!</definedName>
    <definedName name="공기1" hidden="1">#REF!</definedName>
    <definedName name="공기변실">#REF!</definedName>
    <definedName name="공내역">#REF!</definedName>
    <definedName name="공단">#REF!</definedName>
    <definedName name="공동구공">#REF!</definedName>
    <definedName name="공동구공집계표">#REF!</definedName>
    <definedName name="공드럼">#REF!</definedName>
    <definedName name="공명">#REF!</definedName>
    <definedName name="공문">#REF!</definedName>
    <definedName name="공보">#REF!</definedName>
    <definedName name="공비집계1">#REF!</definedName>
    <definedName name="공사">#REF!</definedName>
    <definedName name="공사개요">#REF!</definedName>
    <definedName name="공사기간">#REF!</definedName>
    <definedName name="공사명">#REF!</definedName>
    <definedName name="공사바변경내역서" hidden="1">#REF!</definedName>
    <definedName name="공사보험율">#REF!</definedName>
    <definedName name="공사비">#REF!</definedName>
    <definedName name="공사비_건축">#REF!</definedName>
    <definedName name="공사비_전기">#REF!</definedName>
    <definedName name="공사비기준">#REF!</definedName>
    <definedName name="공사비양식2">#REF!</definedName>
    <definedName name="공사비집">#REF!</definedName>
    <definedName name="공사시방서" hidden="1">{#N/A,#N/A,FALSE,"명세표"}</definedName>
    <definedName name="공사시방서1" hidden="1">{#N/A,#N/A,FALSE,"명세표"}</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원가명세서">#REF!</definedName>
    <definedName name="공산">#REF!</definedName>
    <definedName name="공수">#REF!</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원관리동1">#REF!</definedName>
    <definedName name="공원식재공">#N/A</definedName>
    <definedName name="공일">#REF!</definedName>
    <definedName name="공작조직">#REF!</definedName>
    <definedName name="공전">#REF!</definedName>
    <definedName name="공정1">#REF!</definedName>
    <definedName name="공정2">#REF!</definedName>
    <definedName name="공정3">#REF!</definedName>
    <definedName name="공정4">#REF!</definedName>
    <definedName name="공정5">#REF!</definedName>
    <definedName name="공정6">#REF!</definedName>
    <definedName name="공정량">#REF!</definedName>
    <definedName name="공정수량">#REF!</definedName>
    <definedName name="공정집계">#REF!</definedName>
    <definedName name="공정집계준공" hidden="1">#REF!</definedName>
    <definedName name="공정집계표1" hidden="1">#REF!</definedName>
    <definedName name="공정집계표1111" hidden="1">#REF!</definedName>
    <definedName name="공제" localSheetId="19" hidden="1">#REF!</definedName>
    <definedName name="공제" localSheetId="21" hidden="1">#REF!</definedName>
    <definedName name="공제" localSheetId="23" hidden="1">#REF!</definedName>
    <definedName name="공제" localSheetId="3" hidden="1">#REF!</definedName>
    <definedName name="공제" localSheetId="5" hidden="1">#REF!</definedName>
    <definedName name="공제" localSheetId="7" hidden="1">#REF!</definedName>
    <definedName name="공제" localSheetId="9" hidden="1">#REF!</definedName>
    <definedName name="공제" localSheetId="11" hidden="1">#REF!</definedName>
    <definedName name="공제" localSheetId="13" hidden="1">#REF!</definedName>
    <definedName name="공제" localSheetId="15" hidden="1">#REF!</definedName>
    <definedName name="공제" localSheetId="17" hidden="1">#REF!</definedName>
    <definedName name="공제" hidden="1">#REF!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#REF!</definedName>
    <definedName name="공종10">#REF!</definedName>
    <definedName name="공종보기">[0]!공종보기</definedName>
    <definedName name="공통가설">#REF!</definedName>
    <definedName name="공현2교철근집계표">#REF!</definedName>
    <definedName name="곻">#N/A</definedName>
    <definedName name="과업명">#REF!</definedName>
    <definedName name="관_급_자_재_대">#REF!</definedName>
    <definedName name="관_단면적">#REF!</definedName>
    <definedName name="관_상접">#REF!</definedName>
    <definedName name="관_상직">#REF!</definedName>
    <definedName name="관_주접">#REF!</definedName>
    <definedName name="관_직주">#REF!</definedName>
    <definedName name="관1">#REF!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T">#REF!</definedName>
    <definedName name="관경03">#REF!</definedName>
    <definedName name="관경06">#REF!</definedName>
    <definedName name="관경08">#REF!</definedName>
    <definedName name="관경10">#REF!</definedName>
    <definedName name="관경15">#REF!</definedName>
    <definedName name="관경2">#REF!</definedName>
    <definedName name="관경5">#REF!</definedName>
    <definedName name="관경6">#REF!</definedName>
    <definedName name="관경7">#REF!</definedName>
    <definedName name="관경8">#REF!</definedName>
    <definedName name="관경별치수표">#REF!</definedName>
    <definedName name="관계단노">#REF!</definedName>
    <definedName name="관계단재">#REF!</definedName>
    <definedName name="관공제">#REF!</definedName>
    <definedName name="관급">#REF!,#REF!,#REF!</definedName>
    <definedName name="관급1">[0]!관급</definedName>
    <definedName name="관급2">관급2</definedName>
    <definedName name="관급계">#REF!</definedName>
    <definedName name="관급단가">#REF!</definedName>
    <definedName name="관급자재">#REF!</definedName>
    <definedName name="관급자재2">[0]!관급자재2</definedName>
    <definedName name="관급자재대">#REF!</definedName>
    <definedName name="관급자재비">#REF!</definedName>
    <definedName name="관급자재집계표">#N/A</definedName>
    <definedName name="관급재료비">#REF!</definedName>
    <definedName name="관급집계" localSheetId="28">BlankMacro1</definedName>
    <definedName name="관급집계" localSheetId="24">BlankMacro1</definedName>
    <definedName name="관급집계" localSheetId="26">BlankMacro1</definedName>
    <definedName name="관급집계" localSheetId="27">BlankMacro1</definedName>
    <definedName name="관급집계">BlankMacro1</definedName>
    <definedName name="관기초DATA">#REF!</definedName>
    <definedName name="관기초종류">#REF!</definedName>
    <definedName name="관노03">#REF!</definedName>
    <definedName name="관노06">#REF!</definedName>
    <definedName name="관노08">#REF!</definedName>
    <definedName name="관노10">#REF!</definedName>
    <definedName name="관노15">#REF!</definedName>
    <definedName name="관노5">#REF!</definedName>
    <definedName name="관노6">#REF!</definedName>
    <definedName name="관노7">#REF!</definedName>
    <definedName name="관노8">#REF!</definedName>
    <definedName name="관로공내부">#REF!</definedName>
    <definedName name="관로공사">#REF!</definedName>
    <definedName name="관로연장거리">#REF!</definedName>
    <definedName name="관로조서">#REF!</definedName>
    <definedName name="관로총괄">#REF!</definedName>
    <definedName name="관로토공집계">#REF!</definedName>
    <definedName name="관리" localSheetId="0" hidden="1">{#N/A,#N/A,FALSE,"P.C.B"}</definedName>
    <definedName name="관리" hidden="1">{#N/A,#N/A,FALSE,"P.C.B"}</definedName>
    <definedName name="관리1" localSheetId="0" hidden="1">{#N/A,#N/A,FALSE,"P.C.B"}</definedName>
    <definedName name="관리1" hidden="1">{#N/A,#N/A,FALSE,"P.C.B"}</definedName>
    <definedName name="관리2" localSheetId="0" hidden="1">{#N/A,#N/A,FALSE,"P.C.B"}</definedName>
    <definedName name="관리2" hidden="1">{#N/A,#N/A,FALSE,"P.C.B"}</definedName>
    <definedName name="관리과" localSheetId="0" hidden="1">{#N/A,#N/A,FALSE,"P.C.B"}</definedName>
    <definedName name="관리과" hidden="1">{#N/A,#N/A,FALSE,"P.C.B"}</definedName>
    <definedName name="관리리리리" localSheetId="0" hidden="1">{#N/A,#N/A,FALSE,"P.C.B"}</definedName>
    <definedName name="관리리리리" hidden="1">{#N/A,#N/A,FALSE,"P.C.B"}</definedName>
    <definedName name="관리비0000">[0]!관리비0000</definedName>
    <definedName name="관리비수">#REF!</definedName>
    <definedName name="관리비평">#REF!</definedName>
    <definedName name="관리율">#REF!</definedName>
    <definedName name="관외경">#REF!</definedName>
    <definedName name="관용접300간재">#REF!</definedName>
    <definedName name="관용접300노무">#REF!</definedName>
    <definedName name="관용접노무">#REF!</definedName>
    <definedName name="관용접노무비">#REF!</definedName>
    <definedName name="관용접재료">#REF!</definedName>
    <definedName name="관용접재료비">#REF!</definedName>
    <definedName name="관재03">#REF!</definedName>
    <definedName name="관재06">#REF!</definedName>
    <definedName name="관재08">#REF!</definedName>
    <definedName name="관재10">#REF!</definedName>
    <definedName name="관재15">#REF!</definedName>
    <definedName name="관재5">#REF!</definedName>
    <definedName name="관재6">#REF!</definedName>
    <definedName name="관재7">#REF!</definedName>
    <definedName name="관재8">#REF!</definedName>
    <definedName name="관절단300간재">#REF!</definedName>
    <definedName name="관절단300노무">#REF!</definedName>
    <definedName name="관정지반고">#REF!</definedName>
    <definedName name="관지수링">#REF!</definedName>
    <definedName name="관찰4경">#REF!</definedName>
    <definedName name="관찰4노">#REF!</definedName>
    <definedName name="관찰4재">#REF!</definedName>
    <definedName name="관찰다리노">#REF!</definedName>
    <definedName name="관찰다리재">#REF!</definedName>
    <definedName name="관찰로경">#REF!</definedName>
    <definedName name="관찰로노">#REF!</definedName>
    <definedName name="관찰로재">#REF!</definedName>
    <definedName name="광" hidden="1">{#N/A,#N/A,TRUE,"토적및재료집계";#N/A,#N/A,TRUE,"토적및재료집계";#N/A,#N/A,TRUE,"단위량"}</definedName>
    <definedName name="광나무1003">#REF!</definedName>
    <definedName name="광나무1203">#REF!</definedName>
    <definedName name="광나무1506">#REF!</definedName>
    <definedName name="광명">#REF!</definedName>
    <definedName name="광명단">#REF!</definedName>
    <definedName name="광물경비">#REF!</definedName>
    <definedName name="광물노무">#REF!</definedName>
    <definedName name="광물재료">#REF!</definedName>
    <definedName name="광산">#REF!</definedName>
    <definedName name="광원기">#REF!</definedName>
    <definedName name="광케">#REF!</definedName>
    <definedName name="광케이블기사">#REF!</definedName>
    <definedName name="광케이블설치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설치사">#REF!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#REF!</definedName>
    <definedName name="광편백0507">#REF!</definedName>
    <definedName name="광편백0509">#REF!</definedName>
    <definedName name="교1">#REF!,#REF!,#REF!,#REF!,#REF!,#REF!</definedName>
    <definedName name="교10">#REF!,#REF!,#REF!,#REF!,#REF!,#REF!,#REF!</definedName>
    <definedName name="교11">#REF!,#REF!,#REF!,#REF!,#REF!,#REF!,#REF!</definedName>
    <definedName name="교12">#REF!,#REF!,#REF!,#REF!,#REF!,#REF!,#REF!</definedName>
    <definedName name="교13">#REF!,#REF!,#REF!,#REF!,#REF!,#REF!,#REF!</definedName>
    <definedName name="교14">#REF!,#REF!,#REF!,#REF!,#REF!,#REF!,#REF!</definedName>
    <definedName name="교15">#REF!,#REF!,#REF!,#REF!,#REF!</definedName>
    <definedName name="교2">#REF!,#REF!,#REF!,#REF!,#REF!,#REF!,#REF!</definedName>
    <definedName name="교3">#REF!,#REF!,#REF!,#REF!,#REF!,#REF!,#REF!</definedName>
    <definedName name="교4">#REF!,#REF!,#REF!,#REF!,#REF!,#REF!,#REF!</definedName>
    <definedName name="교5">#REF!,#REF!,#REF!,#REF!,#REF!,#REF!,#REF!</definedName>
    <definedName name="교6">#REF!,#REF!,#REF!,#REF!,#REF!,#REF!,#REF!</definedName>
    <definedName name="교7">#REF!,#REF!,#REF!,#REF!,#REF!,#REF!,#REF!</definedName>
    <definedName name="교8">#REF!,#REF!,#REF!,#REF!,#REF!,#REF!,#REF!</definedName>
    <definedName name="교9">#REF!,#REF!,#REF!,#REF!,#REF!,#REF!,#REF!</definedName>
    <definedName name="교각">#REF!</definedName>
    <definedName name="교대보호블럭_설치">#REF!</definedName>
    <definedName name="교대펄근집계" localSheetId="0" hidden="1">{#N/A,#N/A,FALSE,"배수1"}</definedName>
    <definedName name="교대펄근집계" hidden="1">{#N/A,#N/A,FALSE,"배수1"}</definedName>
    <definedName name="교량계">#REF!</definedName>
    <definedName name="교량공">#REF!</definedName>
    <definedName name="교량배수시설공">#REF!</definedName>
    <definedName name="교면1">#REF!,#REF!,#REF!,#REF!,#REF!,#REF!</definedName>
    <definedName name="교면10">#REF!,#REF!,#REF!,#REF!,#REF!,#REF!,#REF!</definedName>
    <definedName name="교면11">#REF!,#REF!,#REF!,#REF!,#REF!,#REF!,#REF!</definedName>
    <definedName name="교면12">#REF!,#REF!,#REF!,#REF!,#REF!,#REF!,#REF!</definedName>
    <definedName name="교면13">#REF!,#REF!,#REF!,#REF!,#REF!,#REF!,#REF!</definedName>
    <definedName name="교면14">#REF!,#REF!,#REF!,#REF!,#REF!,#REF!,#REF!</definedName>
    <definedName name="교면15">#REF!,#REF!,#REF!,#REF!,#REF!</definedName>
    <definedName name="교면2">#REF!,#REF!,#REF!,#REF!,#REF!,#REF!,#REF!</definedName>
    <definedName name="교면3">#REF!,#REF!,#REF!,#REF!,#REF!,#REF!,#REF!</definedName>
    <definedName name="교면4">#REF!,#REF!,#REF!,#REF!,#REF!,#REF!,#REF!</definedName>
    <definedName name="교면5">#REF!,#REF!,#REF!,#REF!,#REF!,#REF!,#REF!</definedName>
    <definedName name="교면6">#REF!,#REF!,#REF!,#REF!,#REF!,#REF!,#REF!</definedName>
    <definedName name="교면7">#REF!,#REF!,#REF!,#REF!,#REF!,#REF!,#REF!</definedName>
    <definedName name="교면8">#REF!,#REF!,#REF!,#REF!,#REF!,#REF!,#REF!</definedName>
    <definedName name="교면9">#REF!,#REF!,#REF!,#REF!,#REF!,#REF!,#REF!</definedName>
    <definedName name="교외지">#REF!</definedName>
    <definedName name="교외지비율">#REF!</definedName>
    <definedName name="교육">#REF!</definedName>
    <definedName name="교육내용">#REF!</definedName>
    <definedName name="교통">#REF!</definedName>
    <definedName name="교통사고" localSheetId="19">#REF!</definedName>
    <definedName name="교통사고" localSheetId="21">#REF!</definedName>
    <definedName name="교통사고" localSheetId="23">#REF!</definedName>
    <definedName name="교통사고" localSheetId="3">#REF!</definedName>
    <definedName name="교통사고" localSheetId="5">#REF!</definedName>
    <definedName name="교통사고" localSheetId="7">#REF!</definedName>
    <definedName name="교통사고" localSheetId="9">#REF!</definedName>
    <definedName name="교통사고" localSheetId="11">#REF!</definedName>
    <definedName name="교통사고" localSheetId="13">#REF!</definedName>
    <definedName name="교통사고" localSheetId="15">#REF!</definedName>
    <definedName name="교통사고" localSheetId="17">#REF!</definedName>
    <definedName name="교통사고" localSheetId="0">#REF!</definedName>
    <definedName name="교통사고">#REF!</definedName>
    <definedName name="교폭">#REF!</definedName>
    <definedName name="구">#REF!</definedName>
    <definedName name="구______분">#N/A</definedName>
    <definedName name="구랑2교">#REF!</definedName>
    <definedName name="구랑교">#REF!</definedName>
    <definedName name="구랑착공내역">#REF!</definedName>
    <definedName name="구름">#N/A</definedName>
    <definedName name="구릉지비율">#REF!</definedName>
    <definedName name="구리시영1">#REF!</definedName>
    <definedName name="구리토평보고">#REF!</definedName>
    <definedName name="구분">OFFSET(#REF!,0,0,COUNTA(#REF!),1)</definedName>
    <definedName name="구산갑지" hidden="1">#REF!</definedName>
    <definedName name="구상나무1505">#REF!</definedName>
    <definedName name="구상나무2008">#REF!</definedName>
    <definedName name="구상나무2510">#REF!</definedName>
    <definedName name="구상나무3012">#REF!</definedName>
    <definedName name="구조가좌육교">#REF!</definedName>
    <definedName name="구조문산육교">#REF!</definedName>
    <definedName name="구조문산천1교">#REF!</definedName>
    <definedName name="구조문산천2교">#REF!</definedName>
    <definedName name="구조문산천3교">#REF!</definedName>
    <definedName name="구조물">#REF!</definedName>
    <definedName name="구조물공">#REF!</definedName>
    <definedName name="구조물공사" hidden="1">{#N/A,#N/A,TRUE,"토적및재료집계";#N/A,#N/A,TRUE,"토적및재료집계";#N/A,#N/A,TRUE,"단위량"}</definedName>
    <definedName name="구조물철근">#REF!</definedName>
    <definedName name="구조방아육교">#REF!</definedName>
    <definedName name="구조삼곡1교">#REF!</definedName>
    <definedName name="구조삼곡2교">#REF!</definedName>
    <definedName name="구조상문교">#REF!</definedName>
    <definedName name="구조상문육교">#REF!</definedName>
    <definedName name="구조상촌교">#REF!</definedName>
    <definedName name="구조수량집계">#REF!</definedName>
    <definedName name="구조신촌육교">#REF!</definedName>
    <definedName name="구조영천강1교">#REF!</definedName>
    <definedName name="구조작업량">#REF!</definedName>
    <definedName name="구조지형계수">#REF!</definedName>
    <definedName name="구조택동1교">#REF!</definedName>
    <definedName name="구조택동2교">#REF!</definedName>
    <definedName name="구조화일수">#REF!</definedName>
    <definedName name="구천수량이동">#REF!</definedName>
    <definedName name="구체콘">#REF!</definedName>
    <definedName name="구축비율">#REF!</definedName>
    <definedName name="구축비율2">#REF!</definedName>
    <definedName name="구호표">#REF!</definedName>
    <definedName name="국도유지">#REF!</definedName>
    <definedName name="국승열">#N/A</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삭기_유압식백호우_0.4M3">#REF!</definedName>
    <definedName name="굴삭기_유압식백호우_0.7M3">#REF!</definedName>
    <definedName name="굴취보통인부">#REF!</definedName>
    <definedName name="굴취조경공">#REF!</definedName>
    <definedName name="권">#REF!</definedName>
    <definedName name="권권">#REF!</definedName>
    <definedName name="권리내용">#REF!</definedName>
    <definedName name="권리성명">#REF!</definedName>
    <definedName name="권리주소">#REF!</definedName>
    <definedName name="궤도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규_______">#N/A</definedName>
    <definedName name="규___격">#REF!</definedName>
    <definedName name="규격">#REF!</definedName>
    <definedName name="규모계수">#REF!</definedName>
    <definedName name="규모별보정계수">#REF!</definedName>
    <definedName name="규모보정계수">#REF!</definedName>
    <definedName name="규준노">#REF!</definedName>
    <definedName name="규준재">#REF!</definedName>
    <definedName name="그래픽">#REF!</definedName>
    <definedName name="그레이더">350000</definedName>
    <definedName name="그레이더경">#REF!</definedName>
    <definedName name="그레이더노">#REF!</definedName>
    <definedName name="그레이더재">#REF!</definedName>
    <definedName name="그린네트" localSheetId="0" hidden="1">{#N/A,#N/A,FALSE,"현장 NCR 분석";#N/A,#N/A,FALSE,"현장품질감사";#N/A,#N/A,FALSE,"현장품질감사"}</definedName>
    <definedName name="그린네트" hidden="1">{#N/A,#N/A,FALSE,"현장 NCR 분석";#N/A,#N/A,FALSE,"현장품질감사";#N/A,#N/A,FALSE,"현장품질감사"}</definedName>
    <definedName name="그림" hidden="1">{#N/A,#N/A,FALSE,"전력간선"}</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고">#REF!</definedName>
    <definedName name="근로자계수">#REF!</definedName>
    <definedName name="근원경">#REF!</definedName>
    <definedName name="근입장">#REF!</definedName>
    <definedName name="금속공사번호">#REF!</definedName>
    <definedName name="금송1006">#REF!</definedName>
    <definedName name="금송1208">#REF!</definedName>
    <definedName name="금송1510">#REF!</definedName>
    <definedName name="금액">#REF!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급여표" localSheetId="11">#REF!,#REF!</definedName>
    <definedName name="급여표" localSheetId="13">#REF!,#REF!</definedName>
    <definedName name="급여표" localSheetId="15">#REF!,#REF!</definedName>
    <definedName name="급여표">#REF!,#REF!</definedName>
    <definedName name="급조연장">#REF!</definedName>
    <definedName name="기">#REF!</definedName>
    <definedName name="기간">#REF!</definedName>
    <definedName name="기계">#REF!</definedName>
    <definedName name="기계겨비일위대가">#REF!</definedName>
    <definedName name="기계경비1">#REF!</definedName>
    <definedName name="기계경비2">#REF!</definedName>
    <definedName name="기계경비3">#REF!</definedName>
    <definedName name="기계공" localSheetId="2">#REF!</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되경">#REF!</definedName>
    <definedName name="기계되노">#REF!</definedName>
    <definedName name="기계되재">#REF!</definedName>
    <definedName name="기계설치공" localSheetId="2">#REF!</definedName>
    <definedName name="기계설치공">#REF!</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계설치대장소노무">#REF!</definedName>
    <definedName name="기계운전">#REF!</definedName>
    <definedName name="기계운전기사">#REF!</definedName>
    <definedName name="기계운전사">#REF!</definedName>
    <definedName name="기계잔경">#REF!</definedName>
    <definedName name="기계잔노">#REF!</definedName>
    <definedName name="기계잔재">#REF!</definedName>
    <definedName name="기계조수">#REF!</definedName>
    <definedName name="기계조장">#REF!</definedName>
    <definedName name="기계중계펌프내역">#REF!</definedName>
    <definedName name="기계터경">#REF!</definedName>
    <definedName name="기계터노">#REF!</definedName>
    <definedName name="기계터재">#REF!</definedName>
    <definedName name="기기">#REF!</definedName>
    <definedName name="기기설치">#REF!</definedName>
    <definedName name="기기자재">#REF!</definedName>
    <definedName name="기능수">#REF!</definedName>
    <definedName name="기본">#REF!</definedName>
    <definedName name="기본SW인건비">#REF!</definedName>
    <definedName name="기본경비">#REF!</definedName>
    <definedName name="기본노무">#REF!</definedName>
    <definedName name="기본재료">#REF!</definedName>
    <definedName name="기상">#REF!</definedName>
    <definedName name="기성">#REF!</definedName>
    <definedName name="기성청구관련공문2" localSheetId="0" hidden="1">{#N/A,#N/A,FALSE,"포장단가"}</definedName>
    <definedName name="기성청구관련공문2" hidden="1">{#N/A,#N/A,FALSE,"포장단가"}</definedName>
    <definedName name="기술">#REF!</definedName>
    <definedName name="기술_고급">#REF!</definedName>
    <definedName name="기술_중급">#REF!</definedName>
    <definedName name="기술_초급">#REF!</definedName>
    <definedName name="기술_특급">#REF!</definedName>
    <definedName name="기술료">#REF!</definedName>
    <definedName name="기술료율">#REF!</definedName>
    <definedName name="기술사">#REF!</definedName>
    <definedName name="기술사달">#REF!</definedName>
    <definedName name="기술자_직접노무비">#REF!</definedName>
    <definedName name="기자재수량">#REF!</definedName>
    <definedName name="기조">#REF!</definedName>
    <definedName name="기조일위대가">#N/A</definedName>
    <definedName name="기존경비">#REF!</definedName>
    <definedName name="기존노무">#REF!</definedName>
    <definedName name="기존재료">#REF!</definedName>
    <definedName name="기종계수">#REF!</definedName>
    <definedName name="기종별보정계수">#REF!</definedName>
    <definedName name="기준">#REF!</definedName>
    <definedName name="기준규모">#REF!</definedName>
    <definedName name="기준면적">#REF!</definedName>
    <definedName name="기준면적1">#REF!</definedName>
    <definedName name="기준점" localSheetId="11">BlankMacro1</definedName>
    <definedName name="기준점" localSheetId="13">BlankMacro1</definedName>
    <definedName name="기준점" localSheetId="15">BlankMacro1</definedName>
    <definedName name="기준점" localSheetId="28">BlankMacro1</definedName>
    <definedName name="기준점" localSheetId="24">BlankMacro1</definedName>
    <definedName name="기준점" localSheetId="26">BlankMacro1</definedName>
    <definedName name="기준점" localSheetId="27">BlankMacro1</definedName>
    <definedName name="기준점">BlankMacro1</definedName>
    <definedName name="기준품보정">#REF!</definedName>
    <definedName name="기초">#REF!</definedName>
    <definedName name="기초거푸집">#REF!</definedName>
    <definedName name="기초규격">#REF!</definedName>
    <definedName name="기초금액">#REF!</definedName>
    <definedName name="기초데이타">#REF!</definedName>
    <definedName name="기초말뚝">#REF!</definedName>
    <definedName name="기초인건비">#REF!</definedName>
    <definedName name="기초일위대가">#N/A</definedName>
    <definedName name="기초처리경비">#REF!</definedName>
    <definedName name="기초처리노무비">#REF!</definedName>
    <definedName name="기초처리재료비">#REF!</definedName>
    <definedName name="기초콘">#REF!</definedName>
    <definedName name="기층t">#REF!</definedName>
    <definedName name="기층다짐2">#REF!</definedName>
    <definedName name="기층다짐3">#REF!</definedName>
    <definedName name="기층두께">#REF!</definedName>
    <definedName name="기타">#REF!</definedName>
    <definedName name="기타간지">#REF!</definedName>
    <definedName name="기타경">#REF!</definedName>
    <definedName name="기타경비">#REF!</definedName>
    <definedName name="기타경비1" localSheetId="0" hidden="1">{#N/A,#N/A,TRUE,"토적및재료집계";#N/A,#N/A,TRUE,"토적및재료집계";#N/A,#N/A,TRUE,"단위량"}</definedName>
    <definedName name="기타경비1" hidden="1">{#N/A,#N/A,TRUE,"토적및재료집계";#N/A,#N/A,TRUE,"토적및재료집계";#N/A,#N/A,TRUE,"단위량"}</definedName>
    <definedName name="기타경비요율">#REF!</definedName>
    <definedName name="기타경비요율_변경">#REF!</definedName>
    <definedName name="기타경비율">#REF!</definedName>
    <definedName name="기타구조일수">#REF!</definedName>
    <definedName name="기타세">#REF!</definedName>
    <definedName name="기타자재">#N/A</definedName>
    <definedName name="기타정위치작업일수">#REF!</definedName>
    <definedName name="기타조사연장">#REF!</definedName>
    <definedName name="기타주민세">#REF!</definedName>
    <definedName name="기타탐사연장">#REF!</definedName>
    <definedName name="기후경비">#REF!</definedName>
    <definedName name="기후노무">#REF!</definedName>
    <definedName name="기후재료">#REF!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hidden="1">{#N/A,#N/A,TRUE,"토적및재료집계";#N/A,#N/A,TRUE,"토적및재료집계";#N/A,#N/A,TRUE,"단위량"}</definedName>
    <definedName name="긴비계목">#REF!</definedName>
    <definedName name="길">#REF!</definedName>
    <definedName name="길내기">#REF!</definedName>
    <definedName name="김">#REF!</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민재">#N/A</definedName>
    <definedName name="김민정" localSheetId="11">[0]!BlankMacro1</definedName>
    <definedName name="김민정" localSheetId="13">[0]!BlankMacro1</definedName>
    <definedName name="김민정" localSheetId="15">[0]!BlankMacro1</definedName>
    <definedName name="김민정" localSheetId="28">[0]!BlankMacro1</definedName>
    <definedName name="김민정" localSheetId="24">[0]!BlankMacro1</definedName>
    <definedName name="김민정" localSheetId="26">[0]!BlankMacro1</definedName>
    <definedName name="김민정" localSheetId="27">[0]!BlankMacro1</definedName>
    <definedName name="김민정">[0]!BlankMacro1</definedName>
    <definedName name="김병규" hidden="1">#REF!</definedName>
    <definedName name="김성혁">#REF!,#REF!,#REF!,#REF!,#REF!,#REF!,#REF!,#REF!,#REF!,#REF!,#REF!,#REF!,#REF!,#REF!</definedName>
    <definedName name="김양석">#REF!,#REF!,#REF!,#REF!,#REF!,#REF!,#REF!,#REF!,#REF!,#REF!,#REF!,#REF!,#REF!,#REF!,#REF!,#REF!,#REF!,#REF!,#REF!</definedName>
    <definedName name="김용화">#REF!</definedName>
    <definedName name="김유신">#REF!</definedName>
    <definedName name="김윤기" hidden="1">{"'5국공정'!$A$1:$E$128"}</definedName>
    <definedName name="김종현">#REF!</definedName>
    <definedName name="김포취락지구개발1_취락지구개발__2__List">#REF!</definedName>
    <definedName name="김학민">#REF!,#REF!</definedName>
    <definedName name="깊이">#REF!</definedName>
    <definedName name="깍기경">#REF!</definedName>
    <definedName name="깍기노">#REF!</definedName>
    <definedName name="깍기재">#REF!</definedName>
    <definedName name="깨기" hidden="1">{"'중기작업1'!$A$1:$V$18"}</definedName>
    <definedName name="깬돌채취">[0]!깬돌채취</definedName>
    <definedName name="깬잡석" localSheetId="0" hidden="1">{#N/A,#N/A,FALSE,"포장단가"}</definedName>
    <definedName name="깬잡석" hidden="1">{#N/A,#N/A,FALSE,"포장단가"}</definedName>
    <definedName name="꺼벙이">#REF!</definedName>
    <definedName name="꽃복숭아R3">#REF!</definedName>
    <definedName name="꽃복숭아R4">#REF!</definedName>
    <definedName name="꽃복숭아R5">#REF!</definedName>
    <definedName name="꽃사과">#REF!</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꽝꽝0304">#REF!</definedName>
    <definedName name="꽝꽝0406">#REF!</definedName>
    <definedName name="꽝꽝0508">#REF!</definedName>
    <definedName name="꽝꽝0610">#REF!</definedName>
    <definedName name="ㄳ" hidden="1">{#N/A,#N/A,FALSE,"단가표지"}</definedName>
    <definedName name="ㄳㄳ">#REF!</definedName>
    <definedName name="ㄳㄳㄳㄱ">#REF!</definedName>
    <definedName name="ㄳㄳㄳㄳ" hidden="1">{"'용역비'!$A$4:$C$8"}</definedName>
    <definedName name="ㄳ소" localSheetId="28">BlankMacro1</definedName>
    <definedName name="ㄳ소" localSheetId="24">BlankMacro1</definedName>
    <definedName name="ㄳ소" localSheetId="26">BlankMacro1</definedName>
    <definedName name="ㄳ소" localSheetId="27">BlankMacro1</definedName>
    <definedName name="ㄳ소">BlankMacro1</definedName>
    <definedName name="ㄴ" localSheetId="0" hidden="1">{#N/A,#N/A,FALSE,"P.C.B"}</definedName>
    <definedName name="ㄴ" hidden="1">{#N/A,#N/A,FALSE,"P.C.B"}</definedName>
    <definedName name="ㄴ1">#REF!</definedName>
    <definedName name="ㄴ2">#REF!</definedName>
    <definedName name="ㄴ31">#REF!</definedName>
    <definedName name="ㄴㄱㄹ" localSheetId="19" hidden="1">#REF!</definedName>
    <definedName name="ㄴㄱㄹ" localSheetId="21" hidden="1">#REF!</definedName>
    <definedName name="ㄴㄱㄹ" localSheetId="23" hidden="1">#REF!</definedName>
    <definedName name="ㄴㄱㄹ" localSheetId="3" hidden="1">#REF!</definedName>
    <definedName name="ㄴㄱㄹ" localSheetId="5" hidden="1">#REF!</definedName>
    <definedName name="ㄴㄱㄹ" localSheetId="7" hidden="1">#REF!</definedName>
    <definedName name="ㄴㄱㄹ" localSheetId="9" hidden="1">#REF!</definedName>
    <definedName name="ㄴㄱㄹ" localSheetId="11" hidden="1">#REF!</definedName>
    <definedName name="ㄴㄱㄹ" localSheetId="13" hidden="1">#REF!</definedName>
    <definedName name="ㄴㄱㄹ" localSheetId="15" hidden="1">#REF!</definedName>
    <definedName name="ㄴㄱㄹ" localSheetId="17" hidden="1">#REF!</definedName>
    <definedName name="ㄴㄱㄹ" hidden="1">#REF!</definedName>
    <definedName name="ㄴㄱㅎㅅㅈ쇼고ㅛ">#REF!</definedName>
    <definedName name="ㄴㄴ" localSheetId="0" hidden="1">{#N/A,#N/A,FALSE,"P.C.B"}</definedName>
    <definedName name="ㄴㄴ" hidden="1">{#N/A,#N/A,FALSE,"P.C.B"}</definedName>
    <definedName name="ㄴㄴㄴ">#REF!</definedName>
    <definedName name="ㄴㄴㄴ_1" localSheetId="0" hidden="1">{#N/A,#N/A,FALSE,"골재소요량";#N/A,#N/A,FALSE,"골재소요량"}</definedName>
    <definedName name="ㄴㄴㄴ_1" hidden="1">{#N/A,#N/A,FALSE,"골재소요량";#N/A,#N/A,FALSE,"골재소요량"}</definedName>
    <definedName name="ㄴㄴㄴㄴ" hidden="1">#REF!</definedName>
    <definedName name="ㄴㄴㄴㄴㄴ" hidden="1">#REF!</definedName>
    <definedName name="ㄴㄴㄴㄴㄴㄴ">#REF!</definedName>
    <definedName name="ㄴㄴㄴㄴㄴㄴㄴㄴㄴㄴ">#REF!</definedName>
    <definedName name="ㄴㄴㄴㄴㄴㅁ">#REF!</definedName>
    <definedName name="ㄴㄴㅁㅁㅇㄴ">#REF!</definedName>
    <definedName name="ㄴㄴㅇ">#REF!</definedName>
    <definedName name="ㄴㄴㅇㅇㄴ">#REF!</definedName>
    <definedName name="ㄴㄹ" localSheetId="0" hidden="1">{#N/A,#N/A,FALSE,"2~8번"}</definedName>
    <definedName name="ㄴㄹ" hidden="1">{#N/A,#N/A,FALSE,"2~8번"}</definedName>
    <definedName name="ㄴㄹㄴㄹ">#REF!</definedName>
    <definedName name="ㄴㄹㄴㅁㅎㅇㄹ" hidden="1">{#N/A,"수불부",FALSE,"사급자재수불서";#N/A,"수불부",FALSE,"사급자재수불서"}</definedName>
    <definedName name="ㄴㄹㄹ">#REF!</definedName>
    <definedName name="ㄴㄹㅇㄴㄹㅇ">#REF!</definedName>
    <definedName name="ㄴㄹㅇㄹ">#REF!</definedName>
    <definedName name="ㄴ론ㅇ러">#REF!</definedName>
    <definedName name="ㄴㄻㄴㅇ" hidden="1">{#N/A,#N/A,FALSE,"조골재"}</definedName>
    <definedName name="ㄴㅁ" localSheetId="0" hidden="1">{#N/A,#N/A,TRUE,"토적및재료집계";#N/A,#N/A,TRUE,"토적및재료집계";#N/A,#N/A,TRUE,"단위량"}</definedName>
    <definedName name="ㄴㅁ" hidden="1">{#N/A,#N/A,TRUE,"토적및재료집계";#N/A,#N/A,TRUE,"토적및재료집계";#N/A,#N/A,TRUE,"단위량"}</definedName>
    <definedName name="ㄴㅁㄴㅇㄹ" hidden="1">#REF!</definedName>
    <definedName name="ㄴㅁㄹㄴㅁㅇㄴㅇㅁㄹㄴ" hidden="1">{#N/A,#N/A,FALSE,"단가표지"}</definedName>
    <definedName name="ㄴㅁㄻㄴㅇㄹㅇㄴㄹ" hidden="1">{#N/A,"수불부",FALSE,"사급자재수불서";#N/A,"수불부",FALSE,"사급자재수불서"}</definedName>
    <definedName name="ㄴㅁㅁ">#REF!</definedName>
    <definedName name="ㄴㅁㅁㄴㅁㄴㅁ">#REF!</definedName>
    <definedName name="ㄴㅁㅇㅁㄴ" hidden="1">#REF!</definedName>
    <definedName name="ㄴㅁㅇㅇㄴㅇ">#REF!</definedName>
    <definedName name="ㄴㅁㅇㅇㄴㅇㄴ">#REF!</definedName>
    <definedName name="ㄴㅁㅇㅎㄹㅇㄴ">#REF!</definedName>
    <definedName name="ㄴㅇ">#REF!</definedName>
    <definedName name="ㄴㅇㄴㄴㅁㅁ">#REF!</definedName>
    <definedName name="ㄴㅇㄴㅇ">#N/A</definedName>
    <definedName name="ㄴㅇㄴㅇㅁ">#REF!</definedName>
    <definedName name="ㄴㅇㄹ">#N/A</definedName>
    <definedName name="ㄴㅇㄹㄴ" hidden="1">{#N/A,"수불부",FALSE,"사급자재수불서";#N/A,"수불부",FALSE,"사급자재수불서"}</definedName>
    <definedName name="ㄴㅇㄹㄴㄹ" localSheetId="0" hidden="1">{#N/A,#N/A,FALSE,"손익표지";#N/A,#N/A,FALSE,"손익계산";#N/A,#N/A,FALSE,"일반관리비";#N/A,#N/A,FALSE,"영업외수익";#N/A,#N/A,FALSE,"영업외비용";#N/A,#N/A,FALSE,"매출액";#N/A,#N/A,FALSE,"요약손익";#N/A,#N/A,FALSE,"요약대차";#N/A,#N/A,FALSE,"매출채권현황";#N/A,#N/A,FALSE,"매출채권명세"}</definedName>
    <definedName name="ㄴㅇㄹㄴㄹ" hidden="1">{#N/A,#N/A,FALSE,"손익표지";#N/A,#N/A,FALSE,"손익계산";#N/A,#N/A,FALSE,"일반관리비";#N/A,#N/A,FALSE,"영업외수익";#N/A,#N/A,FALSE,"영업외비용";#N/A,#N/A,FALSE,"매출액";#N/A,#N/A,FALSE,"요약손익";#N/A,#N/A,FALSE,"요약대차";#N/A,#N/A,FALSE,"매출채권현황";#N/A,#N/A,FALSE,"매출채권명세"}</definedName>
    <definedName name="ㄴㅇㄹㄷ" hidden="1">#REF!</definedName>
    <definedName name="ㄴㅇㄹㅇㄴㄹㅇㄴㄹ" hidden="1">{"'용역비'!$A$4:$C$8"}</definedName>
    <definedName name="ㄴㅇㄹㅇㄷ">#REF!</definedName>
    <definedName name="ㄴㅇ롬ㄴ고고">#REF!</definedName>
    <definedName name="ㄴㅇㄻ" hidden="1">#REF!</definedName>
    <definedName name="ㄴㅇㄻㄴ">#N/A</definedName>
    <definedName name="ㄴㅇㄻㄴㄹ">[0]!ㄴㅇㄻㄴㄹ</definedName>
    <definedName name="ㄴㅇㄻㄴㅇㄹ" hidden="1">{"'용역비'!$A$4:$C$8"}</definedName>
    <definedName name="ㄴㅇㅀ">[0]!ㄴㅇㅀ</definedName>
    <definedName name="ㄴㅇㅀㄱㅎ">#REF!</definedName>
    <definedName name="ㄴㅇㅁㄴㅇ" localSheetId="0" hidden="1">{#N/A,#N/A,TRUE,"토적및재료집계";#N/A,#N/A,TRUE,"토적및재료집계";#N/A,#N/A,TRUE,"단위량"}</definedName>
    <definedName name="ㄴㅇㅁㄴㅇ" hidden="1">{#N/A,#N/A,TRUE,"토적및재료집계";#N/A,#N/A,TRUE,"토적및재료집계";#N/A,#N/A,TRUE,"단위량"}</definedName>
    <definedName name="ㄴㅇㅇ" hidden="1">#REF!</definedName>
    <definedName name="ㄴㅇㅎㄴㅇ" hidden="1">#REF!</definedName>
    <definedName name="ㄴㅇ허허">#REF!</definedName>
    <definedName name="ㄴ이라ㅓ">#REF!</definedName>
    <definedName name="나">#REF!</definedName>
    <definedName name="나.주거공단완충녹지시설물공">#N/A</definedName>
    <definedName name="나2">#REF!</definedName>
    <definedName name="나3">#REF!</definedName>
    <definedName name="나4">#REF!</definedName>
    <definedName name="나5">#REF!</definedName>
    <definedName name="나6">#REF!</definedName>
    <definedName name="나도">#REF!</definedName>
    <definedName name="나사식_이음">#REF!</definedName>
    <definedName name="나틈터널">#REF!</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교개수">#REF!</definedName>
    <definedName name="낙상홍1004">#REF!</definedName>
    <definedName name="낙상홍1506">#REF!</definedName>
    <definedName name="낙상홍1808">#REF!</definedName>
    <definedName name="낙상홍2010">#REF!</definedName>
    <definedName name="낙상홍2515">#REF!</definedName>
    <definedName name="낙석방지">#REF!</definedName>
    <definedName name="낙석방지책">#REF!</definedName>
    <definedName name="낙석방지책기초">#REF!</definedName>
    <definedName name="낙석방지책수량">#REF!</definedName>
    <definedName name="낙우송6노무">#REF!</definedName>
    <definedName name="낙우송6재료">#REF!</definedName>
    <definedName name="낙우송8노무">#REF!</definedName>
    <definedName name="낙우송8재료">#REF!</definedName>
    <definedName name="낙우송R10">#REF!</definedName>
    <definedName name="낙우송R12">#REF!</definedName>
    <definedName name="낙우송R5">#REF!</definedName>
    <definedName name="낙우송R6">#REF!</definedName>
    <definedName name="낙우송R8">#REF!</definedName>
    <definedName name="낙차공" localSheetId="0" hidden="1">{#N/A,#N/A,FALSE,"2~8번"}</definedName>
    <definedName name="낙차공" hidden="1">{#N/A,#N/A,FALSE,"2~8번"}</definedName>
    <definedName name="낙찰">#REF!</definedName>
    <definedName name="낙찰가">#N/A</definedName>
    <definedName name="낙찰고산">#REF!</definedName>
    <definedName name="낙찰내촌">#REF!</definedName>
    <definedName name="낙찰율">#REF!</definedName>
    <definedName name="낙찰총괄">#REF!</definedName>
    <definedName name="난방구조일수">#REF!</definedName>
    <definedName name="난방정위치작업일수">#REF!</definedName>
    <definedName name="난방조사연장">#REF!</definedName>
    <definedName name="난방탐사연장">#REF!</definedName>
    <definedName name="날개벽">#REF!</definedName>
    <definedName name="날짜">#REF!</definedName>
    <definedName name="남">#REF!</definedName>
    <definedName name="남남" localSheetId="19" hidden="1">#REF!</definedName>
    <definedName name="남남" localSheetId="21" hidden="1">#REF!</definedName>
    <definedName name="남남" localSheetId="23" hidden="1">#REF!</definedName>
    <definedName name="남남" localSheetId="3" hidden="1">#REF!</definedName>
    <definedName name="남남" localSheetId="5" hidden="1">#REF!</definedName>
    <definedName name="남남" localSheetId="7" hidden="1">#REF!</definedName>
    <definedName name="남남" localSheetId="9" hidden="1">#REF!</definedName>
    <definedName name="남남" localSheetId="11" hidden="1">#REF!</definedName>
    <definedName name="남남" localSheetId="13" hidden="1">#REF!</definedName>
    <definedName name="남남" localSheetId="15" hidden="1">#REF!</definedName>
    <definedName name="남남" localSheetId="17" hidden="1">#REF!</definedName>
    <definedName name="남남" localSheetId="0" hidden="1">#REF!</definedName>
    <definedName name="남남" hidden="1">#REF!</definedName>
    <definedName name="남덕" localSheetId="28">BlankMacro1</definedName>
    <definedName name="남덕" localSheetId="24">BlankMacro1</definedName>
    <definedName name="남덕" localSheetId="26">BlankMacro1</definedName>
    <definedName name="남덕" localSheetId="27">BlankMacro1</definedName>
    <definedName name="남덕">BlankMacro1</definedName>
    <definedName name="남산1호">#REF!</definedName>
    <definedName name="남산2호">#REF!</definedName>
    <definedName name="남윤" hidden="1">{"'용역비'!$A$4:$C$8"}</definedName>
    <definedName name="남천H1.2">#REF!</definedName>
    <definedName name="내">#REF!</definedName>
    <definedName name="내공H">#REF!</definedName>
    <definedName name="내공V">#REF!</definedName>
    <definedName name="내공넓이">#REF!</definedName>
    <definedName name="내공높이">#REF!</definedName>
    <definedName name="내구공감율">#REF!</definedName>
    <definedName name="내구기본율">#REF!</definedName>
    <definedName name="내구사업율">#REF!</definedName>
    <definedName name="내구세부율">#REF!</definedName>
    <definedName name="내녁">#REF!</definedName>
    <definedName name="내륙노무">#REF!</definedName>
    <definedName name="내륙재료">#REF!</definedName>
    <definedName name="내맘">#REF!</definedName>
    <definedName name="내벽">#REF!</definedName>
    <definedName name="내선전공" localSheetId="2">#REF!</definedName>
    <definedName name="내선전공">#REF!</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역">#N/A</definedName>
    <definedName name="내역1">#REF!</definedName>
    <definedName name="내역15회">#REF!</definedName>
    <definedName name="내역2">#REF!</definedName>
    <definedName name="내역3" hidden="1">{#N/A,#N/A,FALSE,"표지목차"}</definedName>
    <definedName name="내역단가">#REF!</definedName>
    <definedName name="내역서">#REF!</definedName>
    <definedName name="내역서1" hidden="1">{"'제10장(표)'!$A$5:$L$10"}</definedName>
    <definedName name="내역서2">[0]!내역서2</definedName>
    <definedName name="내역서간지" hidden="1">{"'용역비'!$A$4:$C$8"}</definedName>
    <definedName name="내역서다" localSheetId="28">BlankMacro1</definedName>
    <definedName name="내역서다" localSheetId="24">BlankMacro1</definedName>
    <definedName name="내역서다" localSheetId="26">BlankMacro1</definedName>
    <definedName name="내역서다" localSheetId="27">BlankMacro1</definedName>
    <definedName name="내역서다">BlankMacro1</definedName>
    <definedName name="내역서을지">#REF!</definedName>
    <definedName name="내역조명">#REF!</definedName>
    <definedName name="내용">#REF!</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#REF!</definedName>
    <definedName name="내전선공">#REF!</definedName>
    <definedName name="내진">#REF!</definedName>
    <definedName name="낵역4">#REF!</definedName>
    <definedName name="낷">#REF!</definedName>
    <definedName name="낷2">#REF!</definedName>
    <definedName name="넝마">#REF!</definedName>
    <definedName name="넣러" hidden="1">{#N/A,#N/A,FALSE,"표지목차"}</definedName>
    <definedName name="년도">OFFSET(#REF!,0,0,COUNTA(#REF!),1)</definedName>
    <definedName name="년도총괄표" localSheetId="11">BlankMacro1</definedName>
    <definedName name="년도총괄표" localSheetId="13">BlankMacro1</definedName>
    <definedName name="년도총괄표" localSheetId="15">BlankMacro1</definedName>
    <definedName name="년도총괄표" localSheetId="28">BlankMacro1</definedName>
    <definedName name="년도총괄표" localSheetId="24">BlankMacro1</definedName>
    <definedName name="년도총괄표" localSheetId="26">BlankMacro1</definedName>
    <definedName name="년도총괄표" localSheetId="27">BlankMacro1</definedName>
    <definedName name="년도총괄표">BlankMacro1</definedName>
    <definedName name="녭" hidden="1">#REF!</definedName>
    <definedName name="노">#REF!</definedName>
    <definedName name="노__무__비">#REF!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니" hidden="1">#REF!</definedName>
    <definedName name="노단가">#REF!</definedName>
    <definedName name="노단가1">#REF!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면고르기">#REF!</definedName>
    <definedName name="노무">#REF!</definedName>
    <definedName name="노무계">#REF!</definedName>
    <definedName name="노무단가">#REF!</definedName>
    <definedName name="노무비">#REF!</definedName>
    <definedName name="노무비_경비">#REF!</definedName>
    <definedName name="노무비_구조화">#REF!</definedName>
    <definedName name="노무비_단가">#REF!</definedName>
    <definedName name="노무비_도면제작">#REF!</definedName>
    <definedName name="노무비_도면출력">#REF!</definedName>
    <definedName name="노무비_수동입력">#REF!</definedName>
    <definedName name="노무비_정위치">#REF!</definedName>
    <definedName name="노무비1">#REF!</definedName>
    <definedName name="노무비2">#REF!</definedName>
    <definedName name="노무비3">#REF!</definedName>
    <definedName name="노무비금액">#REF!</definedName>
    <definedName name="노무비금액2">#REF!</definedName>
    <definedName name="노무비단가">#REF!</definedName>
    <definedName name="노무비단가2">#REF!</definedName>
    <definedName name="노무비소계">#REF!</definedName>
    <definedName name="노무비합계">#REF!</definedName>
    <definedName name="노반경">#REF!</definedName>
    <definedName name="노반노무">#REF!</definedName>
    <definedName name="노반재료">#REF!</definedName>
    <definedName name="노반준비">#REF!</definedName>
    <definedName name="노부비">#REF!</definedName>
    <definedName name="노산3교집계표">#REF!</definedName>
    <definedName name="노상준비공__절토부____M당">#REF!</definedName>
    <definedName name="노상준비다짐1">#REF!</definedName>
    <definedName name="노상준비다짐2">#REF!</definedName>
    <definedName name="노선" hidden="1">{"'중기작업1'!$A$1:$V$18"}</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#N/A</definedName>
    <definedName name="노임1">#REF!</definedName>
    <definedName name="노임단가">#REF!</definedName>
    <definedName name="노임단가1">#REF!</definedName>
    <definedName name="노임전기">#REF!</definedName>
    <definedName name="노임품명">#REF!</definedName>
    <definedName name="노즐공">#REF!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출직부">#REF!</definedName>
    <definedName name="노출형">#REF!</definedName>
    <definedName name="노ㅗ">#REF!</definedName>
    <definedName name="녹막이">#REF!</definedName>
    <definedName name="녹지노">#REF!</definedName>
    <definedName name="녹지재">#REF!</definedName>
    <definedName name="농경지비율">#REF!</definedName>
    <definedName name="농로줄눈">#REF!</definedName>
    <definedName name="농림">#REF!</definedName>
    <definedName name="농원1호">#REF!</definedName>
    <definedName name="농원2호">#REF!</definedName>
    <definedName name="높">#REF!</definedName>
    <definedName name="높이">#REF!</definedName>
    <definedName name="높이1">#REF!</definedName>
    <definedName name="높이2">#REF!</definedName>
    <definedName name="놓노ㅗㄴㄴㄴㄴㄴㄴㄴㄴ">#REF!</definedName>
    <definedName name="놓ㄹ노" hidden="1">{#N/A,#N/A,FALSE,"골재소요량";#N/A,#N/A,FALSE,"골재소요량"}</definedName>
    <definedName name="뇌관">#REF!</definedName>
    <definedName name="누" hidden="1">#REF!</definedName>
    <definedName name="누산수량이동">#REF!</definedName>
    <definedName name="눈주목">#REF!</definedName>
    <definedName name="눈주목H0.5">#REF!</definedName>
    <definedName name="눈향">#REF!</definedName>
    <definedName name="눈향L06">#REF!</definedName>
    <definedName name="눈향L08">#REF!</definedName>
    <definedName name="눈향L10">#REF!</definedName>
    <definedName name="눈향L14">#REF!</definedName>
    <definedName name="눈향L20">#REF!</definedName>
    <definedName name="느릅">#REF!</definedName>
    <definedName name="느릅R10">#REF!</definedName>
    <definedName name="느릅R4">#REF!</definedName>
    <definedName name="느릅R5">#REF!</definedName>
    <definedName name="느릅R8">#REF!</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#REF!</definedName>
    <definedName name="느티15">#REF!</definedName>
    <definedName name="느티20">#REF!</definedName>
    <definedName name="느티8">#REF!</definedName>
    <definedName name="느티R10">#REF!</definedName>
    <definedName name="느티R12">#REF!</definedName>
    <definedName name="느티R15">#REF!</definedName>
    <definedName name="느티R18">#REF!</definedName>
    <definedName name="느티R20">#REF!</definedName>
    <definedName name="느티R25">#REF!</definedName>
    <definedName name="느티R30">#REF!</definedName>
    <definedName name="느티R5">#REF!</definedName>
    <definedName name="느티R6">#REF!</definedName>
    <definedName name="느티R8">#REF!</definedName>
    <definedName name="느티나무H4.0xR12">#REF!</definedName>
    <definedName name="느티나무H4.5xR20">#REF!</definedName>
    <definedName name="느티나무H4.5xR25">#REF!</definedName>
    <definedName name="능소화R2">#REF!</definedName>
    <definedName name="능소화R4">#REF!</definedName>
    <definedName name="능소화R6">#REF!</definedName>
    <definedName name="능형망철거">#N/A</definedName>
    <definedName name="ㄶ">#REF!</definedName>
    <definedName name="ㄶㄴㄷ" hidden="1">#REF!</definedName>
    <definedName name="ㄶㅇㅀㄴㅇ" hidden="1">{#N/A,#N/A,FALSE,"표지목차"}</definedName>
    <definedName name="ㄶㅎㄴ">#REF!</definedName>
    <definedName name="ㄷ" hidden="1">{#N/A,#N/A,TRUE,"토적및재료집계";#N/A,#N/A,TRUE,"토적및재료집계";#N/A,#N/A,TRUE,"단위량"}</definedName>
    <definedName name="ㄷ_1" localSheetId="0" hidden="1">{#N/A,#N/A,FALSE,"2~8번"}</definedName>
    <definedName name="ㄷ_1" hidden="1">{#N/A,#N/A,FALSE,"2~8번"}</definedName>
    <definedName name="ㄷ1">#REF!</definedName>
    <definedName name="ㄷ100x50x5x7.5t_단중">#REF!</definedName>
    <definedName name="ㄷ125x65x6x8t_단중">#REF!</definedName>
    <definedName name="ㄷ2">#REF!</definedName>
    <definedName name="ㄷ378">#REF!</definedName>
    <definedName name="ㄷ4">[0]!ㄷ4</definedName>
    <definedName name="ㄷ41">#REF!</definedName>
    <definedName name="ㄷ6ㅓ" hidden="1">{"'용역비'!$A$4:$C$8"}</definedName>
    <definedName name="ㄷ75x40x5x7t_단중">#REF!</definedName>
    <definedName name="ㄷㄱ" hidden="1">{#N/A,#N/A,FALSE,"단가표지"}</definedName>
    <definedName name="ㄷㄱ3">#REF!</definedName>
    <definedName name="ㄷㄱㄱ">#REF!</definedName>
    <definedName name="ㄷㄱㄷ" hidden="1">{#N/A,#N/A,FALSE,"전력간선"}</definedName>
    <definedName name="ㄷㄱㄷㄱㄷㄱ" hidden="1">{"'용역비'!$A$4:$C$8"}</definedName>
    <definedName name="ㄷㄱㄷㅅㅅㅅ">#REF!</definedName>
    <definedName name="ㄷㄱㅁ" localSheetId="28">BlankMacro1</definedName>
    <definedName name="ㄷㄱㅁ" localSheetId="24">BlankMacro1</definedName>
    <definedName name="ㄷㄱㅁ" localSheetId="26">BlankMacro1</definedName>
    <definedName name="ㄷㄱㅁ" localSheetId="27">BlankMacro1</definedName>
    <definedName name="ㄷㄱㅁ">BlankMacro1</definedName>
    <definedName name="ㄷㄱㅈㅅ" localSheetId="28">BlankMacro1</definedName>
    <definedName name="ㄷㄱㅈㅅ" localSheetId="24">BlankMacro1</definedName>
    <definedName name="ㄷㄱㅈㅅ" localSheetId="26">BlankMacro1</definedName>
    <definedName name="ㄷㄱㅈㅅ" localSheetId="27">BlankMacro1</definedName>
    <definedName name="ㄷㄱㅈㅅ">BlankMacro1</definedName>
    <definedName name="ㄷ교둅ㄷ교">#REF!</definedName>
    <definedName name="ㄷ굡3ㅛ3">#REF!</definedName>
    <definedName name="ㄷ굡ㄷ교">#REF!</definedName>
    <definedName name="ㄷ굡ㄷ굡됻ㅂ">#REF!</definedName>
    <definedName name="ㄷ굡됻ㅂ굡됴ㅛㅛㅛㅛㅛ">#REF!</definedName>
    <definedName name="ㄷㄳ" localSheetId="28">BlankMacro1</definedName>
    <definedName name="ㄷㄳ" localSheetId="24">BlankMacro1</definedName>
    <definedName name="ㄷㄳ" localSheetId="26">BlankMacro1</definedName>
    <definedName name="ㄷㄳ" localSheetId="27">BlankMacro1</definedName>
    <definedName name="ㄷㄳ">BlankMacro1</definedName>
    <definedName name="ㄷㄳㄱㄷㅅ" localSheetId="28">BlankMacro1</definedName>
    <definedName name="ㄷㄳㄱㄷㅅ" localSheetId="24">BlankMacro1</definedName>
    <definedName name="ㄷㄳㄱㄷㅅ" localSheetId="26">BlankMacro1</definedName>
    <definedName name="ㄷㄳㄱㄷㅅ" localSheetId="27">BlankMacro1</definedName>
    <definedName name="ㄷㄳㄱㄷㅅ">BlankMacro1</definedName>
    <definedName name="ㄷㄷ">#REF!</definedName>
    <definedName name="ㄷㄷㄱㄱ" hidden="1">{"'용역비'!$A$4:$C$8"}</definedName>
    <definedName name="ㄷㄷㄷ" hidden="1">{#N/A,#N/A,FALSE,"운반시간"}</definedName>
    <definedName name="ㄷㄷㄷㄷㅅㅅㅅㅅ">#REF!</definedName>
    <definedName name="ㄷㄷ대대대">#N/A</definedName>
    <definedName name="ㄷㄷㅁ">[0]!ㄷㄷㅁ</definedName>
    <definedName name="ㄷㄷㅈ">#REF!</definedName>
    <definedName name="ㄷㄹ1">#REF!</definedName>
    <definedName name="ㄷㄹㄹㅇ">#REF!</definedName>
    <definedName name="ㄷㄹㅇㄴ">#REF!</definedName>
    <definedName name="ㄷㄹㅇㄴㄹ">#REF!</definedName>
    <definedName name="ㄷㅁㅁ">#REF!</definedName>
    <definedName name="ㄷㅅㅈㄷ" hidden="1">#REF!</definedName>
    <definedName name="ㄷ숃ㄱ" hidden="1">#REF!</definedName>
    <definedName name="ㄷ수">#N/A</definedName>
    <definedName name="ㄷㅇㄴ">#REF!</definedName>
    <definedName name="ㄷㅇㄹ">#REF!</definedName>
    <definedName name="ㄷㅇㄹㄴ">#REF!</definedName>
    <definedName name="ㄷㅇㅎ">#REF!</definedName>
    <definedName name="ㄷㅈ" localSheetId="28">BlankMacro1</definedName>
    <definedName name="ㄷㅈ" localSheetId="24">BlankMacro1</definedName>
    <definedName name="ㄷㅈ" localSheetId="26">BlankMacro1</definedName>
    <definedName name="ㄷㅈ" localSheetId="27">BlankMacro1</definedName>
    <definedName name="ㄷㅈ">BlankMacro1</definedName>
    <definedName name="ㄷㅈ굡ㅈ">#REF!</definedName>
    <definedName name="ㄷㅈㄷ" localSheetId="28">BlankMacro1</definedName>
    <definedName name="ㄷㅈㄷ" localSheetId="24">BlankMacro1</definedName>
    <definedName name="ㄷㅈㄷ" localSheetId="26">BlankMacro1</definedName>
    <definedName name="ㄷㅈㄷ" localSheetId="27">BlankMacro1</definedName>
    <definedName name="ㄷㅈㄷ">BlankMacro1</definedName>
    <definedName name="ㄷㅈㅂㄹㄴㅀㅀㄴ">#REF!</definedName>
    <definedName name="ㄷㅍㅂ" hidden="1">{"'용역비'!$A$4:$C$8"}</definedName>
    <definedName name="ㄷㅎ">#REF!</definedName>
    <definedName name="ㄷㅎㄹㅇ" localSheetId="19" hidden="1">#REF!</definedName>
    <definedName name="ㄷㅎㄹㅇ" localSheetId="21" hidden="1">#REF!</definedName>
    <definedName name="ㄷㅎㄹㅇ" localSheetId="23" hidden="1">#REF!</definedName>
    <definedName name="ㄷㅎㄹㅇ" localSheetId="3" hidden="1">#REF!</definedName>
    <definedName name="ㄷㅎㄹㅇ" localSheetId="5" hidden="1">#REF!</definedName>
    <definedName name="ㄷㅎㄹㅇ" localSheetId="7" hidden="1">#REF!</definedName>
    <definedName name="ㄷㅎㄹㅇ" localSheetId="9" hidden="1">#REF!</definedName>
    <definedName name="ㄷㅎㄹㅇ" localSheetId="11" hidden="1">#REF!</definedName>
    <definedName name="ㄷㅎㄹㅇ" localSheetId="13" hidden="1">#REF!</definedName>
    <definedName name="ㄷㅎㄹㅇ" localSheetId="15" hidden="1">#REF!</definedName>
    <definedName name="ㄷㅎㄹㅇ" localSheetId="17" hidden="1">#REF!</definedName>
    <definedName name="ㄷㅎㄹㅇ" hidden="1">#REF!</definedName>
    <definedName name="다">#REF!</definedName>
    <definedName name="다2">#REF!</definedName>
    <definedName name="다3">#REF!</definedName>
    <definedName name="다4">#REF!</definedName>
    <definedName name="다5">#REF!</definedName>
    <definedName name="다6">#REF!</definedName>
    <definedName name="다라" hidden="1">{#N/A,#N/A,FALSE,"표지목차"}</definedName>
    <definedName name="다목">#REF!</definedName>
    <definedName name="다우웰바설치공">#REF!</definedName>
    <definedName name="다이나마이트">#REF!</definedName>
    <definedName name="다짐">#REF!</definedName>
    <definedName name="다짐1">#REF!</definedName>
    <definedName name="다짐1경비">#REF!</definedName>
    <definedName name="다짐1노무비">#REF!</definedName>
    <definedName name="다짐1재료비">#REF!</definedName>
    <definedName name="다짐경">#REF!</definedName>
    <definedName name="다짐경비">#REF!</definedName>
    <definedName name="다짐노">#REF!</definedName>
    <definedName name="다짐노무비">#REF!</definedName>
    <definedName name="다짐되메우기">#REF!</definedName>
    <definedName name="다짐재">#REF!</definedName>
    <definedName name="닥타일주철관100">#REF!</definedName>
    <definedName name="닥타일주철관150">#REF!</definedName>
    <definedName name="닥타일주철관200">#REF!</definedName>
    <definedName name="닥타일주철관300">#REF!</definedName>
    <definedName name="닥타일주철관400">#REF!</definedName>
    <definedName name="닥타일주철관500">#REF!</definedName>
    <definedName name="닥타일주철관600">#REF!</definedName>
    <definedName name="닥타일주철관700">#REF!</definedName>
    <definedName name="닥타일주철관80">#REF!</definedName>
    <definedName name="닥타일주철관800">#REF!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#REF!</definedName>
    <definedName name="단____가">#REF!</definedName>
    <definedName name="단_가">#REF!</definedName>
    <definedName name="단_가2">#REF!</definedName>
    <definedName name="단_가3">#REF!</definedName>
    <definedName name="단_가4">#REF!</definedName>
    <definedName name="단_가5">#REF!</definedName>
    <definedName name="단_가6">#REF!</definedName>
    <definedName name="단1">#REF!</definedName>
    <definedName name="단2">#REF!</definedName>
    <definedName name="단3">#REF!</definedName>
    <definedName name="단4">#REF!</definedName>
    <definedName name="단5">#REF!</definedName>
    <definedName name="단6">#REF!</definedName>
    <definedName name="단7">#REF!</definedName>
    <definedName name="단8">#REF!</definedName>
    <definedName name="단9">#REF!</definedName>
    <definedName name="단가">#REF!</definedName>
    <definedName name="단가_1">#REF!</definedName>
    <definedName name="단가1">#REF!</definedName>
    <definedName name="단가2">#REF!,#REF!</definedName>
    <definedName name="단가검토">#REF!</definedName>
    <definedName name="단가다">#REF!</definedName>
    <definedName name="단가대비">#REF!</definedName>
    <definedName name="단가대상표">#REF!</definedName>
    <definedName name="단가대상표1">#REF!</definedName>
    <definedName name="단가비교표">#REF!,#REF!</definedName>
    <definedName name="단가비교표1">#REF!,#REF!</definedName>
    <definedName name="단가산출">#REF!</definedName>
    <definedName name="단가산출2">#REF!</definedName>
    <definedName name="단가산출서">#REF!</definedName>
    <definedName name="단가산출참고">#REF!</definedName>
    <definedName name="단가일람">#REF!</definedName>
    <definedName name="단가임">#REF!</definedName>
    <definedName name="단가조건영역">#REF!</definedName>
    <definedName name="단가조건표">#REF!</definedName>
    <definedName name="단가조사">#REF!</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총액">#REF!</definedName>
    <definedName name="단가최종">#REF!</definedName>
    <definedName name="단가테이블">#REF!</definedName>
    <definedName name="단가표">#REF!</definedName>
    <definedName name="단가표지">#REF!</definedName>
    <definedName name="단가합">#REF!</definedName>
    <definedName name="단가호표">#REF!</definedName>
    <definedName name="단같">#N/A</definedName>
    <definedName name="단같1">#N/A</definedName>
    <definedName name="단같2">#N/A</definedName>
    <definedName name="단같3">#N/A</definedName>
    <definedName name="단같4">#N/A</definedName>
    <definedName name="단계">#REF!</definedName>
    <definedName name="단관M">#REF!</definedName>
    <definedName name="단뎀로라">250000</definedName>
    <definedName name="단면적3Span">#REF!</definedName>
    <definedName name="단순인력">#REF!</definedName>
    <definedName name="단위">#N/A</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#REF!</definedName>
    <definedName name="단위별">#REF!</definedName>
    <definedName name="단위수량1">#REF!</definedName>
    <definedName name="단위수량2">#REF!</definedName>
    <definedName name="단차">#REF!</definedName>
    <definedName name="담수경비">#REF!</definedName>
    <definedName name="담수노무">#REF!</definedName>
    <definedName name="담수재료">#REF!</definedName>
    <definedName name="담쟁이L03">#REF!</definedName>
    <definedName name="답구간_표토제거__도쟈_19_Ton__㎡_당">#REF!</definedName>
    <definedName name="답외구간_표토제거__도쟈_19_Ton__㎡_당">#REF!</definedName>
    <definedName name="당사">#REF!</definedName>
    <definedName name="대" localSheetId="28">BlankMacro1</definedName>
    <definedName name="대" localSheetId="24">BlankMacro1</definedName>
    <definedName name="대" localSheetId="26">BlankMacro1</definedName>
    <definedName name="대" localSheetId="27">BlankMacro1</definedName>
    <definedName name="대">BlankMacro1</definedName>
    <definedName name="대가">#REF!,#REF!</definedName>
    <definedName name="대가단가범위">#REF!</definedName>
    <definedName name="대가단최종">#REF!</definedName>
    <definedName name="대가목록">#REF!</definedName>
    <definedName name="대각교철근집계표">#REF!</definedName>
    <definedName name="대개소">#REF!</definedName>
    <definedName name="대계">#REF!</definedName>
    <definedName name="대관" localSheetId="28">BlankMacro1</definedName>
    <definedName name="대관" localSheetId="24">BlankMacro1</definedName>
    <definedName name="대관" localSheetId="26">BlankMacro1</definedName>
    <definedName name="대관" localSheetId="27">BlankMacro1</definedName>
    <definedName name="대관">BlankMacro1</definedName>
    <definedName name="대관경">#REF!</definedName>
    <definedName name="대관경1">#REF!</definedName>
    <definedName name="대구">#REF!</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방범확정">#REF!</definedName>
    <definedName name="대기" hidden="1">#REF!</definedName>
    <definedName name="대기질">#REF!</definedName>
    <definedName name="대기질측정">#REF!</definedName>
    <definedName name="대나무">#REF!</definedName>
    <definedName name="대나무지주목">#REF!</definedName>
    <definedName name="대동설계계산서">#REF!</definedName>
    <definedName name="대비">#REF!</definedName>
    <definedName name="대비표2" hidden="1">{#N/A,#N/A,FALSE,"증감대비표";#N/A,#N/A,FALSE,"결의서";#N/A,#N/A,FALSE,"내역서";#N/A,#N/A,FALSE,"도급예상"}</definedName>
    <definedName name="대상" localSheetId="28">BlankMacro1</definedName>
    <definedName name="대상" localSheetId="24">BlankMacro1</definedName>
    <definedName name="대상" localSheetId="26">BlankMacro1</definedName>
    <definedName name="대상" localSheetId="27">BlankMacro1</definedName>
    <definedName name="대상">BlankMacro1</definedName>
    <definedName name="대상2" hidden="1">{#N/A,#N/A,FALSE,"이정표"}</definedName>
    <definedName name="대상점" localSheetId="0" hidden="1">{#N/A,#N/A,FALSE,"P.C.B"}</definedName>
    <definedName name="대상점" hidden="1">{#N/A,#N/A,FALSE,"P.C.B"}</definedName>
    <definedName name="대상표">#REF!</definedName>
    <definedName name="대송교">#REF!</definedName>
    <definedName name="대안설정">#REF!</definedName>
    <definedName name="대왕참R10">#REF!</definedName>
    <definedName name="대왕참R4">#REF!</definedName>
    <definedName name="대왕참R6">#REF!</definedName>
    <definedName name="대왕참R8">#REF!</definedName>
    <definedName name="대전내역서_대전추가비교표_List">#REF!</definedName>
    <definedName name="대전중리1">#REF!</definedName>
    <definedName name="대전타임월드">#REF!</definedName>
    <definedName name="대존">#REF!</definedName>
    <definedName name="대지면적">#REF!</definedName>
    <definedName name="대체구거">#REF!</definedName>
    <definedName name="대추">#REF!</definedName>
    <definedName name="대추R10">#REF!</definedName>
    <definedName name="대추R4">#REF!</definedName>
    <definedName name="대추R5">#REF!</definedName>
    <definedName name="대추R6">#REF!</definedName>
    <definedName name="대추R8">#REF!</definedName>
    <definedName name="대코드">#REF!</definedName>
    <definedName name="대한" hidden="1">#REF!</definedName>
    <definedName name="대형브레이카0.4경비">#REF!</definedName>
    <definedName name="대형브레이카0.4노무비">#REF!</definedName>
    <definedName name="대형브레이카0.4재료비">#REF!</definedName>
    <definedName name="대형브레이카0.7M3">#REF!</definedName>
    <definedName name="댈타5">#REF!</definedName>
    <definedName name="댕기" hidden="1">{"'중기작업1'!$A$1:$V$18"}</definedName>
    <definedName name="더다">#REF!</definedName>
    <definedName name="더닫">#REF!</definedName>
    <definedName name="더더더">#REF!</definedName>
    <definedName name="더하기">#REF!</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덕트공">#REF!</definedName>
    <definedName name="덕흥흥건축" hidden="1">#REF!</definedName>
    <definedName name="덤프">250000</definedName>
    <definedName name="덤프15경">#REF!</definedName>
    <definedName name="덤프15노">#REF!</definedName>
    <definedName name="덤프15노무">#REF!</definedName>
    <definedName name="덤프15재">#REF!</definedName>
    <definedName name="덤프15재료">#REF!</definedName>
    <definedName name="덤프2.5경">#REF!</definedName>
    <definedName name="덤프2.5노">#REF!</definedName>
    <definedName name="덤프2.5노무">#REF!</definedName>
    <definedName name="덤프2.5재">#REF!</definedName>
    <definedName name="덤프2.5재료">#REF!</definedName>
    <definedName name="덤프트럭15TON">#REF!</definedName>
    <definedName name="덩굴장미">#REF!</definedName>
    <definedName name="덩굴장미3">#REF!</definedName>
    <definedName name="덩굴장미4">#REF!</definedName>
    <definedName name="덩굴장미5">#REF!</definedName>
    <definedName name="덮개.급배수관" hidden="1">{"'중기작업1'!$A$1:$V$18"}</definedName>
    <definedName name="데이타">#REF!</definedName>
    <definedName name="데이터">#REF!</definedName>
    <definedName name="데크휘니샤면고르기">#REF!</definedName>
    <definedName name="뎡유">#REF!</definedName>
    <definedName name="도">#REF!</definedName>
    <definedName name="도_장_공">#REF!</definedName>
    <definedName name="도급" hidden="1">{#N/A,#N/A,FALSE,"증감대비표";#N/A,#N/A,FALSE,"결의서";#N/A,#N/A,FALSE,"내역서";#N/A,#N/A,FALSE,"도급예상"}</definedName>
    <definedName name="도급가">#REF!</definedName>
    <definedName name="도급공사">#REF!</definedName>
    <definedName name="도급공사비">#REF!</definedName>
    <definedName name="도급내역111" hidden="1">{#N/A,#N/A,FALSE,"결의서";#N/A,#N/A,FALSE,"내역서";#N/A,#N/A,FALSE,"비목별예상공사";#N/A,#N/A,FALSE,"도급예상";#N/A,#N/A,FALSE,"산출내역"}</definedName>
    <definedName name="도급내역2" hidden="1">{#N/A,#N/A,FALSE,"증감대비표";#N/A,#N/A,FALSE,"결의서";#N/A,#N/A,FALSE,"내역서";#N/A,#N/A,FALSE,"도급예상"}</definedName>
    <definedName name="도급대비" hidden="1">{#N/A,#N/A,FALSE,"신청통보";#N/A,#N/A,FALSE,"기성확인서";#N/A,#N/A,FALSE,"기성내역서"}</definedName>
    <definedName name="도급대비2" hidden="1">{#N/A,#N/A,FALSE,"신청통보";#N/A,#N/A,FALSE,"기성확인서";#N/A,#N/A,FALSE,"기성내역서"}</definedName>
    <definedName name="도급대비표" hidden="1">{#N/A,#N/A,FALSE,"결의서";#N/A,#N/A,FALSE,"내역서";#N/A,#N/A,FALSE,"도급예상";#N/A,#N/A,FALSE,"시방서"}</definedName>
    <definedName name="도급대비표1" hidden="1">{#N/A,#N/A,FALSE,"결의서";#N/A,#N/A,FALSE,"내역서";#N/A,#N/A,FALSE,"도급예상";#N/A,#N/A,FALSE,"시방서"}</definedName>
    <definedName name="도급대비표3" hidden="1">{#N/A,#N/A,FALSE,"증감대비표";#N/A,#N/A,FALSE,"결의서";#N/A,#N/A,FALSE,"내역서";#N/A,#N/A,FALSE,"도급예상"}</definedName>
    <definedName name="도급반영확인서" hidden="1">{#N/A,#N/A,FALSE,"신청통보";#N/A,#N/A,FALSE,"기성확인서";#N/A,#N/A,FALSE,"기성내역서"}</definedName>
    <definedName name="도급분경비">#REF!</definedName>
    <definedName name="도급액">#REF!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상1" hidden="1">{#N/A,#N/A,FALSE,"결의서";#N/A,#N/A,FALSE,"내역서";#N/A,#N/A,FALSE,"도급예상";#N/A,#N/A,FALSE,"시방서"}</definedName>
    <definedName name="도급예상액">#REF!</definedName>
    <definedName name="도급예정액">#REF!</definedName>
    <definedName name="도급재료비">#REF!</definedName>
    <definedName name="도급표" hidden="1">{#N/A,#N/A,FALSE,"신청통보";#N/A,#N/A,FALSE,"기성확인서";#N/A,#N/A,FALSE,"기성내역서"}</definedName>
    <definedName name="도급확인서" hidden="1">{#N/A,#N/A,FALSE,"신청통보";#N/A,#N/A,FALSE,"기성확인서";#N/A,#N/A,FALSE,"기성내역서"}</definedName>
    <definedName name="도로">#REF!</definedName>
    <definedName name="도로2">#REF!</definedName>
    <definedName name="도로SW">#REF!</definedName>
    <definedName name="도로경계석120_120">#REF!</definedName>
    <definedName name="도로경계석150_150">#REF!</definedName>
    <definedName name="도로구조경비">#REF!</definedName>
    <definedName name="도로구조노무비">#REF!</definedName>
    <definedName name="도로구조재료비">#REF!</definedName>
    <definedName name="도로범용수정">#REF!</definedName>
    <definedName name="도로소프트">#REF!</definedName>
    <definedName name="도로스텝당인건비">#REF!</definedName>
    <definedName name="도로연장">#REF!</definedName>
    <definedName name="도로작업연장">#REF!</definedName>
    <definedName name="도로정위치연장">#REF!</definedName>
    <definedName name="도로지형계수">#REF!</definedName>
    <definedName name="도로토공경비">#REF!</definedName>
    <definedName name="도로토공노무비">#REF!</definedName>
    <definedName name="도로토공재료비">#REF!</definedName>
    <definedName name="도로표지2" hidden="1">{#N/A,#N/A,FALSE,"전력간선"}</definedName>
    <definedName name="도로표지용페인트가열형백색">#REF!</definedName>
    <definedName name="도로표지용페인트가열형황색">#REF!</definedName>
    <definedName name="도로표지용페인트상온형백색">#REF!</definedName>
    <definedName name="도로표지용페인트상온형황색">#REF!</definedName>
    <definedName name="도로표지판">#N/A</definedName>
    <definedName name="도면가격">#REF!</definedName>
    <definedName name="도면가격2">#REF!</definedName>
    <definedName name="도면수">#REF!</definedName>
    <definedName name="도면편집작업량">#REF!</definedName>
    <definedName name="도면편집지형계수">#REF!</definedName>
    <definedName name="도면편집지형증감계수">#REF!</definedName>
    <definedName name="도면편집축척별시간당작업량">#REF!</definedName>
    <definedName name="도면편집축척시간작업량">#REF!</definedName>
    <definedName name="도목수">#REF!</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시3급">#REF!</definedName>
    <definedName name="도시작업계수">#REF!</definedName>
    <definedName name="도시적용1">#REF!</definedName>
    <definedName name="도시적용2">#REF!</definedName>
    <definedName name="도시적용3">#REF!</definedName>
    <definedName name="도시적용4">#REF!</definedName>
    <definedName name="도시적용5">#REF!</definedName>
    <definedName name="도오" hidden="1">{#N/A,#N/A,FALSE,"포장단가"}</definedName>
    <definedName name="도장공" localSheetId="2">#REF!</definedName>
    <definedName name="도장공">#REF!</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장공사번호">#REF!</definedName>
    <definedName name="도쟈6P">250000</definedName>
    <definedName name="도전손익" localSheetId="0" hidden="1">{#N/A,#N/A,FALSE,"P.C.B"}</definedName>
    <definedName name="도전손익" hidden="1">{#N/A,#N/A,FALSE,"P.C.B"}</definedName>
    <definedName name="도전손익집계" localSheetId="0" hidden="1">{#N/A,#N/A,FALSE,"P.C.B"}</definedName>
    <definedName name="도전손익집계" hidden="1">{#N/A,#N/A,FALSE,"P.C.B"}</definedName>
    <definedName name="도편수">#REF!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화_중급">#REF!</definedName>
    <definedName name="도화고급">#REF!</definedName>
    <definedName name="도화기상각">#REF!</definedName>
    <definedName name="도화기정비">#REF!</definedName>
    <definedName name="도화선">#REF!</definedName>
    <definedName name="도화중급">#REF!</definedName>
    <definedName name="도화증감계수">#REF!</definedName>
    <definedName name="도화지형증감계수">#REF!</definedName>
    <definedName name="도화초급">#REF!</definedName>
    <definedName name="도화축척별작업량">#REF!</definedName>
    <definedName name="독립형E">#REF!</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독취_노무비">#REF!</definedName>
    <definedName name="돈나무0504">#REF!</definedName>
    <definedName name="돈나무0805">#REF!</definedName>
    <definedName name="돈나무1007">#REF!</definedName>
    <definedName name="돈나무1210">#REF!</definedName>
    <definedName name="돌공사번호">#REF!</definedName>
    <definedName name="돌망태">#REF!</definedName>
    <definedName name="돌망태뚜껑10">#REF!</definedName>
    <definedName name="돌망태뚜껑8">#REF!</definedName>
    <definedName name="돌망태몸통10">#REF!</definedName>
    <definedName name="돌망태몸통8">#REF!</definedName>
    <definedName name="돌붙임재료집계">#REF!</definedName>
    <definedName name="동_발_공__터_널">#REF!</definedName>
    <definedName name="동락내역">#REF!</definedName>
    <definedName name="동림010" localSheetId="0" hidden="1">{#N/A,#N/A,FALSE,"현장 NCR 분석";#N/A,#N/A,FALSE,"현장품질감사";#N/A,#N/A,FALSE,"현장품질감사"}</definedName>
    <definedName name="동림010" hidden="1">{#N/A,#N/A,FALSE,"현장 NCR 분석";#N/A,#N/A,FALSE,"현장품질감사";#N/A,#N/A,FALSE,"현장품질감사"}</definedName>
    <definedName name="동바리">#REF!</definedName>
    <definedName name="동발공">#REF!</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방층">#REF!</definedName>
    <definedName name="동백1002">#REF!</definedName>
    <definedName name="동백1204">#REF!</definedName>
    <definedName name="동백1506">#REF!</definedName>
    <definedName name="동백1808">#REF!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동상">#REF!</definedName>
    <definedName name="동상1">#REF!</definedName>
    <definedName name="동상2">#REF!</definedName>
    <definedName name="동식물">#REF!</definedName>
    <definedName name="동식물상">#REF!</definedName>
    <definedName name="동식물수">#REF!</definedName>
    <definedName name="동연">#REF!</definedName>
    <definedName name="되다짐경비">#REF!</definedName>
    <definedName name="되메우기">#REF!</definedName>
    <definedName name="되메우기E16">#REF!</definedName>
    <definedName name="되메우기경">#REF!</definedName>
    <definedName name="되메우기노">#REF!</definedName>
    <definedName name="되메우기다짐경비">#REF!</definedName>
    <definedName name="되메우기다짐노무비">#REF!</definedName>
    <definedName name="되메우기다짐재료비">#REF!</definedName>
    <definedName name="되메우기재">#REF!</definedName>
    <definedName name="됻숃쇼ㅕ">#REF!</definedName>
    <definedName name="둅ㄷ5ㅛㅂ3ㅛ">#REF!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부">#REF!</definedName>
    <definedName name="두산건설" localSheetId="0" hidden="1">{#N/A,#N/A,FALSE,"현장 NCR 분석";#N/A,#N/A,FALSE,"현장품질감사";#N/A,#N/A,FALSE,"현장품질감사"}</definedName>
    <definedName name="두산건설" hidden="1">{#N/A,#N/A,FALSE,"현장 NCR 분석";#N/A,#N/A,FALSE,"현장품질감사";#N/A,#N/A,FALSE,"현장품질감사"}</definedName>
    <definedName name="두정1교A743">#REF!</definedName>
    <definedName name="두정터널A1489">#REF!</definedName>
    <definedName name="드잡이공">#REF!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#REF!</definedName>
    <definedName name="등R4">#REF!</definedName>
    <definedName name="등R6">#REF!</definedName>
    <definedName name="등R8">#REF!</definedName>
    <definedName name="등가거리">#REF!</definedName>
    <definedName name="등가거리1">#REF!</definedName>
    <definedName name="등가거리종">#REF!</definedName>
    <definedName name="등급">#REF!</definedName>
    <definedName name="등용구분">[0]!등용구분</definedName>
    <definedName name="등유">#REF!</definedName>
    <definedName name="등주높이">[0]!등주높이</definedName>
    <definedName name="디디" hidden="1">#REF!</definedName>
    <definedName name="디스트리뷰터경">#REF!</definedName>
    <definedName name="디스트리뷰터노">#REF!</definedName>
    <definedName name="디스트리뷰터재">#REF!</definedName>
    <definedName name="디이젤엔진15HP">#REF!</definedName>
    <definedName name="디젤엔진경">#REF!</definedName>
    <definedName name="디젤인진재">#REF!</definedName>
    <definedName name="때죽">#REF!</definedName>
    <definedName name="때죽R10">#REF!</definedName>
    <definedName name="때죽R4">#REF!</definedName>
    <definedName name="때죽R6">#REF!</definedName>
    <definedName name="때죽R8">#REF!</definedName>
    <definedName name="때죽나무H3.0">#REF!</definedName>
    <definedName name="띠장규격">#REF!</definedName>
    <definedName name="ㄹ" hidden="1">#REF!</definedName>
    <definedName name="ㄹ1">#REF!</definedName>
    <definedName name="ㄹ116">#REF!</definedName>
    <definedName name="ㄹ120">#REF!</definedName>
    <definedName name="ㄹ2">#REF!</definedName>
    <definedName name="ㄹ41">#REF!</definedName>
    <definedName name="ㄹ62">#REF!</definedName>
    <definedName name="ㄹㄴ" hidden="1">#REF!</definedName>
    <definedName name="ㄹㄴㅁㄹㄴ" hidden="1">{#N/A,"수불부",FALSE,"사급자재수불서";#N/A,"수불부",FALSE,"사급자재수불서"}</definedName>
    <definedName name="ㄹㄴㅁㄹㅇㄴ" hidden="1">{"'Sheet1'!$D$19","'Sheet1'!$B$22:$E$22"}</definedName>
    <definedName name="ㄹㄴㅇ">#REF!</definedName>
    <definedName name="ㄹㄴㅇㄻㄴ" hidden="1">{#N/A,#N/A,FALSE,"단가표지"}</definedName>
    <definedName name="ㄹㄴㅇㅁ">#REF!</definedName>
    <definedName name="ㄹㄴ웋" hidden="1">{#N/A,#N/A,FALSE,"운반시간"}</definedName>
    <definedName name="ㄹ노">#REF!</definedName>
    <definedName name="ㄹ노노노">#REF!</definedName>
    <definedName name="ㄹㄹ" localSheetId="19" hidden="1">#REF!</definedName>
    <definedName name="ㄹㄹ" localSheetId="21" hidden="1">#REF!</definedName>
    <definedName name="ㄹㄹ" localSheetId="23" hidden="1">#REF!</definedName>
    <definedName name="ㄹㄹ" localSheetId="3" hidden="1">#REF!</definedName>
    <definedName name="ㄹㄹ" localSheetId="5" hidden="1">#REF!</definedName>
    <definedName name="ㄹㄹ" localSheetId="7" hidden="1">#REF!</definedName>
    <definedName name="ㄹㄹ" localSheetId="9" hidden="1">#REF!</definedName>
    <definedName name="ㄹㄹ" localSheetId="11" hidden="1">#REF!</definedName>
    <definedName name="ㄹㄹ" localSheetId="13" hidden="1">#REF!</definedName>
    <definedName name="ㄹㄹ" localSheetId="15" hidden="1">#REF!</definedName>
    <definedName name="ㄹㄹ" localSheetId="17" hidden="1">#REF!</definedName>
    <definedName name="ㄹㄹ" localSheetId="0" hidden="1">#REF!</definedName>
    <definedName name="ㄹㄹ" hidden="1">#REF!</definedName>
    <definedName name="ㄹㄹ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ㄹ" localSheetId="0" hidden="1">{#N/A,#N/A,FALSE,"P.C.B"}</definedName>
    <definedName name="ㄹㄹㄹㄹ" hidden="1">{#N/A,#N/A,FALSE,"P.C.B"}</definedName>
    <definedName name="ㄹㄹㄹㄹㄹ" localSheetId="0" hidden="1">{#N/A,#N/A,FALSE,"P.C.B"}</definedName>
    <definedName name="ㄹㄹㄹㄹㄹ" hidden="1">{#N/A,#N/A,FALSE,"P.C.B"}</definedName>
    <definedName name="ㄹㄹㄹㄹㄹㄹ" localSheetId="0" hidden="1">{#N/A,#N/A,FALSE,"P.C.B"}</definedName>
    <definedName name="ㄹㄹㄹㄹㄹㄹ" hidden="1">{#N/A,#N/A,FALSE,"P.C.B"}</definedName>
    <definedName name="ㄹㄹㄹㄹㄹㄹㄹㄹㄹ" localSheetId="0" hidden="1">{#N/A,#N/A,FALSE,"P.C.B"}</definedName>
    <definedName name="ㄹㄹㄹㄹㄹㄹㄹㄹㄹ" hidden="1">{#N/A,#N/A,FALSE,"P.C.B"}</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ㄻㄹ" hidden="1">{#N/A,#N/A,FALSE,"속도"}</definedName>
    <definedName name="ㄹㄻㅈㄷㅇㅁㄴㅇㄹ">#REF!</definedName>
    <definedName name="ㄹㅇ">#REF!</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ㄴㄹㄴㅇㄹㄴㅇㄹ" localSheetId="0" hidden="1">{"'정산내역서'!$A$1:$I$35","'정산서(절.성토부)'!$A$1:$Q$17","'정산서(교량부)'!$A$1:$Q$84","'총괄표'!$A$1:$M$12","'시행현황'!$A$1:$G$12","'표지'!$A$1:$N$27","'정산서(절.성토부)'!$A$3:$Q$7"}</definedName>
    <definedName name="ㄹㅇㄴㄹㄴㅇㄹㄴㅇㄹ" hidden="1">{"'정산내역서'!$A$1:$I$35","'정산서(절.성토부)'!$A$1:$Q$17","'정산서(교량부)'!$A$1:$Q$84","'총괄표'!$A$1:$M$12","'시행현황'!$A$1:$G$12","'표지'!$A$1:$N$27","'정산서(절.성토부)'!$A$3:$Q$7"}</definedName>
    <definedName name="ㄹㅇㄶ" hidden="1">#REF!</definedName>
    <definedName name="ㄹㅇㄹ" localSheetId="0" hidden="1">{#N/A,#N/A,FALSE,"골재소요량";#N/A,#N/A,FALSE,"골재소요량"}</definedName>
    <definedName name="ㄹㅇㄹ" hidden="1">{#N/A,#N/A,FALSE,"골재소요량";#N/A,#N/A,FALSE,"골재소요량"}</definedName>
    <definedName name="ㄹㅇㄹㅇ" hidden="1">#REF!</definedName>
    <definedName name="ㄹㅇㄹㅇㄴ" hidden="1">{#N/A,"수불부",FALSE,"사급자재수불서";#N/A,"수불부",FALSE,"사급자재수불서"}</definedName>
    <definedName name="ㄹㅇㅀㅎ노">#REF!</definedName>
    <definedName name="ㄹㅇㅅㄱㄷ">#REF!</definedName>
    <definedName name="ㄹㅇ퓨ㅓㅜㅏㅗㅜㅠㅅ퐇휴ㅗㅎ" localSheetId="0" hidden="1">{#N/A,#N/A,FALSE,"조골재"}</definedName>
    <definedName name="ㄹㅇ퓨ㅓㅜㅏㅗㅜㅠㅅ퐇휴ㅗㅎ" hidden="1">{#N/A,#N/A,FALSE,"조골재"}</definedName>
    <definedName name="ㄹㅇㅎㄴㅇ" hidden="1">{#N/A,#N/A,FALSE,"조골재"}</definedName>
    <definedName name="ㄹㅇㅎㄹㅇ" hidden="1">#REF!</definedName>
    <definedName name="ㄹㅇ호" localSheetId="28">BlankMacro1</definedName>
    <definedName name="ㄹㅇ호" localSheetId="24">BlankMacro1</definedName>
    <definedName name="ㄹㅇ호" localSheetId="26">BlankMacro1</definedName>
    <definedName name="ㄹㅇ호" localSheetId="27">BlankMacro1</definedName>
    <definedName name="ㄹㅇ호">BlankMacro1</definedName>
    <definedName name="ㄹㅇ홀옹ㅎㄹ" hidden="1">#REF!</definedName>
    <definedName name="ㄹ어미ㅏㄹ" hidden="1">{"'Sheet1'!$D$19","'Sheet1'!$B$22:$E$22"}</definedName>
    <definedName name="ㄹ오" localSheetId="28">BlankMacro1</definedName>
    <definedName name="ㄹ오" localSheetId="24">BlankMacro1</definedName>
    <definedName name="ㄹ오" localSheetId="26">BlankMacro1</definedName>
    <definedName name="ㄹ오" localSheetId="27">BlankMacro1</definedName>
    <definedName name="ㄹ오">BlankMacro1</definedName>
    <definedName name="ㄹ옹모곰ㅈㄷㄱㄱㅁ">#REF!</definedName>
    <definedName name="ㄹ허헌헌ㄹ">#REF!</definedName>
    <definedName name="ㄹ헝ㄹ" hidden="1">#REF!</definedName>
    <definedName name="ㄹ호" hidden="1">#REF!</definedName>
    <definedName name="ㄹ호허오허">#REF!</definedName>
    <definedName name="ㄹ홏ㅌ" localSheetId="28">BlankMacro1</definedName>
    <definedName name="ㄹ홏ㅌ" localSheetId="24">BlankMacro1</definedName>
    <definedName name="ㄹ홏ㅌ" localSheetId="26">BlankMacro1</definedName>
    <definedName name="ㄹ홏ㅌ" localSheetId="27">BlankMacro1</definedName>
    <definedName name="ㄹ홏ㅌ">BlankMacro1</definedName>
    <definedName name="라">#REF!</definedName>
    <definedName name="라2">#REF!</definedName>
    <definedName name="라3">#REF!</definedName>
    <definedName name="라4">#REF!</definedName>
    <definedName name="라5">#REF!</definedName>
    <definedName name="라6">#REF!</definedName>
    <definedName name="라디안">#REF!</definedName>
    <definedName name="라라">#REF!</definedName>
    <definedName name="라바콘설치현황" localSheetId="0" hidden="1">{"'정산내역서'!$A$1:$I$35","'정산서(절.성토부)'!$A$1:$Q$17","'정산서(교량부)'!$A$1:$Q$84","'총괄표'!$A$1:$M$12","'시행현황'!$A$1:$G$12","'표지'!$A$1:$N$27","'정산서(절.성토부)'!$A$3:$Q$7"}</definedName>
    <definedName name="라바콘설치현황" hidden="1">{"'정산내역서'!$A$1:$I$35","'정산서(절.성토부)'!$A$1:$Q$17","'정산서(교량부)'!$A$1:$Q$84","'총괄표'!$A$1:$M$12","'시행현황'!$A$1:$G$12","'표지'!$A$1:$N$27","'정산서(절.성토부)'!$A$3:$Q$7"}</definedName>
    <definedName name="라인마아카10경비">#REF!</definedName>
    <definedName name="라인마아카10노무비">#REF!</definedName>
    <definedName name="라인마아카10재료비">#REF!</definedName>
    <definedName name="라인마커경">#REF!</definedName>
    <definedName name="라인마커노">#REF!</definedName>
    <definedName name="라인마커재">#REF!</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람마다짐">#REF!</definedName>
    <definedName name="랑">#REF!</definedName>
    <definedName name="램머80KG">#REF!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경">#REF!</definedName>
    <definedName name="램머경비">#REF!</definedName>
    <definedName name="램머노무">#REF!</definedName>
    <definedName name="램머노무비">#REF!</definedName>
    <definedName name="램머노무야간">#REF!</definedName>
    <definedName name="램머손료">#REF!</definedName>
    <definedName name="램머재료">#REF!</definedName>
    <definedName name="램머재료비">#REF!</definedName>
    <definedName name="램프">#REF!</definedName>
    <definedName name="러" localSheetId="0" hidden="1">{#N/A,#N/A,FALSE,"P.C.B"}</definedName>
    <definedName name="러" hidden="1">{#N/A,#N/A,FALSE,"P.C.B"}</definedName>
    <definedName name="러러" localSheetId="0" hidden="1">{#N/A,#N/A,FALSE,"P.C.B"}</definedName>
    <definedName name="러러" hidden="1">{#N/A,#N/A,FALSE,"P.C.B"}</definedName>
    <definedName name="러럴" localSheetId="0" hidden="1">{#N/A,#N/A,FALSE,"P.C.B"}</definedName>
    <definedName name="러럴" hidden="1">{#N/A,#N/A,FALSE,"P.C.B"}</definedName>
    <definedName name="러럴처" localSheetId="0" hidden="1">{#N/A,#N/A,FALSE,"P.C.B"}</definedName>
    <definedName name="러럴처" hidden="1">{#N/A,#N/A,FALSE,"P.C.B"}</definedName>
    <definedName name="러ㅏㄹ">#REF!</definedName>
    <definedName name="러ㅗㄴ머ㅏㄹ">#REF!</definedName>
    <definedName name="레미콘135">#REF!</definedName>
    <definedName name="레미콘150">#REF!</definedName>
    <definedName name="레미콘180">#REF!</definedName>
    <definedName name="레미콘210">#REF!</definedName>
    <definedName name="레미콘240">#REF!</definedName>
    <definedName name="레미콘251608">#REF!</definedName>
    <definedName name="레미콘251808">#REF!</definedName>
    <definedName name="레미콘2521012">#REF!</definedName>
    <definedName name="레미콘252108">#REF!</definedName>
    <definedName name="레미콘2524012">#REF!</definedName>
    <definedName name="레미콘2527012">#REF!</definedName>
    <definedName name="레미콘4013512">#REF!</definedName>
    <definedName name="레미콘401358">#REF!</definedName>
    <definedName name="레미콘401608">#REF!</definedName>
    <definedName name="레미콘401808">#REF!</definedName>
    <definedName name="레미콘4021012">#REF!</definedName>
    <definedName name="레미콘402108">#REF!</definedName>
    <definedName name="레미콘4024012">#REF!</definedName>
    <definedName name="레미콘402408">#REF!</definedName>
    <definedName name="레미콘무노">#REF!</definedName>
    <definedName name="레미콘무재">#REF!</definedName>
    <definedName name="레미콘소노">#REF!</definedName>
    <definedName name="레미콘소운반_경운기__㎥당">#REF!</definedName>
    <definedName name="레미콘소재">#REF!</definedName>
    <definedName name="레미콘수운반DT">[0]!레미콘수운반DT</definedName>
    <definedName name="레미콘집계">#REF!</definedName>
    <definedName name="레미콘철">#REF!</definedName>
    <definedName name="레미콘철노">#REF!</definedName>
    <definedName name="레미콘철재">#REF!</definedName>
    <definedName name="레이어별작업비율">#REF!</definedName>
    <definedName name="레이어작업비율">#REF!</definedName>
    <definedName name="렌즈">#REF!</definedName>
    <definedName name="려">#REF!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#REF!</definedName>
    <definedName name="로드머">#REF!</definedName>
    <definedName name="로라경">#REF!</definedName>
    <definedName name="로라노">#REF!</definedName>
    <definedName name="로라재">#REF!</definedName>
    <definedName name="로롤">#N/A</definedName>
    <definedName name="로ㅗㄴ허ㅓㅓㅓㅓㅗㅗㅘ라">#REF!</definedName>
    <definedName name="롣ㄱ모ㅗㅈㅈ">#REF!</definedName>
    <definedName name="롤라경비">#REF!</definedName>
    <definedName name="롤라노무비">#REF!</definedName>
    <definedName name="롤라재료비">#REF!</definedName>
    <definedName name="롤호" localSheetId="28">BlankMacro1</definedName>
    <definedName name="롤호" localSheetId="24">BlankMacro1</definedName>
    <definedName name="롤호" localSheetId="26">BlankMacro1</definedName>
    <definedName name="롤호" localSheetId="27">BlankMacro1</definedName>
    <definedName name="롤호">BlankMacro1</definedName>
    <definedName name="롬ㄴ" hidden="1">#REF!</definedName>
    <definedName name="롱" hidden="1">{#N/A,#N/A,FALSE,"배수2"}</definedName>
    <definedName name="롸" hidden="1">#REF!</definedName>
    <definedName name="뢰" hidden="1">#REF!</definedName>
    <definedName name="료" hidden="1">{"'용역비'!$A$4:$C$8"}</definedName>
    <definedName name="료ㅓㅛㅏㅛㅈ">#REF!</definedName>
    <definedName name="료ㅗㅓ교ㅏ">#REF!</definedName>
    <definedName name="루바">#REF!</definedName>
    <definedName name="루베">#REF!</definedName>
    <definedName name="루사" hidden="1">#REF!</definedName>
    <definedName name="루핑공">#REF!</definedName>
    <definedName name="류" hidden="1">{#N/A,#N/A,FALSE,"부대2"}</definedName>
    <definedName name="륧" localSheetId="28">BlankMacro1</definedName>
    <definedName name="륧" localSheetId="24">BlankMacro1</definedName>
    <definedName name="륧" localSheetId="26">BlankMacro1</definedName>
    <definedName name="륧" localSheetId="27">BlankMacro1</definedName>
    <definedName name="륧">BlankMacro1</definedName>
    <definedName name="를" hidden="1">#REF!</definedName>
    <definedName name="리벳공">#REF!</definedName>
    <definedName name="리브두께">#REF!</definedName>
    <definedName name="리브폭">#REF!</definedName>
    <definedName name="ㄻㄴㄹㅇㄴㅁ" hidden="1">{#N/A,#N/A,FALSE,"운반시간"}</definedName>
    <definedName name="ㄻㄴㄻㄴㅇㄻㄴ" hidden="1">{#N/A,#N/A,FALSE,"표지목차"}</definedName>
    <definedName name="ㄻㄴㅇㄻㄴ" hidden="1">{#N/A,#N/A,FALSE,"단가표지"}</definedName>
    <definedName name="ㄻㄴㅇㄻㄴㄹ" hidden="1">{#N/A,#N/A,FALSE,"2~8번"}</definedName>
    <definedName name="ㄻㄴㅇㄻㄴㄻㄴㅁㄴ" hidden="1">{#N/A,#N/A,FALSE,"단가표지"}</definedName>
    <definedName name="ㄻㄴㅇㄻㄴㅁ" hidden="1">{#N/A,#N/A,FALSE,"운반시간"}</definedName>
    <definedName name="ㄻㄴㅇㄻㄴㅇ" hidden="1">{#N/A,#N/A,FALSE,"단가표지"}</definedName>
    <definedName name="ㄻㄴㅇㄻㄴㅇㄻ" hidden="1">{#N/A,#N/A,FALSE,"표지목차"}</definedName>
    <definedName name="ㄻㄴㅇㅁㄴㅇ" hidden="1">{#N/A,#N/A,FALSE,"단가표지"}</definedName>
    <definedName name="ㄻㅁ" hidden="1">{#N/A,#N/A,FALSE,"조골재"}</definedName>
    <definedName name="ㄻㅇㄴㄻㄴㅇ">#REF!</definedName>
    <definedName name="ㄻㅇㅎㅁㅎㅎㅎㅎ">#REF!</definedName>
    <definedName name="ㅀ" localSheetId="0" hidden="1">{#N/A,#N/A,TRUE,"토적및재료집계";#N/A,#N/A,TRUE,"토적및재료집계";#N/A,#N/A,TRUE,"단위량"}</definedName>
    <definedName name="ㅀ" hidden="1">{#N/A,#N/A,TRUE,"토적및재료집계";#N/A,#N/A,TRUE,"토적및재료집계";#N/A,#N/A,TRUE,"단위량"}</definedName>
    <definedName name="ㅀㄱㅎㄱㅎㄱㅎ">#N/A</definedName>
    <definedName name="ㅀㄹㅇㅎ" hidden="1">{#N/A,#N/A,FALSE,"포장단가"}</definedName>
    <definedName name="ㅀㅀㄴ" localSheetId="0" hidden="1">{#N/A,#N/A,FALSE,"조골재"}</definedName>
    <definedName name="ㅀㅀㄴ" hidden="1">{#N/A,#N/A,FALSE,"조골재"}</definedName>
    <definedName name="ㅀㅇㅁ" hidden="1">{#N/A,#N/A,FALSE,"골재소요량";#N/A,#N/A,FALSE,"골재소요량"}</definedName>
    <definedName name="ㅀㅎ" localSheetId="0" hidden="1">{#N/A,#N/A,FALSE,"2~8번"}</definedName>
    <definedName name="ㅀㅎ" hidden="1">{#N/A,#N/A,FALSE,"2~8번"}</definedName>
    <definedName name="ㅀㅎㅊㅌ">#REF!</definedName>
    <definedName name="ㅀㅎㅎ" hidden="1">{#N/A,#N/A,FALSE,"포장단가"}</definedName>
    <definedName name="ㅁ" localSheetId="19">#REF!</definedName>
    <definedName name="ㅁ" localSheetId="21">#REF!</definedName>
    <definedName name="ㅁ" localSheetId="23">#REF!</definedName>
    <definedName name="ㅁ" localSheetId="3">#REF!</definedName>
    <definedName name="ㅁ" localSheetId="5">#REF!</definedName>
    <definedName name="ㅁ" localSheetId="7">#REF!</definedName>
    <definedName name="ㅁ" localSheetId="9">#REF!</definedName>
    <definedName name="ㅁ" localSheetId="11">#REF!</definedName>
    <definedName name="ㅁ" localSheetId="13">#REF!</definedName>
    <definedName name="ㅁ" localSheetId="15">#REF!</definedName>
    <definedName name="ㅁ" localSheetId="17">#REF!</definedName>
    <definedName name="ㅁ" localSheetId="0">#REF!</definedName>
    <definedName name="ㅁ">#REF!</definedName>
    <definedName name="ㅁ_1" localSheetId="0" hidden="1">{#N/A,#N/A,FALSE,"조골재"}</definedName>
    <definedName name="ㅁ_1" hidden="1">{#N/A,#N/A,FALSE,"조골재"}</definedName>
    <definedName name="ㅁ0">#REF!</definedName>
    <definedName name="ㅁ1" localSheetId="19">#REF!</definedName>
    <definedName name="ㅁ1" localSheetId="21">#REF!</definedName>
    <definedName name="ㅁ1" localSheetId="23">#REF!</definedName>
    <definedName name="ㅁ1" localSheetId="3">#REF!</definedName>
    <definedName name="ㅁ1" localSheetId="5">#REF!</definedName>
    <definedName name="ㅁ1" localSheetId="7">#REF!</definedName>
    <definedName name="ㅁ1" localSheetId="9">#REF!</definedName>
    <definedName name="ㅁ1" localSheetId="11">#REF!</definedName>
    <definedName name="ㅁ1" localSheetId="13">#REF!</definedName>
    <definedName name="ㅁ1" localSheetId="15">#REF!</definedName>
    <definedName name="ㅁ1" localSheetId="17">#REF!</definedName>
    <definedName name="ㅁ1" localSheetId="0">#REF!</definedName>
    <definedName name="ㅁ1">#REF!</definedName>
    <definedName name="ㅁ100">#REF!</definedName>
    <definedName name="ㅁ1000">#REF!</definedName>
    <definedName name="ㅁ1100">#REF!</definedName>
    <definedName name="ㅁ1140">#REF!</definedName>
    <definedName name="ㅁ165">#REF!</definedName>
    <definedName name="ㅁ170">#REF!</definedName>
    <definedName name="ㅁ1700">#REF!</definedName>
    <definedName name="ㅁ1800">#REF!</definedName>
    <definedName name="ㅁ1882">#REF!</definedName>
    <definedName name="ㅁ2" localSheetId="0">#REF!</definedName>
    <definedName name="ㅁ2">#REF!</definedName>
    <definedName name="ㅁ219">#REF!</definedName>
    <definedName name="ㅁ2200">#REF!</definedName>
    <definedName name="ㅁ2400">#REF!</definedName>
    <definedName name="ㅁ250">#REF!</definedName>
    <definedName name="ㅁ270">#REF!</definedName>
    <definedName name="ㅁ309">#REF!</definedName>
    <definedName name="ㅁ331">#REF!</definedName>
    <definedName name="ㅁ500">#REF!</definedName>
    <definedName name="ㅁ54">#REF!</definedName>
    <definedName name="ㅁ60">#REF!</definedName>
    <definedName name="ㅁ636">#REF!</definedName>
    <definedName name="ㅁ638">#REF!</definedName>
    <definedName name="ㅁ641">#REF!</definedName>
    <definedName name="ㅁ700">#REF!</definedName>
    <definedName name="ㅁ750">#REF!</definedName>
    <definedName name="ㅁ800">#REF!</definedName>
    <definedName name="ㅁ8529">#REF!</definedName>
    <definedName name="ㅁa1140">#REF!</definedName>
    <definedName name="ㅁㄴ" localSheetId="0" hidden="1">{#N/A,#N/A,FALSE,"2~8번"}</definedName>
    <definedName name="ㅁㄴ" hidden="1">{#N/A,#N/A,FALSE,"2~8번"}</definedName>
    <definedName name="ㅁㄴ_1" localSheetId="0" hidden="1">{#N/A,#N/A,FALSE,"2~8번"}</definedName>
    <definedName name="ㅁㄴ_1" hidden="1">{#N/A,#N/A,FALSE,"2~8번"}</definedName>
    <definedName name="ㅁㄴㄱㄱㄱㅈㅈㄷㄱㅎㅅ">#REF!</definedName>
    <definedName name="ㅁㄴ고ㄴ곡조">#REF!</definedName>
    <definedName name="ㅁㄴ곻ㅁㄴ곰ㄴㄷ고">#REF!</definedName>
    <definedName name="ㅁㄴㄷ굡ㄷ교">#REF!</definedName>
    <definedName name="ㅁㄴㄷㄷ">#REF!</definedName>
    <definedName name="ㅁㄴㄹㄴ" hidden="1">{#N/A,#N/A,FALSE,"운반시간"}</definedName>
    <definedName name="ㅁㄴㄹㅇㅁ" hidden="1">{#N/A,#N/A,FALSE,"단가표지"}</definedName>
    <definedName name="ㅁㄴㄺㅁㅅㄷㅂ">#REF!</definedName>
    <definedName name="ㅁㄴㅁㄴㅁ">#REF!</definedName>
    <definedName name="ㅁㄴㅁㅇㄴㅁㄴㅇ" localSheetId="0" hidden="1">{#N/A,#N/A,FALSE,"조골재"}</definedName>
    <definedName name="ㅁㄴㅁㅇㄴㅁㄴㅇ" hidden="1">{#N/A,#N/A,FALSE,"조골재"}</definedName>
    <definedName name="ㅁㄴㅇ_1" localSheetId="0" hidden="1">{#N/A,#N/A,FALSE,"운반시간"}</definedName>
    <definedName name="ㅁㄴㅇ_1" hidden="1">{#N/A,#N/A,FALSE,"운반시간"}</definedName>
    <definedName name="ㅁㄴㅇㄱㄻㅈㄷㄱㄹ">#REF!</definedName>
    <definedName name="ㅁㄴㅇㄴ" localSheetId="0" hidden="1">{#N/A,#N/A,TRUE,"토적및재료집계";#N/A,#N/A,TRUE,"토적및재료집계";#N/A,#N/A,TRUE,"단위량"}</definedName>
    <definedName name="ㅁㄴㅇㄴ" hidden="1">{#N/A,#N/A,TRUE,"토적및재료집계";#N/A,#N/A,TRUE,"토적및재료집계";#N/A,#N/A,TRUE,"단위량"}</definedName>
    <definedName name="ㅁㄴㅇㄹ" hidden="1">{#N/A,#N/A,TRUE,"토적및재료집계";#N/A,#N/A,TRUE,"토적및재료집계";#N/A,#N/A,TRUE,"단위량"}</definedName>
    <definedName name="ㅁㄴㅇㄹㄴㄹ" hidden="1">{#N/A,"수불부",FALSE,"사급자재수불서";#N/A,"수불부",FALSE,"사급자재수불서"}</definedName>
    <definedName name="ㅁㄴㅇ로호">#REF!</definedName>
    <definedName name="ㅁㄴㅇ류" hidden="1">#REF!</definedName>
    <definedName name="ㅁㄴㅇㄻㄴ" hidden="1">{"'5국공정'!$A$1:$E$128"}</definedName>
    <definedName name="ㅁㄴㅇㄻㄴㅇㄹㄴ" hidden="1">#REF!</definedName>
    <definedName name="ㅁㄴㅇㄻㄴㅇㄹㄴㅁㅎㄴㅇㅎ" hidden="1">{"'용역비'!$A$4:$C$8"}</definedName>
    <definedName name="ㅁㄴㅇㄻㄷㅈㄱㄹ">#REF!</definedName>
    <definedName name="ㅁㄴㅇㄻㄹ" hidden="1">{#N/A,"수불부",FALSE,"사급자재수불서";#N/A,"수불부",FALSE,"사급자재수불서"}</definedName>
    <definedName name="ㅁㄴㅇㄻㅁㅁㅁ">#REF!</definedName>
    <definedName name="ㅁㄴㅇㄻㅈㄷㄱ">#REF!</definedName>
    <definedName name="ㅁㄴㅇㅀ">#REF!</definedName>
    <definedName name="ㅁㄴㅇㅁ" hidden="1">{"'5국공정'!$A$1:$E$128"}</definedName>
    <definedName name="ㅁㄴㅇㅁㄴㅇ" localSheetId="19" hidden="1">#REF!</definedName>
    <definedName name="ㅁㄴㅇㅁㄴㅇ" localSheetId="21" hidden="1">#REF!</definedName>
    <definedName name="ㅁㄴㅇㅁㄴㅇ" localSheetId="23" hidden="1">#REF!</definedName>
    <definedName name="ㅁㄴㅇㅁㄴㅇ" localSheetId="3" hidden="1">#REF!</definedName>
    <definedName name="ㅁㄴㅇㅁㄴㅇ" localSheetId="5" hidden="1">#REF!</definedName>
    <definedName name="ㅁㄴㅇㅁㄴㅇ" localSheetId="7" hidden="1">#REF!</definedName>
    <definedName name="ㅁㄴㅇㅁㄴㅇ" localSheetId="9" hidden="1">#REF!</definedName>
    <definedName name="ㅁㄴㅇㅁㄴㅇ" localSheetId="11" hidden="1">#REF!</definedName>
    <definedName name="ㅁㄴㅇㅁㄴㅇ" localSheetId="13" hidden="1">#REF!</definedName>
    <definedName name="ㅁㄴㅇㅁㄴㅇ" localSheetId="15" hidden="1">#REF!</definedName>
    <definedName name="ㅁㄴㅇㅁㄴㅇ" localSheetId="17" hidden="1">#REF!</definedName>
    <definedName name="ㅁㄴㅇㅁㄴㅇ" hidden="1">#REF!</definedName>
    <definedName name="ㅁㄴㅇㅇㄴ">#REF!</definedName>
    <definedName name="ㅁㄴㅇㅎㅁㄶ">#REF!</definedName>
    <definedName name="ㅁㄴㅇㅎㅎㅈ">#REF!</definedName>
    <definedName name="ㅁㄴㅊㅍㅁㅌㅊ펌ㄴㅇㄹ" hidden="1">#REF!</definedName>
    <definedName name="ㅁㄴㅌㄴ" hidden="1">{"'자리배치도'!$AG$1:$CI$28"}</definedName>
    <definedName name="ㅁㄶㅁㄴ" hidden="1">#REF!</definedName>
    <definedName name="ㅁㄷㄱ" localSheetId="28">BlankMacro1</definedName>
    <definedName name="ㅁㄷㄱ" localSheetId="24">BlankMacro1</definedName>
    <definedName name="ㅁㄷㄱ" localSheetId="26">BlankMacro1</definedName>
    <definedName name="ㅁㄷㄱ" localSheetId="27">BlankMacro1</definedName>
    <definedName name="ㅁㄷㄱ">BlankMacro1</definedName>
    <definedName name="ㅁㄷㄱㄻ">#REF!</definedName>
    <definedName name="ㅁㄷ굡ㄷ5ㅛ">#REF!</definedName>
    <definedName name="ㅁㄷ굡됴">#REF!</definedName>
    <definedName name="ㅁㄷㄺㅁㄷㄹ">#REF!</definedName>
    <definedName name="ㅁㄷㅅㄱㄷㄱ">#REF!</definedName>
    <definedName name="ㅁㄹㄴㅇ" hidden="1">{#N/A,#N/A,FALSE,"단가표지"}</definedName>
    <definedName name="ㅁㄹㄴㅇㄻㄴㄹ" hidden="1">{#N/A,#N/A,FALSE,"골재소요량";#N/A,#N/A,FALSE,"골재소요량"}</definedName>
    <definedName name="ㅁㄹㄴㅇㅁ" hidden="1">{#N/A,#N/A,FALSE,"표지목차"}</definedName>
    <definedName name="ㅁㄹㄹㅇㅁ" hidden="1">{#N/A,#N/A,FALSE,"배수1"}</definedName>
    <definedName name="ㅁㄹㅇㄴ" hidden="1">{#N/A,#N/A,FALSE,"단가표지"}</definedName>
    <definedName name="ㅁㄹㅇㄴㅇㄹ" hidden="1">{#N/A,"수불부",FALSE,"사급자재수불서";#N/A,"수불부",FALSE,"사급자재수불서"}</definedName>
    <definedName name="ㅁㄹㅇㅁㄴ" hidden="1">{#N/A,#N/A,FALSE,"골재소요량";#N/A,#N/A,FALSE,"골재소요량"}</definedName>
    <definedName name="ㅁㄻㄴㄹ" hidden="1">{#N/A,#N/A,FALSE,"골재소요량";#N/A,#N/A,FALSE,"골재소요량"}</definedName>
    <definedName name="ㅁㄻㄴㅇㄹㄴㅇㄹㄴ" hidden="1">#REF!</definedName>
    <definedName name="ㅁㄻㅇㄹㄴ" hidden="1">{#N/A,"수불부",FALSE,"사급자재수불서";#N/A,"수불부",FALSE,"사급자재수불서"}</definedName>
    <definedName name="ㅁㅀㅁㄴ" hidden="1">#REF!</definedName>
    <definedName name="ㅁㅀㅁㅈㄷㄹ">#REF!</definedName>
    <definedName name="ㅁㅁ" localSheetId="0" hidden="1">{#N/A,#N/A,FALSE,"조골재"}</definedName>
    <definedName name="ㅁㅁ" hidden="1">{#N/A,#N/A,FALSE,"조골재"}</definedName>
    <definedName name="ㅁㅁ_1" localSheetId="0" hidden="1">{#N/A,#N/A,FALSE,"조골재"}</definedName>
    <definedName name="ㅁㅁ_1" hidden="1">{#N/A,#N/A,FALSE,"조골재"}</definedName>
    <definedName name="ㅁㅁ185">#REF!</definedName>
    <definedName name="ㅁㅁㅁ" localSheetId="0" hidden="1">{#N/A,#N/A,FALSE,"운반시간"}</definedName>
    <definedName name="ㅁㅁㅁ" hidden="1">{#N/A,#N/A,FALSE,"운반시간"}</definedName>
    <definedName name="ㅁㅁㅁㅁ"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ㅁㅁㅁㅁ" hidden="1">{#N/A,#N/A,FALSE,"손익표지";#N/A,#N/A,FALSE,"손익계산";#N/A,#N/A,FALSE,"일반관리비";#N/A,#N/A,FALSE,"영업외수익";#N/A,#N/A,FALSE,"영업외비용";#N/A,#N/A,FALSE,"매출액";#N/A,#N/A,FALSE,"요약손익";#N/A,#N/A,FALSE,"요약대차";#N/A,#N/A,FALSE,"매출채권현황";#N/A,#N/A,FALSE,"매출채권명세"}</definedName>
    <definedName name="ㅁㅁㅁㅁㅁ" localSheetId="0" hidden="1">{#N/A,#N/A,FALSE,"P.C.B"}</definedName>
    <definedName name="ㅁㅁㅁㅁㅁ" hidden="1">{#N/A,#N/A,FALSE,"P.C.B"}</definedName>
    <definedName name="ㅁㅁㅁㅁㅁㅁ" hidden="1">#REF!</definedName>
    <definedName name="ㅁㅂㄷㅅㅂㅈㄷ효ㅈ">#REF!</definedName>
    <definedName name="ㅁㅂㅁㅂ">#REF!</definedName>
    <definedName name="ㅁ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ㅂㅈㄷㅅㅂㅈ">#REF!</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솜ㄷ섣섣ㅄ">#REF!</definedName>
    <definedName name="ㅁ솜ㄷ소ㅗ">#REF!</definedName>
    <definedName name="ㅁㅇ">#N/A</definedName>
    <definedName name="ㅁㅇㄴㄹㄴㅇㄹㅇㄶ">#REF!</definedName>
    <definedName name="ㅁㅇㄹ">#REF!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ㄴㅇㅁㄹ" hidden="1">{#N/A,#N/A,FALSE,"운반시간"}</definedName>
    <definedName name="ㅁㅇㄹㅈㄷㄱㄹ">#REF!</definedName>
    <definedName name="ㅁㅇ롬ㄷ곡ㅈ">#REF!</definedName>
    <definedName name="ㅁㅇㄻ" hidden="1">{#N/A,#N/A,FALSE,"조골재"}</definedName>
    <definedName name="ㅁㅇㄻㄴㄹ" hidden="1">{#N/A,#N/A,FALSE,"혼합골재"}</definedName>
    <definedName name="ㅁㅇㄻㄴㅇㄹ">#REF!</definedName>
    <definedName name="ㅁㅇㄻㄴㅇㄹㅇㅁㄴㅇㄹ">#REF!</definedName>
    <definedName name="ㅁㅇㄻㄷㄱㄹ">#REF!</definedName>
    <definedName name="ㅁㅇㄻㄷㄺ">#REF!</definedName>
    <definedName name="ㅁㅇㄻㅇㅎ" hidden="1">{#N/A,#N/A,FALSE,"조골재"}</definedName>
    <definedName name="ㅁㅇㄻㅈㄷㄱ">#REF!</definedName>
    <definedName name="ㅁㅇㅀㅁㅇ" hidden="1">{#N/A,#N/A,FALSE,"단가표지"}</definedName>
    <definedName name="ㅁㅇㅎㄻㄷㄱㄹ">#REF!</definedName>
    <definedName name="ㅁㅇㅎㅁㄷㄱ">#REF!</definedName>
    <definedName name="ㅁ인ㅍㅁ닟ㅍㅁㄴㅇㄹ" hidden="1">#REF!</definedName>
    <definedName name="ㅁ읾ㄴㅇㄻ" hidden="1">#REF!</definedName>
    <definedName name="ㅁㅈㄷㄱㅁㅈ3ㄱㄹㅇ">#REF!</definedName>
    <definedName name="ㅁㅈㄷㄱㅁㅈㄷㄱ">#REF!</definedName>
    <definedName name="ㅁㅈㄷㄱㅁㅈㄷㄱㄹ">#REF!</definedName>
    <definedName name="ㅁㅈㄷㅅㅂㄱ흎ㅊ퓨" hidden="1">#REF!</definedName>
    <definedName name="ㅁㅊㅇㅍㅁㄴㅇㄻㄴㅇㄹ" hidden="1">#REF!</definedName>
    <definedName name="ㅁㅎㄻㅇㄻ" hidden="1">{#N/A,#N/A,FALSE,"운반시간"}</definedName>
    <definedName name="ㅁㅎㅁ">#REF!</definedName>
    <definedName name="ㅁㅎㅇㅀㅁㅇ" hidden="1">{#N/A,#N/A,FALSE,"2~8번"}</definedName>
    <definedName name="ㅁㅎㅇㅀㅁㅎ" hidden="1">{#N/A,#N/A,FALSE,"단가표지"}</definedName>
    <definedName name="마" localSheetId="28">BlankMacro1</definedName>
    <definedName name="마" localSheetId="24">BlankMacro1</definedName>
    <definedName name="마" localSheetId="26">BlankMacro1</definedName>
    <definedName name="마" localSheetId="27">BlankMacro1</definedName>
    <definedName name="마">BlankMacro1</definedName>
    <definedName name="마가목">#REF!</definedName>
    <definedName name="마가목R3">#REF!</definedName>
    <definedName name="마가목R5">#REF!</definedName>
    <definedName name="마가목R7">#REF!</definedName>
    <definedName name="마감도급" hidden="1">{#N/A,#N/A,FALSE,"결의서";#N/A,#N/A,FALSE,"내역서";#N/A,#N/A,FALSE,"도급예상";#N/A,#N/A,FALSE,"시방서"}</definedName>
    <definedName name="마대">#REF!</definedName>
    <definedName name="마대_pp">#REF!</definedName>
    <definedName name="마마마">#REF!</definedName>
    <definedName name="마사토">#REF!</definedName>
    <definedName name="마스콘수량">#REF!</definedName>
    <definedName name="마찰각">#REF!</definedName>
    <definedName name="마카담로라">250000</definedName>
    <definedName name="마케담경">#REF!</definedName>
    <definedName name="마케담노무">#REF!</definedName>
    <definedName name="마케담재료">#REF!</definedName>
    <definedName name="막모래">#REF!</definedName>
    <definedName name="막자갈">#REF!</definedName>
    <definedName name="만">#REF!</definedName>
    <definedName name="말" localSheetId="28">BlankMacro1</definedName>
    <definedName name="말" localSheetId="24">BlankMacro1</definedName>
    <definedName name="말" localSheetId="26">BlankMacro1</definedName>
    <definedName name="말" localSheetId="27">BlankMacro1</definedName>
    <definedName name="말">BlankMacro1</definedName>
    <definedName name="말뚝길이">#REF!</definedName>
    <definedName name="말뚝박기노">#REF!</definedName>
    <definedName name="말뚝박기재">#REF!</definedName>
    <definedName name="말뚝속채움">#REF!</definedName>
    <definedName name="말뚝시험비">#REF!</definedName>
    <definedName name="말뚝이">#REF!</definedName>
    <definedName name="말뚝이음">#REF!</definedName>
    <definedName name="말발도리1003">#REF!</definedName>
    <definedName name="말발도리1204">#REF!</definedName>
    <definedName name="말발도리1506">#REF!</definedName>
    <definedName name="망">#REF!</definedName>
    <definedName name="망루"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폴기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망벤드">#REF!</definedName>
    <definedName name="맞춤형수수료">#REF!</definedName>
    <definedName name="맞춤형수수료2">#REF!</definedName>
    <definedName name="매">#REF!</definedName>
    <definedName name="매끈한마감">#REF!</definedName>
    <definedName name="매당가격">#REF!</definedName>
    <definedName name="매매일">#REF!</definedName>
    <definedName name="매매주식수">#REF!</definedName>
    <definedName name="매입개방">#REF!</definedName>
    <definedName name="매입형C1">#REF!</definedName>
    <definedName name="매입형C2">#REF!</definedName>
    <definedName name="매입형C3">#REF!</definedName>
    <definedName name="매자0804">#REF!</definedName>
    <definedName name="매자1005">#REF!</definedName>
    <definedName name="매캐덤로울러_자주식_8_10TON">#REF!</definedName>
    <definedName name="매캐덤로울러자주식8_10TON">#REF!</definedName>
    <definedName name="매크로1">#REF!</definedName>
    <definedName name="매크로19" localSheetId="11">#REF!</definedName>
    <definedName name="매크로19" localSheetId="13">#REF!</definedName>
    <definedName name="매크로19" localSheetId="15">#REF!</definedName>
    <definedName name="매크로19">#REF!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#REF!</definedName>
    <definedName name="매화R4">#REF!</definedName>
    <definedName name="매화R6">#REF!</definedName>
    <definedName name="매화R8">#REF!</definedName>
    <definedName name="맥문동">#REF!</definedName>
    <definedName name="맥문동1">#REF!</definedName>
    <definedName name="맨홀규격">#REF!</definedName>
    <definedName name="맨홀뚜껑">#REF!</definedName>
    <definedName name="맨홀펌프장">#REF!</definedName>
    <definedName name="맨홀펌프장_배관">#REF!</definedName>
    <definedName name="맨홀호수">#REF!</definedName>
    <definedName name="맨홍3호">#REF!</definedName>
    <definedName name="맷수">#REF!</definedName>
    <definedName name="머" hidden="1">{#N/A,#N/A,FALSE,"명세표"}</definedName>
    <definedName name="머캐덤10경">#REF!</definedName>
    <definedName name="머캐덤10노">#REF!</definedName>
    <definedName name="머캐덤10재">#REF!</definedName>
    <definedName name="머캐덤8경">#REF!</definedName>
    <definedName name="머캐덤8노">#REF!</definedName>
    <definedName name="머캐덤8재">#REF!</definedName>
    <definedName name="머캐덤경">#REF!</definedName>
    <definedName name="머캐덤노">#REF!</definedName>
    <definedName name="머캐덤재">#REF!</definedName>
    <definedName name="메2">#REF!</definedName>
    <definedName name="메3">#REF!</definedName>
    <definedName name="메4">#REF!</definedName>
    <definedName name="메타">#REF!</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메탈">#REF!</definedName>
    <definedName name="멘트">#REF!</definedName>
    <definedName name="면">#REF!</definedName>
    <definedName name="면고르기">#REF!</definedName>
    <definedName name="면벽높이">#REF!</definedName>
    <definedName name="면벽두께">#REF!</definedName>
    <definedName name="면벽파형강관">#REF!</definedName>
    <definedName name="면적">#REF!</definedName>
    <definedName name="명">#REF!</definedName>
    <definedName name="명단" hidden="1">{#N/A,"수불부",FALSE,"사급자재수불서";#N/A,"수불부",FALSE,"사급자재수불서"}</definedName>
    <definedName name="명동동동동">#REF!</definedName>
    <definedName name="명수">#REF!</definedName>
    <definedName name="명자0604">#REF!</definedName>
    <definedName name="명자0805">#REF!</definedName>
    <definedName name="명자1006">#REF!</definedName>
    <definedName name="명자1208">#REF!</definedName>
    <definedName name="모" hidden="1">{#N/A,#N/A,FALSE,"변경관리예산";#N/A,#N/A,FALSE,"변경장비예산";#N/A,#N/A,FALSE,"변경준설예산";#N/A,#N/A,FALSE,"변경철구예산"}</definedName>
    <definedName name="모감주">#REF!</definedName>
    <definedName name="모감주R10">#REF!</definedName>
    <definedName name="모감주R4">#REF!</definedName>
    <definedName name="모감주R6">#REF!</definedName>
    <definedName name="모감주R8">#REF!</definedName>
    <definedName name="모감주나무H3.0xR10">#REF!</definedName>
    <definedName name="모과10">#REF!</definedName>
    <definedName name="모과15">#REF!</definedName>
    <definedName name="모과2005">#REF!</definedName>
    <definedName name="모과2507">#REF!</definedName>
    <definedName name="모과R10">#REF!</definedName>
    <definedName name="모과R12">#REF!</definedName>
    <definedName name="모과R15">#REF!</definedName>
    <definedName name="모과R20">#REF!</definedName>
    <definedName name="모과R25">#REF!</definedName>
    <definedName name="모과R5">#REF!</definedName>
    <definedName name="모과R8">#REF!</definedName>
    <definedName name="모과나무H2.5">#REF!</definedName>
    <definedName name="모과나무H3.5">#REF!</definedName>
    <definedName name="모란5가지">#REF!</definedName>
    <definedName name="모란6가지">#REF!</definedName>
    <definedName name="모래">#REF!</definedName>
    <definedName name="모래1">#REF!</definedName>
    <definedName name="모래180규격">#REF!</definedName>
    <definedName name="모래90규격">#REF!</definedName>
    <definedName name="모래구입운반_덤프15톤_경운기_㎥당">#REF!</definedName>
    <definedName name="모래기초">#REF!</definedName>
    <definedName name="모래기초_깊이">#REF!</definedName>
    <definedName name="모래기초폭__상부">#REF!</definedName>
    <definedName name="모래노">#REF!</definedName>
    <definedName name="모래두께__관상부">#REF!</definedName>
    <definedName name="모래두께__관하부">#REF!</definedName>
    <definedName name="모래막이노">#REF!</definedName>
    <definedName name="모래막이재">#REF!</definedName>
    <definedName name="모래사장노">#REF!</definedName>
    <definedName name="모래사장재">#REF!</definedName>
    <definedName name="모래운반">[0]!모래운반</definedName>
    <definedName name="모래운반경">#REF!</definedName>
    <definedName name="모래운반노">#REF!</definedName>
    <definedName name="모래운반재">#REF!</definedName>
    <definedName name="모래재">#REF!</definedName>
    <definedName name="모래필터층경비">#REF!</definedName>
    <definedName name="모래필터층노무비">#REF!</definedName>
    <definedName name="모래필터층재료비">#REF!</definedName>
    <definedName name="모자이크">#REF!</definedName>
    <definedName name="모터경">#REF!</definedName>
    <definedName name="모터노무비">#REF!</definedName>
    <definedName name="모터재료">#REF!</definedName>
    <definedName name="모형01">#REF!</definedName>
    <definedName name="모형표지" hidden="1">{"'용역비'!$A$4:$C$8"}</definedName>
    <definedName name="목">#REF!</definedName>
    <definedName name="목____도">#REF!</definedName>
    <definedName name="목공">#N/A</definedName>
    <definedName name="목공사번호">#REF!</definedName>
    <definedName name="목도">#REF!</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대상표">#REF!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자판">#REF!</definedName>
    <definedName name="목재">#REF!</definedName>
    <definedName name="목재가공">#REF!</definedName>
    <definedName name="목재경비">#REF!</definedName>
    <definedName name="목재노무">#REF!</definedName>
    <definedName name="목재재료">#REF!</definedName>
    <definedName name="목조각공">#REF!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#REF!</definedName>
    <definedName name="목차1">#REF!</definedName>
    <definedName name="목차표">#REF!</definedName>
    <definedName name="목포공항" localSheetId="11">#REF!,#REF!</definedName>
    <definedName name="목포공항" localSheetId="13">#REF!,#REF!</definedName>
    <definedName name="목포공항" localSheetId="15">#REF!,#REF!</definedName>
    <definedName name="목포공항">#REF!,#REF!</definedName>
    <definedName name="몰라" hidden="1">{#N/A,#N/A,FALSE,"명세표"}</definedName>
    <definedName name="몰탈">#REF!</definedName>
    <definedName name="몰탈노">#REF!</definedName>
    <definedName name="몰탈재">#REF!</definedName>
    <definedName name="몰탈콘크리트">#REF!</definedName>
    <definedName name="못">#REF!</definedName>
    <definedName name="못25">#REF!</definedName>
    <definedName name="못50">#REF!</definedName>
    <definedName name="못75">#REF!</definedName>
    <definedName name="무1">#REF!,#REF!,#REF!,#REF!,#REF!,#REF!</definedName>
    <definedName name="무10">#REF!,#REF!,#REF!,#REF!,#REF!,#REF!,#REF!</definedName>
    <definedName name="무11">#REF!,#REF!,#REF!,#REF!,#REF!,#REF!,#REF!</definedName>
    <definedName name="무12">#REF!,#REF!,#REF!,#REF!,#REF!,#REF!,#REF!</definedName>
    <definedName name="무13">#REF!,#REF!,#REF!,#REF!,#REF!,#REF!,#REF!</definedName>
    <definedName name="무14">#REF!,#REF!,#REF!,#REF!,#REF!,#REF!,#REF!</definedName>
    <definedName name="무15">#REF!,#REF!,#REF!,#REF!,#REF!</definedName>
    <definedName name="무2">#REF!,#REF!,#REF!,#REF!,#REF!,#REF!,#REF!</definedName>
    <definedName name="무3">#REF!,#REF!,#REF!,#REF!,#REF!,#REF!,#REF!</definedName>
    <definedName name="무4">#REF!,#REF!,#REF!,#REF!,#REF!,#REF!,#REF!</definedName>
    <definedName name="무5">#REF!,#REF!,#REF!,#REF!,#REF!,#REF!,#REF!</definedName>
    <definedName name="무6">#REF!,#REF!,#REF!,#REF!,#REF!,#REF!,#REF!</definedName>
    <definedName name="무7">#REF!,#REF!,#REF!,#REF!,#REF!,#REF!,#REF!</definedName>
    <definedName name="무8">#REF!,#REF!,#REF!,#REF!,#REF!,#REF!,#REF!</definedName>
    <definedName name="무9">#REF!,#REF!,#REF!,#REF!,#REF!,#REF!,#REF!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근">#REF!</definedName>
    <definedName name="무근_콘크리트_깨기__기계____㎥당">#REF!</definedName>
    <definedName name="무근_콘크리트_깨기__기계____㎥당__소운반_제외">#REF!</definedName>
    <definedName name="무근_콘크리트_깨기__기계___T_30㎝미만대형___㎥당">#REF!</definedName>
    <definedName name="무근_콘크리트_깨기__인력____㎥당">#REF!</definedName>
    <definedName name="무근_콘크리트_깨기__인력____㎥당__소운반_제외">#REF!</definedName>
    <definedName name="무근_콘크리트_깨기__인력_20__기계_80_____㎥당">#REF!</definedName>
    <definedName name="무근_콘크리트_깨기__인력_20__기계_80__소운반제외____㎥당">#REF!</definedName>
    <definedName name="무근180">#REF!</definedName>
    <definedName name="무근콘크리트타설">#REF!</definedName>
    <definedName name="무근콘크리트헐기">#REF!</definedName>
    <definedName name="무기질노">#REF!</definedName>
    <definedName name="무기질재">#REF!</definedName>
    <definedName name="무농1호">#REF!</definedName>
    <definedName name="무농2호">#REF!</definedName>
    <definedName name="무늬거푸집">#REF!</definedName>
    <definedName name="무면1">#REF!,#REF!,#REF!,#REF!,#REF!,#REF!</definedName>
    <definedName name="무면10">#REF!,#REF!,#REF!,#REF!,#REF!,#REF!,#REF!</definedName>
    <definedName name="무면11">#REF!,#REF!,#REF!,#REF!,#REF!,#REF!,#REF!</definedName>
    <definedName name="무면12">#REF!,#REF!,#REF!,#REF!,#REF!,#REF!,#REF!</definedName>
    <definedName name="무면13">#REF!,#REF!,#REF!,#REF!,#REF!,#REF!,#REF!</definedName>
    <definedName name="무면14">#REF!,#REF!,#REF!,#REF!,#REF!,#REF!,#REF!</definedName>
    <definedName name="무면15">#REF!,#REF!,#REF!,#REF!,#REF!</definedName>
    <definedName name="무면2">#REF!,#REF!,#REF!,#REF!,#REF!,#REF!,#REF!</definedName>
    <definedName name="무면3">#REF!,#REF!,#REF!,#REF!,#REF!,#REF!,#REF!</definedName>
    <definedName name="무면4">#REF!,#REF!,#REF!,#REF!,#REF!,#REF!,#REF!</definedName>
    <definedName name="무면5">#REF!,#REF!,#REF!,#REF!,#REF!,#REF!,#REF!</definedName>
    <definedName name="무면6">#REF!,#REF!,#REF!,#REF!,#REF!,#REF!,#REF!</definedName>
    <definedName name="무면7">#REF!,#REF!,#REF!,#REF!,#REF!,#REF!,#REF!</definedName>
    <definedName name="무면8">#REF!,#REF!,#REF!,#REF!,#REF!,#REF!,#REF!</definedName>
    <definedName name="무면9">#REF!,#REF!,#REF!,#REF!,#REF!,#REF!,#REF!</definedName>
    <definedName name="무선안테나공" localSheetId="2">#REF!</definedName>
    <definedName name="무선안테나공">#REF!</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한궤도크레인10TON_0.29M3_">#REF!</definedName>
    <definedName name="문화재">#REF!</definedName>
    <definedName name="물">#REF!</definedName>
    <definedName name="물가">#REF!</definedName>
    <definedName name="물가2">#REF!</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순">#REF!</definedName>
    <definedName name="물가자료">#REF!</definedName>
    <definedName name="물가제외순공사비">#REF!</definedName>
    <definedName name="물경">#REF!</definedName>
    <definedName name="물관경비">#REF!</definedName>
    <definedName name="물관노무">#REF!</definedName>
    <definedName name="물관재료">#REF!</definedName>
    <definedName name="물노무">#REF!</definedName>
    <definedName name="물량산출근거" hidden="1">{"'PROFORMA'!$A$1:$H$120"}</definedName>
    <definedName name="물량산출안" hidden="1">{"'PROFORMA'!$A$1:$H$120"}</definedName>
    <definedName name="물류" hidden="1">{"'5국공정'!$A$1:$E$128"}</definedName>
    <definedName name="물수경비">#REF!</definedName>
    <definedName name="물수노무">#REF!</definedName>
    <definedName name="물수재료">#REF!</definedName>
    <definedName name="물싸리노">#REF!</definedName>
    <definedName name="물싸리재">#REF!</definedName>
    <definedName name="물억새노">#REF!</definedName>
    <definedName name="물억새재">#REF!</definedName>
    <definedName name="물재료">#REF!</definedName>
    <definedName name="물탱크">#REF!</definedName>
    <definedName name="물탱크5500L">#REF!</definedName>
    <definedName name="물탱크5500경비">#REF!</definedName>
    <definedName name="물탱크5500노무비">#REF!</definedName>
    <definedName name="물탱크5500재료비">#REF!</definedName>
    <definedName name="물탱크경">#REF!</definedName>
    <definedName name="물탱크노">#REF!</definedName>
    <definedName name="물탱크재">#REF!</definedName>
    <definedName name="물푸레R5">#REF!</definedName>
    <definedName name="물푸레R6">#REF!</definedName>
    <definedName name="물푸레R8">#REF!</definedName>
    <definedName name="물풀" hidden="1">{"'5국공정'!$A$1:$E$128"}</definedName>
    <definedName name="뭐ㅇ야">#REF!</definedName>
    <definedName name="뮤">#REF!</definedName>
    <definedName name="뮤2">#REF!</definedName>
    <definedName name="미" localSheetId="0" hidden="1">{#N/A,#N/A,FALSE,"P.C.B"}</definedName>
    <definedName name="미" hidden="1">{#N/A,#N/A,FALSE,"P.C.B"}</definedName>
    <definedName name="미_장_공">#REF!</definedName>
    <definedName name="미334">#REF!</definedName>
    <definedName name="미끄럼방지수량">#REF!</definedName>
    <definedName name="미서기1200">#REF!</definedName>
    <definedName name="미서기800">#REF!</definedName>
    <definedName name="미선0804">#REF!</definedName>
    <definedName name="미선1206">#REF!</definedName>
    <definedName name="미송">#REF!</definedName>
    <definedName name="미송원목">#REF!</definedName>
    <definedName name="미송판재">#REF!</definedName>
    <definedName name="미오">#REF!</definedName>
    <definedName name="미이" hidden="1">#REF!</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장공사번호">#REF!</definedName>
    <definedName name="미정" localSheetId="0" hidden="1">{#N/A,#N/A,FALSE,"2~8번"}</definedName>
    <definedName name="미정" hidden="1">{#N/A,#N/A,FALSE,"2~8번"}</definedName>
    <definedName name="믹서경">#REF!</definedName>
    <definedName name="믹서노">#REF!</definedName>
    <definedName name="믹서재">#REF!</definedName>
    <definedName name="민" localSheetId="11">[0]!BlankMacro1</definedName>
    <definedName name="민" localSheetId="13">[0]!BlankMacro1</definedName>
    <definedName name="민" localSheetId="15">[0]!BlankMacro1</definedName>
    <definedName name="민" localSheetId="28">[0]!BlankMacro1</definedName>
    <definedName name="민" localSheetId="24">[0]!BlankMacro1</definedName>
    <definedName name="민" localSheetId="26">[0]!BlankMacro1</definedName>
    <definedName name="민" localSheetId="27">[0]!BlankMacro1</definedName>
    <definedName name="민">[0]!BlankMacro1</definedName>
    <definedName name="민경">#REF!</definedName>
    <definedName name="밑변">#REF!</definedName>
    <definedName name="ㅂ" localSheetId="0" hidden="1">{#N/A,#N/A,TRUE,"토적및재료집계";#N/A,#N/A,TRUE,"토적및재료집계";#N/A,#N/A,TRUE,"단위량"}</definedName>
    <definedName name="ㅂ" hidden="1">{#N/A,#N/A,TRUE,"토적및재료집계";#N/A,#N/A,TRUE,"토적및재료집계";#N/A,#N/A,TRUE,"단위량"}</definedName>
    <definedName name="ㅂ35굡35ㅛ">#REF!</definedName>
    <definedName name="ㅂㄱㄱ굑">#REF!</definedName>
    <definedName name="ㅂㄱㄹㄷㅈㅅㄷ4ㅈ" hidden="1">#REF!</definedName>
    <definedName name="ㅂㄷ굡ㄷ교">#REF!</definedName>
    <definedName name="ㅂㄷ굡ㄷ굡ㄷ">#REF!</definedName>
    <definedName name="ㅂㄷ굡ㄷ굡됴">#REF!</definedName>
    <definedName name="ㅂㄷ굡둅ㄷ교ㅛㅛ">#REF!</definedName>
    <definedName name="ㅂㄷ굡둅됴">#REF!</definedName>
    <definedName name="ㅂ됴35ㅛ">#REF!</definedName>
    <definedName name="ㅂ됵ㅂㄷ굡ㄷ교">#REF!</definedName>
    <definedName name="ㅂㄹ">#REF!</definedName>
    <definedName name="ㅂㅁㄷㅎ">#REF!</definedName>
    <definedName name="ㅂㅂ">#REF!</definedName>
    <definedName name="ㅂㅂ굡됴">#REF!</definedName>
    <definedName name="ㅂㅂㅂ">#REF!</definedName>
    <definedName name="ㅂㅂㅂㅂ" localSheetId="0" hidden="1">{#N/A,#N/A,FALSE,"P.C.B"}</definedName>
    <definedName name="ㅂㅂㅂㅂ" hidden="1">{#N/A,#N/A,FALSE,"P.C.B"}</definedName>
    <definedName name="ㅂㅂㅂㅂㅂ">#REF!</definedName>
    <definedName name="ㅂㅂㅂㅂㅂㅂ" localSheetId="0" hidden="1">{#N/A,#N/A,FALSE,"P.C.B"}</definedName>
    <definedName name="ㅂㅂㅂㅂㅂㅂ" hidden="1">{#N/A,#N/A,FALSE,"P.C.B"}</definedName>
    <definedName name="ㅂㅂㅂㅂㅂㅂㅂ" hidden="1">{#N/A,#N/A,FALSE,"명세표"}</definedName>
    <definedName name="ㅂㅂㅂㅂㅂㅂㅂㅂㅂㅂ뵤">#REF!</definedName>
    <definedName name="ㅂㅇ">#REF!</definedName>
    <definedName name="ㅂㅈ" localSheetId="0" hidden="1">{#N/A,#N/A,FALSE,"2~8번"}</definedName>
    <definedName name="ㅂㅈ" hidden="1">{#N/A,#N/A,FALSE,"2~8번"}</definedName>
    <definedName name="ㅂㅈ_1" localSheetId="0" hidden="1">{#N/A,#N/A,FALSE,"2~8번"}</definedName>
    <definedName name="ㅂㅈ_1" hidden="1">{#N/A,#N/A,FALSE,"2~8번"}</definedName>
    <definedName name="ㅂㅈㄱㅂㅈ">#REF!</definedName>
    <definedName name="ㅂㅈㄱㅂㅈㅅ">#REF!</definedName>
    <definedName name="ㅂㅈㄷ">#REF!</definedName>
    <definedName name="ㅂㅈㄷㄱㅂㄷㄽㄱ">#REF!</definedName>
    <definedName name="ㅂㅈㄷㄱㅈㅂ" hidden="1">#REF!</definedName>
    <definedName name="ㅂㅈㄷㅅㅂㄷㄷㅈㄷ">#REF!</definedName>
    <definedName name="ㅂㅈㅂㅈ" localSheetId="11">#REF!,#REF!</definedName>
    <definedName name="ㅂㅈㅂㅈ" localSheetId="13">#REF!,#REF!</definedName>
    <definedName name="ㅂㅈㅂㅈ" localSheetId="15">#REF!,#REF!</definedName>
    <definedName name="ㅂㅈㅂㅈ">#REF!,#REF!</definedName>
    <definedName name="ㅂㅈㅂㅈㅂㅈ">#REF!</definedName>
    <definedName name="ㅂㅈㅈ">#REF!</definedName>
    <definedName name="ㅂㅎ">#REF!</definedName>
    <definedName name="ㅂㅎㅁㅇㅀ">#REF!</definedName>
    <definedName name="ㅂㅎ소ㅛㄷㄱ쇼">#REF!</definedName>
    <definedName name="ㅂㅎㅎㅁ">#REF!</definedName>
    <definedName name="바" localSheetId="28">BlankMacro1</definedName>
    <definedName name="바" localSheetId="24">BlankMacro1</definedName>
    <definedName name="바" localSheetId="26">BlankMacro1</definedName>
    <definedName name="바" localSheetId="27">BlankMacro1</definedName>
    <definedName name="바">BlankMacro1</definedName>
    <definedName name="바닥몰">#REF!</definedName>
    <definedName name="바람경비">#REF!</definedName>
    <definedName name="바람노무">#REF!</definedName>
    <definedName name="바람재료">#REF!</definedName>
    <definedName name="바부" hidden="1">{"'용역비'!$A$4:$C$8"}</definedName>
    <definedName name="바이브레타공">#REF!</definedName>
    <definedName name="바이오">#REF!</definedName>
    <definedName name="박" localSheetId="0" hidden="1">{#N/A,#N/A,FALSE,"P.C.B"}</definedName>
    <definedName name="박" hidden="1">{#N/A,#N/A,FALSE,"P.C.B"}</definedName>
    <definedName name="박리제">#REF!</definedName>
    <definedName name="박태기">#REF!</definedName>
    <definedName name="박피">#REF!</definedName>
    <definedName name="반사" hidden="1">{#N/A,#N/A,FALSE,"포장단가"}</definedName>
    <definedName name="반송1012">#REF!</definedName>
    <definedName name="반송1215">#REF!</definedName>
    <definedName name="반송1518">#REF!</definedName>
    <definedName name="반송1520">#REF!</definedName>
    <definedName name="반송2022">#REF!</definedName>
    <definedName name="반여수량">#REF!</definedName>
    <definedName name="반자동1기" hidden="1">{#N/A,#N/A,FALSE,"전력간선"}</definedName>
    <definedName name="반중력산근">#REF!</definedName>
    <definedName name="받침철물">#REF!</definedName>
    <definedName name="발전기25KW">#REF!</definedName>
    <definedName name="발주처">#REF!</definedName>
    <definedName name="발파암경">#REF!</definedName>
    <definedName name="발파암노">#REF!</definedName>
    <definedName name="발파암재">#REF!</definedName>
    <definedName name="발행회사명">#REF!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류펌프">#REF!</definedName>
    <definedName name="방송" localSheetId="28">BlankMacro1</definedName>
    <definedName name="방송" localSheetId="24">BlankMacro1</definedName>
    <definedName name="방송" localSheetId="26">BlankMacro1</definedName>
    <definedName name="방송" localSheetId="27">BlankMacro1</definedName>
    <definedName name="방송">BlankMacro1</definedName>
    <definedName name="방수공" localSheetId="2">#REF!</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단열공사번호">#REF!</definedName>
    <definedName name="방수몰탈">#REF!</definedName>
    <definedName name="방수액">#REF!</definedName>
    <definedName name="방열기">#REF!</definedName>
    <definedName name="방음벽1" localSheetId="0" hidden="1">{#N/A,#N/A,FALSE,"운반시간"}</definedName>
    <definedName name="방음벽1" hidden="1">{#N/A,#N/A,FALSE,"운반시간"}</definedName>
    <definedName name="방진.도금">#REF!</definedName>
    <definedName name="방호벽">#REF!</definedName>
    <definedName name="배" hidden="1">#REF!</definedName>
    <definedName name="배_관_공">#REF!</definedName>
    <definedName name="배고">#REF!</definedName>
    <definedName name="배관공" localSheetId="2">#REF!</definedName>
    <definedName name="배관공">#REF!</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배선산출근거양식">#REF!</definedName>
    <definedName name="배관자재중량">#REF!</definedName>
    <definedName name="배기">#REF!</definedName>
    <definedName name="배롱">#REF!</definedName>
    <definedName name="배롱나무H2.5xR7">#REF!</definedName>
    <definedName name="배롱나무H3.5xR20">#REF!</definedName>
    <definedName name="배부율">#REF!</definedName>
    <definedName name="배선공">#REF!</definedName>
    <definedName name="배선전공">#REF!</definedName>
    <definedName name="배수">#REF!</definedName>
    <definedName name="배수2" hidden="1">{#N/A,#N/A,FALSE,"배수1"}</definedName>
    <definedName name="배수개선">#REF!</definedName>
    <definedName name="배수경비">#REF!</definedName>
    <definedName name="배수공A83">#REF!</definedName>
    <definedName name="배수공표지">#REF!</definedName>
    <definedName name="배수관날개벽집계">#REF!</definedName>
    <definedName name="배수관이음관일위2">#REF!</definedName>
    <definedName name="배수관일위2">#REF!</definedName>
    <definedName name="배수구조물공총재">#REF!</definedName>
    <definedName name="배수구조물토공">#REF!</definedName>
    <definedName name="배수노무">#REF!</definedName>
    <definedName name="배수로" hidden="1">{"'중기작업1'!$A$1:$V$18"}</definedName>
    <definedName name="배수로총집계" hidden="1">{"'중기작업1'!$A$1:$V$18"}</definedName>
    <definedName name="배수재료">#REF!</definedName>
    <definedName name="배수지랄">#REF!</definedName>
    <definedName name="배수특성">#REF!</definedName>
    <definedName name="배전">#REF!</definedName>
    <definedName name="배전전공" localSheetId="2">#REF!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백">#REF!</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만">#REF!</definedName>
    <definedName name="백목련">#REF!</definedName>
    <definedName name="백업제">#REF!</definedName>
    <definedName name="백열등100W">#REF!</definedName>
    <definedName name="백열등30W">#REF!</definedName>
    <definedName name="백열등60W">#REF!</definedName>
    <definedName name="백인섭" hidden="1">{"'5국공정'!$A$1:$E$128"}</definedName>
    <definedName name="백철쭉H0.3">#REF!</definedName>
    <definedName name="백호0.4경">#REF!</definedName>
    <definedName name="백호0.4노">#REF!</definedName>
    <definedName name="백호0.4재">#REF!</definedName>
    <definedName name="백호0.7경">#REF!</definedName>
    <definedName name="백호0.7노">#REF!</definedName>
    <definedName name="백호0.7재">#REF!</definedName>
    <definedName name="백호02">230000</definedName>
    <definedName name="백호04경">#REF!</definedName>
    <definedName name="백호04노">#REF!</definedName>
    <definedName name="백호04재">#REF!</definedName>
    <definedName name="백호06">300000</definedName>
    <definedName name="백호10">250000</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작업효율">#REF!</definedName>
    <definedName name="밸브소켓16">#REF!</definedName>
    <definedName name="밸브소켓20">#REF!</definedName>
    <definedName name="밸브소켓25">#REF!</definedName>
    <definedName name="밸브소켓30">#REF!</definedName>
    <definedName name="밸브소켓40">#REF!</definedName>
    <definedName name="밸브소켓50">#REF!</definedName>
    <definedName name="밸브소켓65">#REF!</definedName>
    <definedName name="버림콘크리트">#REF!</definedName>
    <definedName name="버즘">#REF!</definedName>
    <definedName name="버터400">#REF!</definedName>
    <definedName name="버터500">#REF!</definedName>
    <definedName name="버터600">#REF!</definedName>
    <definedName name="버팀1단">#REF!</definedName>
    <definedName name="버팀2단">#REF!</definedName>
    <definedName name="버팀간격">#REF!</definedName>
    <definedName name="버팀규격">#REF!</definedName>
    <definedName name="버팀목">#REF!</definedName>
    <definedName name="버팀목EA">#REF!</definedName>
    <definedName name="버팀수량">#REF!</definedName>
    <definedName name="번들1호">#REF!</definedName>
    <definedName name="번들2호">#REF!</definedName>
    <definedName name="번들3호">#REF!</definedName>
    <definedName name="번호" localSheetId="19">#REF!</definedName>
    <definedName name="번호" localSheetId="21">#REF!</definedName>
    <definedName name="번호" localSheetId="23">#REF!</definedName>
    <definedName name="번호" localSheetId="3">#REF!</definedName>
    <definedName name="번호" localSheetId="5">#REF!</definedName>
    <definedName name="번호" localSheetId="7">#REF!</definedName>
    <definedName name="번호" localSheetId="9">#REF!</definedName>
    <definedName name="번호" localSheetId="11">#REF!</definedName>
    <definedName name="번호" localSheetId="13">#REF!</definedName>
    <definedName name="번호" localSheetId="15">#REF!</definedName>
    <definedName name="번호" localSheetId="17">#REF!</definedName>
    <definedName name="번호">#REF!</definedName>
    <definedName name="번호1">#REF!</definedName>
    <definedName name="번호2">#REF!</definedName>
    <definedName name="벌개_제근공___㎡_당">#REF!</definedName>
    <definedName name="벌목공011">#REF!</definedName>
    <definedName name="벌목부">#REF!</definedName>
    <definedName name="벌목부001">#REF!</definedName>
    <definedName name="벌목부002">#REF!</definedName>
    <definedName name="벌목부982">#REF!</definedName>
    <definedName name="벌목부991">#REF!</definedName>
    <definedName name="벌목부992">#REF!</definedName>
    <definedName name="범용기능" localSheetId="11">BlankMacro1</definedName>
    <definedName name="범용기능" localSheetId="13">BlankMacro1</definedName>
    <definedName name="범용기능" localSheetId="15">BlankMacro1</definedName>
    <definedName name="범용기능" localSheetId="28">BlankMacro1</definedName>
    <definedName name="범용기능" localSheetId="24">BlankMacro1</definedName>
    <definedName name="범용기능" localSheetId="26">BlankMacro1</definedName>
    <definedName name="범용기능" localSheetId="27">BlankMacro1</definedName>
    <definedName name="범용기능">BlankMacro1</definedName>
    <definedName name="범용기본">#REF!</definedName>
    <definedName name="범용도로">#REF!</definedName>
    <definedName name="범용도입">#REF!</definedName>
    <definedName name="범용도입비">#REF!</definedName>
    <definedName name="범용상수">#REF!</definedName>
    <definedName name="범용스텝당인건비">#REF!</definedName>
    <definedName name="범용추가">#REF!</definedName>
    <definedName name="범용커스터마이징" localSheetId="11">BlankMacro1</definedName>
    <definedName name="범용커스터마이징" localSheetId="13">BlankMacro1</definedName>
    <definedName name="범용커스터마이징" localSheetId="15">BlankMacro1</definedName>
    <definedName name="범용커스터마이징" localSheetId="28">BlankMacro1</definedName>
    <definedName name="범용커스터마이징" localSheetId="24">BlankMacro1</definedName>
    <definedName name="범용커스터마이징" localSheetId="26">BlankMacro1</definedName>
    <definedName name="범용커스터마이징" localSheetId="27">BlankMacro1</definedName>
    <definedName name="범용커스터마이징">BlankMacro1</definedName>
    <definedName name="범용하수">#REF!</definedName>
    <definedName name="범우12" hidden="1">{"'5국공정'!$A$1:$E$128"}</definedName>
    <definedName name="법인세">#REF!</definedName>
    <definedName name="법인주민세">#REF!</definedName>
    <definedName name="법조">#N/A</definedName>
    <definedName name="벽_돌__블_럭__제_작_공">#REF!</definedName>
    <definedName name="벽높이">#REF!</definedName>
    <definedName name="벽돌">#REF!</definedName>
    <definedName name="벽돌_블럭_제작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돌제작공">#REF!</definedName>
    <definedName name="벽체">#REF!</definedName>
    <definedName name="변" hidden="1">{"'5국공정'!$A$1:$E$128"}</definedName>
    <definedName name="변111" localSheetId="0" hidden="1">{#N/A,#N/A,FALSE,"P.C.B"}</definedName>
    <definedName name="변111" hidden="1">{#N/A,#N/A,FALSE,"P.C.B"}</definedName>
    <definedName name="변1111" localSheetId="0" hidden="1">{#N/A,#N/A,FALSE,"P.C.B"}</definedName>
    <definedName name="변1111" hidden="1">{#N/A,#N/A,FALSE,"P.C.B"}</definedName>
    <definedName name="변간접노무비">#REF!</definedName>
    <definedName name="변간접노무비율">#REF!</definedName>
    <definedName name="변경" localSheetId="0" hidden="1">{#N/A,#N/A,FALSE,"P.C.B"}</definedName>
    <definedName name="변경" hidden="1">{#N/A,#N/A,FALSE,"P.C.B"}</definedName>
    <definedName name="변경개요1">#REF!</definedName>
    <definedName name="변경개요2">#REF!</definedName>
    <definedName name="변경개요3">#REF!</definedName>
    <definedName name="변경개요4">#REF!</definedName>
    <definedName name="변경공사원가">#REF!</definedName>
    <definedName name="변경비">#REF!</definedName>
    <definedName name="변경총괄">#REF!</definedName>
    <definedName name="변공급가액">#REF!</definedName>
    <definedName name="변기타경비">#REF!</definedName>
    <definedName name="변기타경비율">#REF!</definedName>
    <definedName name="변노무비">#REF!</definedName>
    <definedName name="변도급액">#REF!</definedName>
    <definedName name="변부가가치세">#REF!</definedName>
    <definedName name="변산재보험료">#REF!</definedName>
    <definedName name="변산재보험료율">#REF!</definedName>
    <definedName name="변순공사원가">#REF!</definedName>
    <definedName name="변안전관리비">#REF!</definedName>
    <definedName name="변안전관리비율">#REF!</definedName>
    <definedName name="변이윤">#REF!</definedName>
    <definedName name="변이윤율">#REF!</definedName>
    <definedName name="변이윤조정액">#REF!</definedName>
    <definedName name="변일반관리비">#REF!</definedName>
    <definedName name="변일반관리비율">#REF!</definedName>
    <definedName name="변재료비">#REF!</definedName>
    <definedName name="변전전공">#REF!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별첨.3" localSheetId="11">BlankMacro1</definedName>
    <definedName name="별첨.3" localSheetId="13">BlankMacro1</definedName>
    <definedName name="별첨.3" localSheetId="15">BlankMacro1</definedName>
    <definedName name="별첨.3" localSheetId="28">BlankMacro1</definedName>
    <definedName name="별첨.3" localSheetId="24">BlankMacro1</definedName>
    <definedName name="별첨.3" localSheetId="26">BlankMacro1</definedName>
    <definedName name="별첨.3" localSheetId="27">BlankMacro1</definedName>
    <definedName name="별첨.3">BlankMacro1</definedName>
    <definedName name="별첨.3유관기관시스템개발내역\" localSheetId="11">BlankMacro1</definedName>
    <definedName name="별첨.3유관기관시스템개발내역\" localSheetId="13">BlankMacro1</definedName>
    <definedName name="별첨.3유관기관시스템개발내역\" localSheetId="15">BlankMacro1</definedName>
    <definedName name="별첨.3유관기관시스템개발내역\" localSheetId="28">BlankMacro1</definedName>
    <definedName name="별첨.3유관기관시스템개발내역\" localSheetId="24">BlankMacro1</definedName>
    <definedName name="별첨.3유관기관시스템개발내역\" localSheetId="26">BlankMacro1</definedName>
    <definedName name="별첨.3유관기관시스템개발내역\" localSheetId="27">BlankMacro1</definedName>
    <definedName name="별첨.3유관기관시스템개발내역\">BlankMacro1</definedName>
    <definedName name="병지" localSheetId="11">#REF!,#REF!</definedName>
    <definedName name="병지" localSheetId="13">#REF!,#REF!</definedName>
    <definedName name="병지" localSheetId="15">#REF!,#REF!</definedName>
    <definedName name="병지">#REF!,#REF!</definedName>
    <definedName name="보">#REF!</definedName>
    <definedName name="보_링_공">#REF!</definedName>
    <definedName name="보_온_공">#REF!</definedName>
    <definedName name="보고경비">#REF!</definedName>
    <definedName name="보고노무">#REF!</definedName>
    <definedName name="보고서인쇄비">#REF!</definedName>
    <definedName name="보고재료">#REF!</definedName>
    <definedName name="보급과통보" hidden="1">{"'5국공정'!$A$1:$E$128"}</definedName>
    <definedName name="보도경계블럭수량">#REF!</definedName>
    <definedName name="보도노">#REF!</definedName>
    <definedName name="보도재">#REF!</definedName>
    <definedName name="보도포장가각부111">[0]!보도포장가각부111</definedName>
    <definedName name="보링">#REF!</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링공ㅇ">#REF!</definedName>
    <definedName name="보링조사NX">#REF!</definedName>
    <definedName name="보상비">#REF!</definedName>
    <definedName name="보상비수">#REF!</definedName>
    <definedName name="보상비평">#REF!</definedName>
    <definedName name="보습제">#REF!</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인">#REF!</definedName>
    <definedName name="보일러공">#REF!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전계수2">#REF!</definedName>
    <definedName name="보정계수1">#REF!</definedName>
    <definedName name="보정계수2">#REF!</definedName>
    <definedName name="보정계수3">#REF!</definedName>
    <definedName name="보정계수4">#REF!</definedName>
    <definedName name="보정계수5">#REF!</definedName>
    <definedName name="보정치">#REF!</definedName>
    <definedName name="보조">#REF!</definedName>
    <definedName name="보조1">#REF!</definedName>
    <definedName name="보조2">#REF!</definedName>
    <definedName name="보조기층">#REF!</definedName>
    <definedName name="보조기층포설경">#REF!</definedName>
    <definedName name="보조기층포설노">#REF!</definedName>
    <definedName name="보조기층포설재">#REF!</definedName>
    <definedName name="보조연">#REF!</definedName>
    <definedName name="보조조경">#REF!</definedName>
    <definedName name="보중" hidden="1">{#N/A,#N/A,FALSE,"전력간선"}</definedName>
    <definedName name="보차도경계블럭수량">#REF!</definedName>
    <definedName name="보차도경계석">#REF!</definedName>
    <definedName name="보차도경계석205_250">#REF!</definedName>
    <definedName name="보차도경계석210_300">#REF!</definedName>
    <definedName name="보차도브럭회색6">#REF!</definedName>
    <definedName name="보차도브럭회색8">#REF!</definedName>
    <definedName name="보차도브럭흙갈색6">#REF!</definedName>
    <definedName name="보차도브럭흙갈색8">#REF!</definedName>
    <definedName name="보통">#REF!</definedName>
    <definedName name="보통마감">#REF!</definedName>
    <definedName name="보통선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인력">#REF!</definedName>
    <definedName name="보통인부" localSheetId="2">#REF!</definedName>
    <definedName name="보통인부">#REF!</definedName>
    <definedName name="보통인부001">#REF!</definedName>
    <definedName name="보통인부002">#REF!</definedName>
    <definedName name="보통인부011">#REF!</definedName>
    <definedName name="보통인부1">#REF!</definedName>
    <definedName name="보통인부982">#REF!</definedName>
    <definedName name="보통인부991">#REF!</definedName>
    <definedName name="보통인부992">#REF!</definedName>
    <definedName name="보통인부B10">#REF!</definedName>
    <definedName name="보통인부B4이하">#REF!</definedName>
    <definedName name="보통인부B5">#REF!</definedName>
    <definedName name="보통인부B6">#REF!</definedName>
    <definedName name="보통인부B8">#REF!</definedName>
    <definedName name="보통인부p">#REF!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험">#REF!</definedName>
    <definedName name="보험료">#REF!</definedName>
    <definedName name="보험율">#REF!</definedName>
    <definedName name="보호몰탈1">#REF!</definedName>
    <definedName name="보호몰탈2">#REF!</definedName>
    <definedName name="보호몰탈3">#REF!</definedName>
    <definedName name="보호상">#REF!</definedName>
    <definedName name="보호측">#REF!</definedName>
    <definedName name="보호하">#REF!</definedName>
    <definedName name="복사" hidden="1">#REF!</definedName>
    <definedName name="복지" hidden="1">#REF!</definedName>
    <definedName name="복토">#REF!</definedName>
    <definedName name="복통경비">#REF!</definedName>
    <definedName name="복통노무비">#REF!</definedName>
    <definedName name="복통재료비">#REF!</definedName>
    <definedName name="본사설계안분석" hidden="1">{"'PROFORMA'!$A$1:$H$120"}</definedName>
    <definedName name="본사용부" hidden="1">{#N/A,#N/A,FALSE,"포장1";#N/A,#N/A,FALSE,"포장1"}</definedName>
    <definedName name="본선부속">#REF!</definedName>
    <definedName name="본선연장">#REF!</definedName>
    <definedName name="본선포장">#REF!</definedName>
    <definedName name="본점소재지">#REF!</definedName>
    <definedName name="본제당경비">#REF!</definedName>
    <definedName name="본제당노무비">#REF!</definedName>
    <definedName name="본제당재료비">#REF!</definedName>
    <definedName name="볼트">#REF!</definedName>
    <definedName name="뵵ㄷ교">#REF!</definedName>
    <definedName name="부">#REF!</definedName>
    <definedName name="부15">#REF!</definedName>
    <definedName name="부가">#REF!</definedName>
    <definedName name="부가11">#REF!</definedName>
    <definedName name="부가가치세">#REF!</definedName>
    <definedName name="부가가치세요율">#REF!</definedName>
    <definedName name="부가가치세요율_변경">#REF!</definedName>
    <definedName name="부가세">#REF!</definedName>
    <definedName name="부가세율">#REF!</definedName>
    <definedName name="부가율">#REF!</definedName>
    <definedName name="부대" hidden="1">{#N/A,#N/A,FALSE,"골재소요량";#N/A,#N/A,FALSE,"골재소요량"}</definedName>
    <definedName name="부대1" hidden="1">{#N/A,#N/A,FALSE,"운반시간"}</definedName>
    <definedName name="부대공">#REF!</definedName>
    <definedName name="부대공A1078">#REF!</definedName>
    <definedName name="부대공총괄수량집계" hidden="1">{#N/A,#N/A,FALSE,"2~8번"}</definedName>
    <definedName name="부대구조" hidden="1">{#N/A,#N/A,FALSE,"골재소요량";#N/A,#N/A,FALSE,"골재소요량"}</definedName>
    <definedName name="부대내역비교">#REF!</definedName>
    <definedName name="부대방안" hidden="1">{#N/A,#N/A,FALSE,"단가표지"}</definedName>
    <definedName name="부대사항">#REF!</definedName>
    <definedName name="부대원본" hidden="1">{#N/A,#N/A,FALSE,"토공2"}</definedName>
    <definedName name="부대철콘" hidden="1">{#N/A,#N/A,FALSE,"골재소요량";#N/A,#N/A,FALSE,"골재소요량"}</definedName>
    <definedName name="부대토목">#REF!</definedName>
    <definedName name="부들노">#REF!</definedName>
    <definedName name="부들재">#REF!</definedName>
    <definedName name="부산2">#REF!</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설비">#REF!</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숙톱밥">#REF!</definedName>
    <definedName name="부연터널A1217">#REF!</definedName>
    <definedName name="부연터널A1221">#REF!</definedName>
    <definedName name="부유경비">#REF!</definedName>
    <definedName name="부유노무">#REF!</definedName>
    <definedName name="부유사경비">#REF!</definedName>
    <definedName name="부유사노무">#REF!</definedName>
    <definedName name="부유사재료">#REF!</definedName>
    <definedName name="부유재료">#REF!</definedName>
    <definedName name="부장" hidden="1">{"'관경확장'!$A$79:$M$98","'관경확장'!$A$54:$M$78"}</definedName>
    <definedName name="부전지" hidden="1">#REF!</definedName>
    <definedName name="부지매입비">#REF!</definedName>
    <definedName name="부직포">#REF!</definedName>
    <definedName name="부직포노">#REF!</definedName>
    <definedName name="부직포재">#REF!</definedName>
    <definedName name="부품">#REF!</definedName>
    <definedName name="부품조립공">#REF!</definedName>
    <definedName name="분고">#REF!</definedName>
    <definedName name="분기" hidden="1">#REF!</definedName>
    <definedName name="분둘레">#REF!</definedName>
    <definedName name="분류A">#REF!</definedName>
    <definedName name="분류버전" hidden="1">{"'PROFORMA'!$A$1:$H$120"}</definedName>
    <definedName name="분반경">#REF!</definedName>
    <definedName name="분배기">#REF!</definedName>
    <definedName name="분상부체적">#REF!</definedName>
    <definedName name="분석변경" hidden="1">{#N/A,#N/A,FALSE,"변경관리예산";#N/A,#N/A,FALSE,"변경장비예산";#N/A,#N/A,FALSE,"변경준설예산";#N/A,#N/A,FALSE,"변경철구예산"}</definedName>
    <definedName name="분수경">#REF!</definedName>
    <definedName name="분수노">#REF!</definedName>
    <definedName name="분수재">#REF!</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 localSheetId="28">BlankMacro1</definedName>
    <definedName name="분전반" localSheetId="24">BlankMacro1</definedName>
    <definedName name="분전반" localSheetId="26">BlankMacro1</definedName>
    <definedName name="분전반" localSheetId="27">BlankMacro1</definedName>
    <definedName name="분전반">BlankMacro1</definedName>
    <definedName name="분전반1" localSheetId="28">BlankMacro1</definedName>
    <definedName name="분전반1" localSheetId="24">BlankMacro1</definedName>
    <definedName name="분전반1" localSheetId="26">BlankMacro1</definedName>
    <definedName name="분전반1" localSheetId="27">BlankMacro1</definedName>
    <definedName name="분전반1">BlankMacro1</definedName>
    <definedName name="분전함신설합계">#REF!</definedName>
    <definedName name="분종둘레">#REF!</definedName>
    <definedName name="분중량">#REF!</definedName>
    <definedName name="분체적">#REF!</definedName>
    <definedName name="분표면적">#REF!</definedName>
    <definedName name="불1">#REF!,#REF!,#REF!,#REF!,#REF!,#REF!</definedName>
    <definedName name="불10">#REF!,#REF!,#REF!,#REF!,#REF!,#REF!,#REF!</definedName>
    <definedName name="불11">#REF!,#REF!,#REF!,#REF!,#REF!,#REF!,#REF!</definedName>
    <definedName name="불12">#REF!,#REF!,#REF!,#REF!,#REF!,#REF!,#REF!</definedName>
    <definedName name="불13">#REF!,#REF!,#REF!,#REF!,#REF!,#REF!,#REF!</definedName>
    <definedName name="불14">#REF!,#REF!,#REF!,#REF!,#REF!,#REF!,#REF!</definedName>
    <definedName name="불15">#REF!,#REF!,#REF!,#REF!,#REF!</definedName>
    <definedName name="불2">#REF!,#REF!,#REF!,#REF!,#REF!,#REF!,#REF!</definedName>
    <definedName name="불3">#REF!,#REF!,#REF!,#REF!,#REF!,#REF!,#REF!</definedName>
    <definedName name="불4">#REF!,#REF!,#REF!,#REF!,#REF!,#REF!,#REF!</definedName>
    <definedName name="불5">#REF!,#REF!,#REF!,#REF!,#REF!,#REF!,#REF!</definedName>
    <definedName name="불6">#REF!,#REF!,#REF!,#REF!,#REF!,#REF!,#REF!</definedName>
    <definedName name="불7">#REF!,#REF!,#REF!,#REF!,#REF!,#REF!,#REF!</definedName>
    <definedName name="불8">#REF!,#REF!,#REF!,#REF!,#REF!,#REF!,#REF!</definedName>
    <definedName name="불9">#REF!,#REF!,#REF!,#REF!,#REF!,#REF!,#REF!</definedName>
    <definedName name="불도우저">#REF!</definedName>
    <definedName name="불도우저_무한궤도_19TON">#REF!</definedName>
    <definedName name="불도자15경">#REF!</definedName>
    <definedName name="불도자15노무">#REF!</definedName>
    <definedName name="불도자15재료">#REF!</definedName>
    <definedName name="불면1">#REF!,#REF!,#REF!,#REF!,#REF!,#REF!</definedName>
    <definedName name="불면10">#REF!,#REF!,#REF!,#REF!,#REF!,#REF!,#REF!</definedName>
    <definedName name="불면11">#REF!,#REF!,#REF!,#REF!,#REF!,#REF!,#REF!</definedName>
    <definedName name="불면12">#REF!,#REF!,#REF!,#REF!,#REF!,#REF!,#REF!</definedName>
    <definedName name="불면13">#REF!,#REF!,#REF!,#REF!,#REF!,#REF!,#REF!</definedName>
    <definedName name="불면14">#REF!,#REF!,#REF!,#REF!,#REF!,#REF!,#REF!</definedName>
    <definedName name="불면15">#REF!,#REF!,#REF!,#REF!,#REF!</definedName>
    <definedName name="불면2">#REF!,#REF!,#REF!,#REF!,#REF!,#REF!,#REF!</definedName>
    <definedName name="불면3">#REF!,#REF!,#REF!,#REF!,#REF!,#REF!,#REF!</definedName>
    <definedName name="불면4">#REF!,#REF!,#REF!,#REF!,#REF!,#REF!,#REF!</definedName>
    <definedName name="불면5">#REF!,#REF!,#REF!,#REF!,#REF!,#REF!,#REF!</definedName>
    <definedName name="불면6">#REF!,#REF!,#REF!,#REF!,#REF!,#REF!,#REF!</definedName>
    <definedName name="불면7">#REF!,#REF!,#REF!,#REF!,#REF!,#REF!,#REF!</definedName>
    <definedName name="불면8">#REF!,#REF!,#REF!,#REF!,#REF!,#REF!,#REF!</definedName>
    <definedName name="불면9">#REF!,#REF!,#REF!,#REF!,#REF!,#REF!,#REF!</definedName>
    <definedName name="붉은병꽃">#REF!</definedName>
    <definedName name="붕복시트">#REF!</definedName>
    <definedName name="붙박이400">#REF!</definedName>
    <definedName name="붙임자료" localSheetId="0" hidden="1">{"'정산내역서'!$A$1:$I$35","'정산서(절.성토부)'!$A$1:$Q$17","'정산서(교량부)'!$A$1:$Q$84","'총괄표'!$A$1:$M$12","'시행현황'!$A$1:$G$12","'표지'!$A$1:$N$27","'정산서(절.성토부)'!$A$3:$Q$7"}</definedName>
    <definedName name="붙임자료" hidden="1">{"'정산내역서'!$A$1:$I$35","'정산서(절.성토부)'!$A$1:$Q$17","'정산서(교량부)'!$A$1:$Q$84","'총괄표'!$A$1:$M$12","'시행현황'!$A$1:$G$12","'표지'!$A$1:$N$27","'정산서(절.성토부)'!$A$3:$Q$7"}</definedName>
    <definedName name="뷰" hidden="1">{#N/A,#N/A,FALSE,"단가표지"}</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라켓길이1">#REF!</definedName>
    <definedName name="브라켓길이2">#REF!</definedName>
    <definedName name="브라켓높이1">#REF!</definedName>
    <definedName name="브라켓높이2">#REF!</definedName>
    <definedName name="브라켓폭">#REF!</definedName>
    <definedName name="브레이드">#REF!</definedName>
    <definedName name="브레이커0.4경">#REF!</definedName>
    <definedName name="브레이커0.7경">#REF!</definedName>
    <definedName name="브레이커경">#REF!</definedName>
    <definedName name="브이c">#REF!</definedName>
    <definedName name="블레이드">#REF!</definedName>
    <definedName name="블록H">#REF!</definedName>
    <definedName name="블록V">#REF!</definedName>
    <definedName name="비">#REF!</definedName>
    <definedName name="비_계_공">#REF!</definedName>
    <definedName name="비겁" hidden="1">#REF!</definedName>
    <definedName name="비계">#REF!</definedName>
    <definedName name="비계1">#REF!</definedName>
    <definedName name="비계2">#REF!</definedName>
    <definedName name="비계공" localSheetId="2">#REF!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계노">#REF!</definedName>
    <definedName name="비계목">#REF!</definedName>
    <definedName name="비계재">#REF!</definedName>
    <definedName name="비고">#REF!</definedName>
    <definedName name="비교용" hidden="1">{#N/A,#N/A,FALSE,"포장2"}</definedName>
    <definedName name="비교표" localSheetId="0" hidden="1">{#N/A,#N/A,FALSE,"P.C.B"}</definedName>
    <definedName name="비교표" hidden="1">{#N/A,#N/A,FALSE,"P.C.B"}</definedName>
    <definedName name="비료">#REF!</definedName>
    <definedName name="비목1">#REF!</definedName>
    <definedName name="비목2">#REF!</definedName>
    <definedName name="비목3">#REF!</definedName>
    <definedName name="비목4">#REF!</definedName>
    <definedName name="비비추">#REF!</definedName>
    <definedName name="비유다">250000</definedName>
    <definedName name="비율">#REF!</definedName>
    <definedName name="비중">#REF!</definedName>
    <definedName name="비틀림모멘트">#REF!</definedName>
    <definedName name="빈칸" localSheetId="11">Dlog_Show</definedName>
    <definedName name="빈칸" localSheetId="13">Dlog_Show</definedName>
    <definedName name="빈칸" localSheetId="15">Dlog_Show</definedName>
    <definedName name="빈칸" localSheetId="28">Dlog_Show</definedName>
    <definedName name="빈칸" localSheetId="24">Dlog_Show</definedName>
    <definedName name="빈칸" localSheetId="26">Dlog_Show</definedName>
    <definedName name="빈칸" localSheetId="27">Dlog_Show</definedName>
    <definedName name="빈칸">Dlog_Show</definedName>
    <definedName name="빔제작단가개정표준도적용" hidden="1">{"'자리배치도'!$AG$1:$CI$28"}</definedName>
    <definedName name="빗물">#REF!</definedName>
    <definedName name="빗물받이" localSheetId="19">#REF!</definedName>
    <definedName name="빗물받이" localSheetId="21">#REF!</definedName>
    <definedName name="빗물받이" localSheetId="23">#REF!</definedName>
    <definedName name="빗물받이" localSheetId="3">#REF!</definedName>
    <definedName name="빗물받이" localSheetId="5">#REF!</definedName>
    <definedName name="빗물받이" localSheetId="7">#REF!</definedName>
    <definedName name="빗물받이" localSheetId="9">#REF!</definedName>
    <definedName name="빗물받이" localSheetId="11">#REF!</definedName>
    <definedName name="빗물받이" localSheetId="13">#REF!</definedName>
    <definedName name="빗물받이" localSheetId="15">#REF!</definedName>
    <definedName name="빗물받이" localSheetId="17">#REF!</definedName>
    <definedName name="빗물받이" localSheetId="0">#REF!</definedName>
    <definedName name="빗물받이">#REF!</definedName>
    <definedName name="빗물받이1">#REF!</definedName>
    <definedName name="빗물받이2">#REF!</definedName>
    <definedName name="뽀빠이">#REF!</definedName>
    <definedName name="뿌리돌림보통이눕">#REF!</definedName>
    <definedName name="뿌리돌림보통인부">#REF!</definedName>
    <definedName name="뿌리돌림조경공">#REF!</definedName>
    <definedName name="ㅅ" hidden="1">{#N/A,#N/A,TRUE,"토적및재료집계";#N/A,#N/A,TRUE,"토적및재료집계";#N/A,#N/A,TRUE,"단위량"}</definedName>
    <definedName name="ㅅㄱ" hidden="1">{"'5국공정'!$A$1:$E$128"}</definedName>
    <definedName name="ㅅㄱㅈ" hidden="1">#REF!</definedName>
    <definedName name="ㅅ거ㅛ갖ㄱ">#REF!</definedName>
    <definedName name="ㅅ고">[0]!ㅅ고</definedName>
    <definedName name="ㅅ굲유" hidden="1">{#N/A,#N/A,FALSE,"조골재"}</definedName>
    <definedName name="ㅅㄳㄳㄱ">#REF!</definedName>
    <definedName name="ㅅㄷㅈㄳ" localSheetId="28">BlankMacro1</definedName>
    <definedName name="ㅅㄷㅈㄳ" localSheetId="24">BlankMacro1</definedName>
    <definedName name="ㅅㄷㅈㄳ" localSheetId="26">BlankMacro1</definedName>
    <definedName name="ㅅㄷㅈㄳ" localSheetId="27">BlankMacro1</definedName>
    <definedName name="ㅅㄷㅈㄳ">BlankMacro1</definedName>
    <definedName name="ㅅㄿㄷㄱㅈㅅㄿㄷ">#REF!</definedName>
    <definedName name="ㅅㅂ" localSheetId="28">BlankMacro1</definedName>
    <definedName name="ㅅㅂ" localSheetId="24">BlankMacro1</definedName>
    <definedName name="ㅅㅂ" localSheetId="26">BlankMacro1</definedName>
    <definedName name="ㅅㅂ" localSheetId="27">BlankMacro1</definedName>
    <definedName name="ㅅㅂ">BlankMacro1</definedName>
    <definedName name="ㅅㅅ" localSheetId="0" hidden="1">{#N/A,#N/A,TRUE,"토적및재료집계";#N/A,#N/A,TRUE,"토적및재료집계";#N/A,#N/A,TRUE,"단위량"}</definedName>
    <definedName name="ㅅㅅ" hidden="1">{#N/A,#N/A,TRUE,"토적및재료집계";#N/A,#N/A,TRUE,"토적및재료집계";#N/A,#N/A,TRUE,"단위량"}</definedName>
    <definedName name="ㅅㅅㅅ" localSheetId="0" hidden="1">{#N/A,#N/A,FALSE,"P.C.B"}</definedName>
    <definedName name="ㅅㅅㅅ" hidden="1">{#N/A,#N/A,FALSE,"P.C.B"}</definedName>
    <definedName name="ㅅ솟덪ㄷㄱㅂ">#REF!</definedName>
    <definedName name="ㅅㅇ">#REF!</definedName>
    <definedName name="ㅅㅈㄱ됴" localSheetId="28">BlankMacro1</definedName>
    <definedName name="ㅅㅈㄱ됴" localSheetId="24">BlankMacro1</definedName>
    <definedName name="ㅅㅈㄱ됴" localSheetId="26">BlankMacro1</definedName>
    <definedName name="ㅅㅈㄱ됴" localSheetId="27">BlankMacro1</definedName>
    <definedName name="ㅅㅈㄱ됴">BlankMacro1</definedName>
    <definedName name="ㅅㅍ">#REF!</definedName>
    <definedName name="ㅅㅎ"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사">#REF!</definedName>
    <definedName name="사공구기계경비">#REF!</definedName>
    <definedName name="사공구부가가치세">#REF!</definedName>
    <definedName name="사공구직영비">#REF!</definedName>
    <definedName name="사공구직접노무비">#REF!</definedName>
    <definedName name="사공구직접재료비">#REF!</definedName>
    <definedName name="사급" hidden="1">{"'5국공정'!$A$1:$E$128"}</definedName>
    <definedName name="사급_자재대">#REF!</definedName>
    <definedName name="사급1" hidden="1">{"'5국공정'!$A$1:$E$128"}</definedName>
    <definedName name="사급2" hidden="1">{"'5국공정'!$A$1:$E$128"}</definedName>
    <definedName name="사급상수">#REF!</definedName>
    <definedName name="사급자재">#REF!</definedName>
    <definedName name="사급자재사용량" hidden="1">#REF!</definedName>
    <definedName name="사급재료비">#REF!</definedName>
    <definedName name="사다리">#REF!</definedName>
    <definedName name="사랑" hidden="1">#REF!</definedName>
    <definedName name="사리도경">#REF!</definedName>
    <definedName name="사리도노무">#REF!</definedName>
    <definedName name="사리도재료">#REF!</definedName>
    <definedName name="사무소">#REF!</definedName>
    <definedName name="사무실용">#REF!</definedName>
    <definedName name="사석">#REF!</definedName>
    <definedName name="사업개요1">#REF!</definedName>
    <definedName name="사업의">#REF!</definedName>
    <definedName name="사용램프">[0]!사용램프</definedName>
    <definedName name="사용전검사비" localSheetId="28">BlankMacro1</definedName>
    <definedName name="사용전검사비" localSheetId="24">BlankMacro1</definedName>
    <definedName name="사용전검사비" localSheetId="26">BlankMacro1</definedName>
    <definedName name="사용전검사비" localSheetId="27">BlankMacro1</definedName>
    <definedName name="사용전검사비">BlankMacro1</definedName>
    <definedName name="사우나.도금">#REF!</definedName>
    <definedName name="사원">#REF!</definedName>
    <definedName name="사인">#REF!</definedName>
    <definedName name="사인원가" localSheetId="19" hidden="1">#REF!</definedName>
    <definedName name="사인원가" localSheetId="21" hidden="1">#REF!</definedName>
    <definedName name="사인원가" localSheetId="23" hidden="1">#REF!</definedName>
    <definedName name="사인원가" localSheetId="3" hidden="1">#REF!</definedName>
    <definedName name="사인원가" localSheetId="5" hidden="1">#REF!</definedName>
    <definedName name="사인원가" localSheetId="7" hidden="1">#REF!</definedName>
    <definedName name="사인원가" localSheetId="9" hidden="1">#REF!</definedName>
    <definedName name="사인원가" localSheetId="11" hidden="1">#REF!</definedName>
    <definedName name="사인원가" localSheetId="13" hidden="1">#REF!</definedName>
    <definedName name="사인원가" localSheetId="15" hidden="1">#REF!</definedName>
    <definedName name="사인원가" localSheetId="17" hidden="1">#REF!</definedName>
    <definedName name="사인원가" hidden="1">#REF!</definedName>
    <definedName name="사인일위">#REF!</definedName>
    <definedName name="사전">#REF!</definedName>
    <definedName name="사진_노무비">#REF!</definedName>
    <definedName name="사진매수">#REF!</definedName>
    <definedName name="사진매수2">#REF!</definedName>
    <definedName name="사진양식">#REF!</definedName>
    <definedName name="사진첩" hidden="1">{"'Sheet1'!$A$1:$H$49"}</definedName>
    <definedName name="사진표정">#REF!</definedName>
    <definedName name="사차직접노무비">#REF!</definedName>
    <definedName name="사철나무H1.2">#REF!</definedName>
    <definedName name="사타" hidden="1">#REF!</definedName>
    <definedName name="사통경비">#REF!</definedName>
    <definedName name="사통노무비">#REF!</definedName>
    <definedName name="사통재료비">#REF!</definedName>
    <definedName name="사하중1">#REF!</definedName>
    <definedName name="사하중2">#REF!</definedName>
    <definedName name="사하중3">#REF!</definedName>
    <definedName name="사하중4">#REF!</definedName>
    <definedName name="사호표">#REF!</definedName>
    <definedName name="사후환경">#REF!</definedName>
    <definedName name="사후환경조사">#REF!</definedName>
    <definedName name="산">#REF!</definedName>
    <definedName name="산근">#REF!</definedName>
    <definedName name="산근111" hidden="1">{"'제10장(표)'!$A$5:$L$10"}</definedName>
    <definedName name="산근12" hidden="1">{"'제10장(표)'!$A$5:$L$10"}</definedName>
    <definedName name="산근4" hidden="1">{"'제10장(표)'!$A$5:$L$10"}</definedName>
    <definedName name="산림경비">#REF!</definedName>
    <definedName name="산림노무">#REF!</definedName>
    <definedName name="산림재료">#REF!</definedName>
    <definedName name="산벗">#REF!</definedName>
    <definedName name="산보">#REF!</definedName>
    <definedName name="산서" hidden="1">#REF!</definedName>
    <definedName name="산소">#REF!</definedName>
    <definedName name="산악지비율">#REF!</definedName>
    <definedName name="산업">#REF!</definedName>
    <definedName name="산영상31">#REF!</definedName>
    <definedName name="산재">#REF!</definedName>
    <definedName name="산재보험료">#REF!</definedName>
    <definedName name="산재보험료요율">#REF!</definedName>
    <definedName name="산재보험료요율_변경">#REF!</definedName>
    <definedName name="산재보험료율">#REF!</definedName>
    <definedName name="산재보험율">#REF!</definedName>
    <definedName name="산정">#REF!</definedName>
    <definedName name="산철쭉">#REF!</definedName>
    <definedName name="산출">#REF!</definedName>
    <definedName name="산출1">#REF!</definedName>
    <definedName name="산출2" localSheetId="28">BlankMacro1</definedName>
    <definedName name="산출2" localSheetId="24">BlankMacro1</definedName>
    <definedName name="산출2" localSheetId="26">BlankMacro1</definedName>
    <definedName name="산출2" localSheetId="27">BlankMacro1</definedName>
    <definedName name="산출2">BlankMacro1</definedName>
    <definedName name="산출근거">#REF!</definedName>
    <definedName name="산출근거1">#REF!</definedName>
    <definedName name="산출근거44" hidden="1">{"'제10장(표)'!$A$5:$L$10"}</definedName>
    <definedName name="산출근거표지1" localSheetId="11">BlankMacro1</definedName>
    <definedName name="산출근거표지1" localSheetId="13">BlankMacro1</definedName>
    <definedName name="산출근거표지1" localSheetId="15">BlankMacro1</definedName>
    <definedName name="산출근거표지1" localSheetId="28">BlankMacro1</definedName>
    <definedName name="산출근거표지1" localSheetId="24">BlankMacro1</definedName>
    <definedName name="산출근거표지1" localSheetId="26">BlankMacro1</definedName>
    <definedName name="산출근거표지1" localSheetId="27">BlankMacro1</definedName>
    <definedName name="산출근거표지1">BlankMacro1</definedName>
    <definedName name="산출근거표지2" localSheetId="11">BlankMacro1</definedName>
    <definedName name="산출근거표지2" localSheetId="13">BlankMacro1</definedName>
    <definedName name="산출근거표지2" localSheetId="15">BlankMacro1</definedName>
    <definedName name="산출근거표지2" localSheetId="28">BlankMacro1</definedName>
    <definedName name="산출근거표지2" localSheetId="24">BlankMacro1</definedName>
    <definedName name="산출근거표지2" localSheetId="26">BlankMacro1</definedName>
    <definedName name="산출근거표지2" localSheetId="27">BlankMacro1</definedName>
    <definedName name="산출근거표지2">BlankMacro1</definedName>
    <definedName name="산출내역">#REF!</definedName>
    <definedName name="산출냐역">#REF!</definedName>
    <definedName name="산출집계표">#REF!</definedName>
    <definedName name="산표">#REF!</definedName>
    <definedName name="살수차">220000</definedName>
    <definedName name="삼" localSheetId="19" hidden="1">#REF!</definedName>
    <definedName name="삼" localSheetId="21" hidden="1">#REF!</definedName>
    <definedName name="삼" localSheetId="23" hidden="1">#REF!</definedName>
    <definedName name="삼" localSheetId="3" hidden="1">#REF!</definedName>
    <definedName name="삼" localSheetId="5" hidden="1">#REF!</definedName>
    <definedName name="삼" localSheetId="7" hidden="1">#REF!</definedName>
    <definedName name="삼" localSheetId="9" hidden="1">#REF!</definedName>
    <definedName name="삼" localSheetId="11" hidden="1">#REF!</definedName>
    <definedName name="삼" localSheetId="13" hidden="1">#REF!</definedName>
    <definedName name="삼" localSheetId="15" hidden="1">#REF!</definedName>
    <definedName name="삼" localSheetId="17" hidden="1">#REF!</definedName>
    <definedName name="삼" localSheetId="0" hidden="1">#REF!</definedName>
    <definedName name="삼" hidden="1">#REF!</definedName>
    <definedName name="삼.관리및편익시설물공">#N/A</definedName>
    <definedName name="삼각">#REF!</definedName>
    <definedName name="삼각노">#REF!</definedName>
    <definedName name="삼각재">#REF!</definedName>
    <definedName name="삼노">#REF!</definedName>
    <definedName name="삼발">#REF!</definedName>
    <definedName name="삼발이">#REF!</definedName>
    <definedName name="삼발이대노">#REF!</definedName>
    <definedName name="삼발이대재">#REF!</definedName>
    <definedName name="삼발이소노">#REF!</definedName>
    <definedName name="삼발이소재">#REF!</definedName>
    <definedName name="삼성중00301" localSheetId="0" hidden="1">{#N/A,#N/A,FALSE,"현장 NCR 분석";#N/A,#N/A,FALSE,"현장품질감사";#N/A,#N/A,FALSE,"현장품질감사"}</definedName>
    <definedName name="삼성중00301" hidden="1">{#N/A,#N/A,FALSE,"현장 NCR 분석";#N/A,#N/A,FALSE,"현장품질감사";#N/A,#N/A,FALSE,"현장품질감사"}</definedName>
    <definedName name="삼성중0304" localSheetId="0" hidden="1">{#N/A,#N/A,FALSE,"현장 NCR 분석";#N/A,#N/A,FALSE,"현장품질감사";#N/A,#N/A,FALSE,"현장품질감사"}</definedName>
    <definedName name="삼성중0304" hidden="1">{#N/A,#N/A,FALSE,"현장 NCR 분석";#N/A,#N/A,FALSE,"현장품질감사";#N/A,#N/A,FALSE,"현장품질감사"}</definedName>
    <definedName name="삼우설비" hidden="1">#REF!</definedName>
    <definedName name="삼재">#REF!</definedName>
    <definedName name="삼차심사">#REF!</definedName>
    <definedName name="삼호표">#REF!</definedName>
    <definedName name="삽교천교">[0]!삽교천교</definedName>
    <definedName name="상">#REF!</definedName>
    <definedName name="상각비">#REF!</definedName>
    <definedName name="상각비_개발">#REF!</definedName>
    <definedName name="상각비_수동">#REF!</definedName>
    <definedName name="상각비_자동">#REF!</definedName>
    <definedName name="상각비_카메라">#REF!</definedName>
    <definedName name="상각비_통계">#REF!</definedName>
    <definedName name="상각비_편집">#REF!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대" hidden="1">#REF!</definedName>
    <definedName name="상림1호">#REF!</definedName>
    <definedName name="상림2호">#REF!</definedName>
    <definedName name="상림3호">#REF!</definedName>
    <definedName name="상변">#REF!</definedName>
    <definedName name="상봉전기">#N/A</definedName>
    <definedName name="상부">#REF!</definedName>
    <definedName name="상부1">#REF!</definedName>
    <definedName name="상부2">#REF!</definedName>
    <definedName name="상부슬라브">#REF!</definedName>
    <definedName name="상부플랜지두께">#REF!</definedName>
    <definedName name="상세요구">#REF!</definedName>
    <definedName name="상수">#N/A</definedName>
    <definedName name="상수SW">#REF!</definedName>
    <definedName name="상수구조일수">#REF!</definedName>
    <definedName name="상수도공">#REF!</definedName>
    <definedName name="상수도공집계표">#REF!</definedName>
    <definedName name="상수소프트">#REF!</definedName>
    <definedName name="상수연장">#REF!</definedName>
    <definedName name="상수작업연장">#REF!</definedName>
    <definedName name="상수적용율">#REF!</definedName>
    <definedName name="상수조사" localSheetId="11">BlankMacro1</definedName>
    <definedName name="상수조사" localSheetId="13">BlankMacro1</definedName>
    <definedName name="상수조사" localSheetId="15">BlankMacro1</definedName>
    <definedName name="상수조사" localSheetId="28">BlankMacro1</definedName>
    <definedName name="상수조사" localSheetId="24">BlankMacro1</definedName>
    <definedName name="상수조사" localSheetId="26">BlankMacro1</definedName>
    <definedName name="상수조사" localSheetId="27">BlankMacro1</definedName>
    <definedName name="상수조사">BlankMacro1</definedName>
    <definedName name="상수지형계수">#REF!</definedName>
    <definedName name="상온형백색수량">#REF!</definedName>
    <definedName name="상온형황색수량">#REF!</definedName>
    <definedName name="상차비사석20">#REF!</definedName>
    <definedName name="상차비토사20">#REF!</definedName>
    <definedName name="상하수" localSheetId="11">BlankMacro1</definedName>
    <definedName name="상하수" localSheetId="13">BlankMacro1</definedName>
    <definedName name="상하수" localSheetId="15">BlankMacro1</definedName>
    <definedName name="상하수" localSheetId="28">BlankMacro1</definedName>
    <definedName name="상하수" localSheetId="24">BlankMacro1</definedName>
    <definedName name="상하수" localSheetId="26">BlankMacro1</definedName>
    <definedName name="상하수" localSheetId="27">BlankMacro1</definedName>
    <definedName name="상하수">BlankMacro1</definedName>
    <definedName name="상하수범용수정">#REF!</definedName>
    <definedName name="상하차경비10">#REF!</definedName>
    <definedName name="상하차경비15">#REF!</definedName>
    <definedName name="상하차경비20">#REF!</definedName>
    <definedName name="상하차경비25">#REF!</definedName>
    <definedName name="상하차경비30">#REF!</definedName>
    <definedName name="상하차경비35">#REF!</definedName>
    <definedName name="상하차경비40">#REF!</definedName>
    <definedName name="상하차경비45">#REF!</definedName>
    <definedName name="상하차경비5">#REF!</definedName>
    <definedName name="상하차경비50">#REF!</definedName>
    <definedName name="상하차노무비10">#REF!</definedName>
    <definedName name="상하차노무비15">#REF!</definedName>
    <definedName name="상하차노무비20">#REF!</definedName>
    <definedName name="상하차노무비25">#REF!</definedName>
    <definedName name="상하차노무비30">#REF!</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재료비10">#REF!</definedName>
    <definedName name="상하차재료비15">#REF!</definedName>
    <definedName name="상하차재료비20">#REF!</definedName>
    <definedName name="상하차재료비25">#REF!</definedName>
    <definedName name="상하차재료비30">#REF!</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상환금액">#REF!</definedName>
    <definedName name="새">#N/A</definedName>
    <definedName name="새끼">#REF!</definedName>
    <definedName name="새들분수전100_13">#REF!</definedName>
    <definedName name="새들분수전100_20">#REF!</definedName>
    <definedName name="새들분수전100_25">#REF!</definedName>
    <definedName name="새들분수전100_32">#REF!</definedName>
    <definedName name="새들분수전100_40">#REF!</definedName>
    <definedName name="새들분수전100_50">#REF!</definedName>
    <definedName name="새들분수전150_13">#REF!</definedName>
    <definedName name="새들분수전150_20">#REF!</definedName>
    <definedName name="새들분수전150_25">#REF!</definedName>
    <definedName name="새들분수전150_32">#REF!</definedName>
    <definedName name="새들분수전150_40">#REF!</definedName>
    <definedName name="새들분수전150_50">#REF!</definedName>
    <definedName name="새들분수전200_13">#REF!</definedName>
    <definedName name="새들분수전200_20">#REF!</definedName>
    <definedName name="새들분수전200_25">#REF!</definedName>
    <definedName name="새들분수전200_32">#REF!</definedName>
    <definedName name="새들분수전200_40">#REF!</definedName>
    <definedName name="새들분수전200_50">#REF!</definedName>
    <definedName name="새들분수전250_13">#REF!</definedName>
    <definedName name="새들분수전250_20">#REF!</definedName>
    <definedName name="새들분수전250_25">#REF!</definedName>
    <definedName name="새들분수전250_32">#REF!</definedName>
    <definedName name="새들분수전250_40">#REF!</definedName>
    <definedName name="새들분수전250_50">#REF!</definedName>
    <definedName name="새들분수전300_13">#REF!</definedName>
    <definedName name="새들분수전300_20">#REF!</definedName>
    <definedName name="새들분수전300_25">#REF!</definedName>
    <definedName name="새들분수전300_32">#REF!</definedName>
    <definedName name="새들분수전300_40">#REF!</definedName>
    <definedName name="새들분수전300_50">#REF!</definedName>
    <definedName name="새들분수전50_13">#REF!</definedName>
    <definedName name="새들분수전50_20">#REF!</definedName>
    <definedName name="새들분수전50_25">#REF!</definedName>
    <definedName name="새들분수전75_13">#REF!</definedName>
    <definedName name="새들분수전75_20">#REF!</definedName>
    <definedName name="새들분수전75_25">#REF!</definedName>
    <definedName name="새들분수전75_32">#REF!</definedName>
    <definedName name="새들분수전75_40">#REF!</definedName>
    <definedName name="새마을차고신설수량">#REF!</definedName>
    <definedName name="새시공">#REF!</definedName>
    <definedName name="새이">#REF!</definedName>
    <definedName name="생B10">#REF!</definedName>
    <definedName name="생B12">#REF!</definedName>
    <definedName name="생B20">#REF!</definedName>
    <definedName name="생B6">#REF!</definedName>
    <definedName name="생B8">#REF!</definedName>
    <definedName name="생H1.5">#REF!</definedName>
    <definedName name="생H2.0">#REF!</definedName>
    <definedName name="생H2.5">#REF!</definedName>
    <definedName name="생H3.0">#REF!</definedName>
    <definedName name="생H3.5">#REF!</definedName>
    <definedName name="생R10">#REF!</definedName>
    <definedName name="생R12">#REF!</definedName>
    <definedName name="생R15">#REF!</definedName>
    <definedName name="생R4">#REF!</definedName>
    <definedName name="생R5">#REF!</definedName>
    <definedName name="생R6">#REF!</definedName>
    <definedName name="생R8">#REF!</definedName>
    <definedName name="생관0.4">#REF!</definedName>
    <definedName name="생관0.5">#REF!</definedName>
    <definedName name="생관0.6">#REF!</definedName>
    <definedName name="생관1.0">#REF!</definedName>
    <definedName name="생관1.2">#REF!</definedName>
    <definedName name="생관1.5">#REF!</definedName>
    <definedName name="생관2.0">#REF!</definedName>
    <definedName name="생사1호">#REF!</definedName>
    <definedName name="생사2호">#REF!</definedName>
    <definedName name="생사기존">#REF!</definedName>
    <definedName name="생지">#REF!</definedName>
    <definedName name="생태경비">#REF!</definedName>
    <definedName name="생태노무">#REF!</definedName>
    <definedName name="생태재료">#REF!</definedName>
    <definedName name="생활지리개발내역" localSheetId="11">BlankMacro1</definedName>
    <definedName name="생활지리개발내역" localSheetId="13">BlankMacro1</definedName>
    <definedName name="생활지리개발내역" localSheetId="15">BlankMacro1</definedName>
    <definedName name="생활지리개발내역" localSheetId="28">BlankMacro1</definedName>
    <definedName name="생활지리개발내역" localSheetId="24">BlankMacro1</definedName>
    <definedName name="생활지리개발내역" localSheetId="26">BlankMacro1</definedName>
    <definedName name="생활지리개발내역" localSheetId="27">BlankMacro1</definedName>
    <definedName name="생활지리개발내역">BlankMacro1</definedName>
    <definedName name="샷_시_공">#REF!</definedName>
    <definedName name="샷시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섀시공">#REF!</definedName>
    <definedName name="서광">#REF!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양측백H3.0">#REF!</definedName>
    <definedName name="서울공동">#REF!</definedName>
    <definedName name="서울낙찰율">#REF!</definedName>
    <definedName name="서울신용">#REF!</definedName>
    <definedName name="석_공">#REF!</definedName>
    <definedName name="석공">#REF!</definedName>
    <definedName name="석공001">#REF!</definedName>
    <definedName name="석공002">#REF!</definedName>
    <definedName name="석공011">#REF!</definedName>
    <definedName name="석공982">#REF!</definedName>
    <definedName name="석공991">#REF!</definedName>
    <definedName name="석공992">#REF!</definedName>
    <definedName name="석재받은의뢰업체" hidden="1">255</definedName>
    <definedName name="석재타일">#REF!</definedName>
    <definedName name="석재타일경">#REF!</definedName>
    <definedName name="석재타일노">#REF!</definedName>
    <definedName name="석재타일재">#REF!</definedName>
    <definedName name="석조각공">#REF!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축">[0]!석축</definedName>
    <definedName name="석축단위수량">[0]!석축단위수량</definedName>
    <definedName name="석축집계표">[0]!석축집계표</definedName>
    <definedName name="석축헐기____메쌓기__㎡당">#REF!</definedName>
    <definedName name="석축헐기____찰쌓기__㎡당">#REF!</definedName>
    <definedName name="석항" hidden="1">{#N/A,#N/A,FALSE,"명세표"}</definedName>
    <definedName name="선관">#REF!</definedName>
    <definedName name="선량1호">#REF!</definedName>
    <definedName name="선량2호">#REF!</definedName>
    <definedName name="선량3호">#REF!</definedName>
    <definedName name="선량4호">#REF!</definedName>
    <definedName name="선량5호">#REF!</definedName>
    <definedName name="선부">#REF!</definedName>
    <definedName name="선부001">#REF!</definedName>
    <definedName name="선부002">#REF!</definedName>
    <definedName name="선부011">#REF!</definedName>
    <definedName name="선부982">#REF!</definedName>
    <definedName name="선부991">#REF!</definedName>
    <definedName name="선부992">#REF!</definedName>
    <definedName name="선택">#REF!</definedName>
    <definedName name="선팽창계수">#REF!</definedName>
    <definedName name="설계">#REF!</definedName>
    <definedName name="설계1" localSheetId="0" hidden="1">{#N/A,#N/A,FALSE,"포장단가"}</definedName>
    <definedName name="설계1" hidden="1">{#N/A,#N/A,FALSE,"포장단가"}</definedName>
    <definedName name="설계가">#N/A</definedName>
    <definedName name="설계규모">#REF!</definedName>
    <definedName name="설계내역서" localSheetId="28">BlankMacro1</definedName>
    <definedName name="설계내역서" localSheetId="24">BlankMacro1</definedName>
    <definedName name="설계내역서" localSheetId="26">BlankMacro1</definedName>
    <definedName name="설계내역서" localSheetId="27">BlankMacro1</definedName>
    <definedName name="설계내역서">BlankMacro1</definedName>
    <definedName name="설계년도">#REF!</definedName>
    <definedName name="설계단면력요약.SAP90Work">#N/A</definedName>
    <definedName name="설계변경금액확정">#N/A</definedName>
    <definedName name="설계비계산2">#REF!</definedName>
    <definedName name="설계사급" hidden="1">{"'5국공정'!$A$1:$E$128"}</definedName>
    <definedName name="설계서명">#REF!</definedName>
    <definedName name="설계서용지" localSheetId="28">BlankMacro1</definedName>
    <definedName name="설계서용지" localSheetId="24">BlankMacro1</definedName>
    <definedName name="설계서용지" localSheetId="26">BlankMacro1</definedName>
    <definedName name="설계서용지" localSheetId="27">BlankMacro1</definedName>
    <definedName name="설계서용지">BlankMacro1</definedName>
    <definedName name="설계설명" hidden="1">#REF!</definedName>
    <definedName name="설계설명서" localSheetId="11">BlankMacro1</definedName>
    <definedName name="설계설명서" localSheetId="13">BlankMacro1</definedName>
    <definedName name="설계설명서" localSheetId="15">BlankMacro1</definedName>
    <definedName name="설계설명서" localSheetId="28">BlankMacro1</definedName>
    <definedName name="설계설명서" localSheetId="24">BlankMacro1</definedName>
    <definedName name="설계설명서" localSheetId="26">BlankMacro1</definedName>
    <definedName name="설계설명서" localSheetId="27">BlankMacro1</definedName>
    <definedName name="설계설명서">BlankMacro1</definedName>
    <definedName name="설계속도">#REF!</definedName>
    <definedName name="설계요율">#REF!</definedName>
    <definedName name="설계일자">#REF!</definedName>
    <definedName name="설명">#REF!</definedName>
    <definedName name="설비">#REF!</definedName>
    <definedName name="설비개보수공사">#REF!</definedName>
    <definedName name="설비집계">#REF!</definedName>
    <definedName name="설치">#REF!</definedName>
    <definedName name="설치간재">#REF!</definedName>
    <definedName name="설치경비">#REF!</definedName>
    <definedName name="설치노무비">#REF!</definedName>
    <definedName name="설치원가">#REF!</definedName>
    <definedName name="설치이윤">#REF!</definedName>
    <definedName name="설치재료비">#REF!</definedName>
    <definedName name="설치직노">#REF!</definedName>
    <definedName name="설치직재">#REF!</definedName>
    <definedName name="설치직접노무비">#REF!</definedName>
    <definedName name="설치직접노무비전">#REF!</definedName>
    <definedName name="섬잣">#REF!</definedName>
    <definedName name="성과심사" localSheetId="11">BlankMacro1</definedName>
    <definedName name="성과심사" localSheetId="13">BlankMacro1</definedName>
    <definedName name="성과심사" localSheetId="15">BlankMacro1</definedName>
    <definedName name="성과심사" localSheetId="28">BlankMacro1</definedName>
    <definedName name="성과심사" localSheetId="24">BlankMacro1</definedName>
    <definedName name="성과심사" localSheetId="26">BlankMacro1</definedName>
    <definedName name="성과심사" localSheetId="27">BlankMacro1</definedName>
    <definedName name="성과심사">BlankMacro1</definedName>
    <definedName name="성과총괄">#REF!</definedName>
    <definedName name="성당중">[0]!성당중</definedName>
    <definedName name="성산1호">#REF!</definedName>
    <definedName name="성산2호">#REF!</definedName>
    <definedName name="성산3호">#REF!</definedName>
    <definedName name="성산4호">#REF!</definedName>
    <definedName name="성산5호">#REF!</definedName>
    <definedName name="성일건설" localSheetId="0" hidden="1">{#N/A,#N/A,FALSE,"현장 NCR 분석";#N/A,#N/A,FALSE,"현장품질감사";#N/A,#N/A,FALSE,"현장품질감사"}</definedName>
    <definedName name="성일건설" hidden="1">{#N/A,#N/A,FALSE,"현장 NCR 분석";#N/A,#N/A,FALSE,"현장품질감사";#N/A,#N/A,FALSE,"현장품질감사"}</definedName>
    <definedName name="성토0.4경">#REF!</definedName>
    <definedName name="성토0.4노">#REF!</definedName>
    <definedName name="성토0.4재">#REF!</definedName>
    <definedName name="성토0.7경">#REF!</definedName>
    <definedName name="성토0.7노">#REF!</definedName>
    <definedName name="성토0.7재">#REF!</definedName>
    <definedName name="성토3">[0]!성토3</definedName>
    <definedName name="성토도쟈">[0]!성토도쟈</definedName>
    <definedName name="성토부도수로연장">#REF!</definedName>
    <definedName name="성토부도수로재료">#REF!</definedName>
    <definedName name="성토부도수로재료집계">#REF!</definedName>
    <definedName name="세">#REF!</definedName>
    <definedName name="세금">#REF!</definedName>
    <definedName name="셈겜셈셈셈">#REF!</definedName>
    <definedName name="셔터공">#REF!</definedName>
    <definedName name="셔ㅛ" localSheetId="0" hidden="1">{#N/A,#N/A,FALSE,"운반시간"}</definedName>
    <definedName name="셔ㅛ" hidden="1">{#N/A,#N/A,FALSE,"운반시간"}</definedName>
    <definedName name="소" localSheetId="28">BlankMacro1</definedName>
    <definedName name="소" localSheetId="24">BlankMacro1</definedName>
    <definedName name="소" localSheetId="26">BlankMacro1</definedName>
    <definedName name="소" localSheetId="27">BlankMacro1</definedName>
    <definedName name="소">BlankMacro1</definedName>
    <definedName name="소B7">#REF!</definedName>
    <definedName name="소개소">#REF!</definedName>
    <definedName name="소계">#REF!</definedName>
    <definedName name="소관경">#REF!</definedName>
    <definedName name="소나무10">#REF!</definedName>
    <definedName name="소나무15">#REF!</definedName>
    <definedName name="소나무20">#REF!</definedName>
    <definedName name="소나무H2.5">#REF!</definedName>
    <definedName name="소나무H3.0">#REF!</definedName>
    <definedName name="소나무H4.0">#REF!</definedName>
    <definedName name="소나무H5.0">#REF!</definedName>
    <definedName name="소방공량산출서" localSheetId="28">BlankMacro1</definedName>
    <definedName name="소방공량산출서" localSheetId="24">BlankMacro1</definedName>
    <definedName name="소방공량산출서" localSheetId="26">BlankMacro1</definedName>
    <definedName name="소방공량산출서" localSheetId="27">BlankMacro1</definedName>
    <definedName name="소방공량산출서">BlankMacro1</definedName>
    <definedName name="소방내역" localSheetId="28">BlankMacro1</definedName>
    <definedName name="소방내역" localSheetId="24">BlankMacro1</definedName>
    <definedName name="소방내역" localSheetId="26">BlankMacro1</definedName>
    <definedName name="소방내역" localSheetId="27">BlankMacro1</definedName>
    <definedName name="소방내역">BlankMacro1</definedName>
    <definedName name="소방내역서" localSheetId="28">BlankMacro1</definedName>
    <definedName name="소방내역서" localSheetId="24">BlankMacro1</definedName>
    <definedName name="소방내역서" localSheetId="26">BlankMacro1</definedName>
    <definedName name="소방내역서" localSheetId="27">BlankMacro1</definedName>
    <definedName name="소방내역서">BlankMacro1</definedName>
    <definedName name="소방단가" localSheetId="28">BlankMacro1</definedName>
    <definedName name="소방단가" localSheetId="24">BlankMacro1</definedName>
    <definedName name="소방단가" localSheetId="26">BlankMacro1</definedName>
    <definedName name="소방단가" localSheetId="27">BlankMacro1</definedName>
    <definedName name="소방단가">BlankMacro1</definedName>
    <definedName name="소방단가조사서" localSheetId="28">BlankMacro1</definedName>
    <definedName name="소방단가조사서" localSheetId="24">BlankMacro1</definedName>
    <definedName name="소방단가조사서" localSheetId="26">BlankMacro1</definedName>
    <definedName name="소방단가조사서" localSheetId="27">BlankMacro1</definedName>
    <definedName name="소방단가조사서">BlankMacro1</definedName>
    <definedName name="소방설비">#REF!</definedName>
    <definedName name="소석회">#REF!</definedName>
    <definedName name="소요매수">#REF!</definedName>
    <definedName name="소요작업량">#REF!</definedName>
    <definedName name="소요제기">#REF!</definedName>
    <definedName name="소용매수">#REF!</definedName>
    <definedName name="소운반Q">#REF!</definedName>
    <definedName name="소유자성명">#REF!</definedName>
    <definedName name="소유자주소">#REF!</definedName>
    <definedName name="소음진동">#REF!</definedName>
    <definedName name="소음진동측정">#REF!</definedName>
    <definedName name="소재지">#REF!</definedName>
    <definedName name="소천" hidden="1">{#N/A,#N/A,FALSE,"포장단가"}</definedName>
    <definedName name="소켓무게">#REF!</definedName>
    <definedName name="소프트100">#REF!</definedName>
    <definedName name="소프트150">#REF!</definedName>
    <definedName name="소프트200">#REF!</definedName>
    <definedName name="소프트300">#REF!</definedName>
    <definedName name="소프트400">#REF!</definedName>
    <definedName name="소프트500">#REF!</definedName>
    <definedName name="소프트80">#REF!</definedName>
    <definedName name="소프트실제수밸브개폐대">#REF!</definedName>
    <definedName name="소프트웨어">#REF!</definedName>
    <definedName name="소프트제수밸브개폐대">#REF!</definedName>
    <definedName name="소형B손료">#REF!</definedName>
    <definedName name="소형철개">#REF!</definedName>
    <definedName name="소화기">#REF!</definedName>
    <definedName name="소화전">#REF!</definedName>
    <definedName name="소화전곡관플랜지100">#REF!</definedName>
    <definedName name="소화전용단관100100">#REF!</definedName>
    <definedName name="소화전용편락관10080">#REF!</definedName>
    <definedName name="속고기">#REF!</definedName>
    <definedName name="속중기">#REF!</definedName>
    <definedName name="속중능">#REF!</definedName>
    <definedName name="속초기">#REF!</definedName>
    <definedName name="손료">#REF!</definedName>
    <definedName name="손영주" localSheetId="0" hidden="1">{#N/A,#N/A,FALSE,"조골재"}</definedName>
    <definedName name="손영주" hidden="1">{#N/A,#N/A,FALSE,"조골재"}</definedName>
    <definedName name="손익" localSheetId="0" hidden="1">{#N/A,#N/A,FALSE,"P.C.B"}</definedName>
    <definedName name="손익" hidden="1">{#N/A,#N/A,FALSE,"P.C.B"}</definedName>
    <definedName name="손익2" localSheetId="0" hidden="1">{#N/A,#N/A,FALSE,"P.C.B"}</definedName>
    <definedName name="손익2" hidden="1">{#N/A,#N/A,FALSE,"P.C.B"}</definedName>
    <definedName name="손익실적" localSheetId="0" hidden="1">{#N/A,#N/A,FALSE,"P.C.B"}</definedName>
    <definedName name="손익실적" hidden="1">{#N/A,#N/A,FALSE,"P.C.B"}</definedName>
    <definedName name="손잡이">#REF!</definedName>
    <definedName name="송">#REF!</definedName>
    <definedName name="송곡교">#REF!</definedName>
    <definedName name="송수관로구경">#REF!</definedName>
    <definedName name="송유구조일수">#REF!</definedName>
    <definedName name="송유정위치작업일수">#REF!</definedName>
    <definedName name="송유조사연장">#REF!</definedName>
    <definedName name="송유탐사연장">#REF!</definedName>
    <definedName name="송전전공" localSheetId="2">#REF!</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천1">#REF!</definedName>
    <definedName name="송천2">#REF!</definedName>
    <definedName name="송풍기">#REF!</definedName>
    <definedName name="쇠흙손경비">#REF!</definedName>
    <definedName name="쇠흙손노무비">#REF!</definedName>
    <definedName name="쇠흙손재료비">#REF!</definedName>
    <definedName name="쇼뎓" localSheetId="28">BlankMacro1</definedName>
    <definedName name="쇼뎓" localSheetId="24">BlankMacro1</definedName>
    <definedName name="쇼뎓" localSheetId="26">BlankMacro1</definedName>
    <definedName name="쇼뎓" localSheetId="27">BlankMacro1</definedName>
    <definedName name="쇼뎓">BlankMacro1</definedName>
    <definedName name="숒4ㄷ5ㅛㅕ">#REF!</definedName>
    <definedName name="수">#REF!</definedName>
    <definedName name="수_량">#N/A</definedName>
    <definedName name="수1소B">#REF!</definedName>
    <definedName name="수2" hidden="1">{#N/A,#N/A,TRUE,"토적및재료집계";#N/A,#N/A,TRUE,"토적및재료집계";#N/A,#N/A,TRUE,"단위량"}</definedName>
    <definedName name="수3" hidden="1">{#N/A,#N/A,TRUE,"토적및재료집계";#N/A,#N/A,TRUE,"토적및재료집계";#N/A,#N/A,TRUE,"단위량"}</definedName>
    <definedName name="수간6노">#REF!</definedName>
    <definedName name="수간6재">#REF!</definedName>
    <definedName name="수간8노">#REF!</definedName>
    <definedName name="수간8재">#REF!</definedName>
    <definedName name="수간보호거적10">#REF!</definedName>
    <definedName name="수간보호거적100">#REF!</definedName>
    <definedName name="수간보호거적15">#REF!</definedName>
    <definedName name="수간보호거적20">#REF!</definedName>
    <definedName name="수간보호거적25">#REF!</definedName>
    <definedName name="수간보호거적30">#REF!</definedName>
    <definedName name="수간보호거적35">#REF!</definedName>
    <definedName name="수간보호거적40">#REF!</definedName>
    <definedName name="수간보호거적45">#REF!</definedName>
    <definedName name="수간보호거적5">#REF!</definedName>
    <definedName name="수간보호거적50">#REF!</definedName>
    <definedName name="수간보호거적55">#REF!</definedName>
    <definedName name="수간보호거적60">#REF!</definedName>
    <definedName name="수간보호거적65">#REF!</definedName>
    <definedName name="수간보호거적70">#REF!</definedName>
    <definedName name="수간보호거적75">#REF!</definedName>
    <definedName name="수간보호거적80">#REF!</definedName>
    <definedName name="수간보호거적85">#REF!</definedName>
    <definedName name="수간보호거적90">#REF!</definedName>
    <definedName name="수간보호거적95">#REF!</definedName>
    <definedName name="수간보호보통인부10">#REF!</definedName>
    <definedName name="수간보호보통인부100">#REF!</definedName>
    <definedName name="수간보호보통인부15">#REF!</definedName>
    <definedName name="수간보호보통인부20">#REF!</definedName>
    <definedName name="수간보호보통인부25">#REF!</definedName>
    <definedName name="수간보호보통인부30">#REF!</definedName>
    <definedName name="수간보호보통인부35">#REF!</definedName>
    <definedName name="수간보호보통인부40">#REF!</definedName>
    <definedName name="수간보호보통인부45">#REF!</definedName>
    <definedName name="수간보호보통인부5">#REF!</definedName>
    <definedName name="수간보호보통인부50">#REF!</definedName>
    <definedName name="수간보호보통인부55">#REF!</definedName>
    <definedName name="수간보호보통인부60">#REF!</definedName>
    <definedName name="수간보호보통인부65">#REF!</definedName>
    <definedName name="수간보호보통인부70">#REF!</definedName>
    <definedName name="수간보호보통인부75">#REF!</definedName>
    <definedName name="수간보호보통인부80">#REF!</definedName>
    <definedName name="수간보호보통인부85">#REF!</definedName>
    <definedName name="수간보호보통인부90">#REF!</definedName>
    <definedName name="수간보호보통인부95">#REF!</definedName>
    <definedName name="수간보호새끼10">#REF!</definedName>
    <definedName name="수간보호새끼100">#REF!</definedName>
    <definedName name="수간보호새끼15">#REF!</definedName>
    <definedName name="수간보호새끼20">#REF!</definedName>
    <definedName name="수간보호새끼25">#REF!</definedName>
    <definedName name="수간보호새끼30">#REF!</definedName>
    <definedName name="수간보호새끼35">#REF!</definedName>
    <definedName name="수간보호새끼40">#REF!</definedName>
    <definedName name="수간보호새끼45">#REF!</definedName>
    <definedName name="수간보호새끼5">#REF!</definedName>
    <definedName name="수간보호새끼50">#REF!</definedName>
    <definedName name="수간보호새끼55">#REF!</definedName>
    <definedName name="수간보호새끼60">#REF!</definedName>
    <definedName name="수간보호새끼65">#REF!</definedName>
    <definedName name="수간보호새끼70">#REF!</definedName>
    <definedName name="수간보호새끼75">#REF!</definedName>
    <definedName name="수간보호새끼80">#REF!</definedName>
    <definedName name="수간보호새끼85">#REF!</definedName>
    <definedName name="수간보호새끼90">#REF!</definedName>
    <definedName name="수간보호새끼95">#REF!</definedName>
    <definedName name="수간보호조경공10">#REF!</definedName>
    <definedName name="수간보호조경공100">#REF!</definedName>
    <definedName name="수간보호조경공15">#REF!</definedName>
    <definedName name="수간보호조경공20">#REF!</definedName>
    <definedName name="수간보호조경공25">#REF!</definedName>
    <definedName name="수간보호조경공30">#REF!</definedName>
    <definedName name="수간보호조경공35">#REF!</definedName>
    <definedName name="수간보호조경공40">#REF!</definedName>
    <definedName name="수간보호조경공45">#REF!</definedName>
    <definedName name="수간보호조경공5">#REF!</definedName>
    <definedName name="수간보호조경공50">#REF!</definedName>
    <definedName name="수간보호조경공55">#REF!</definedName>
    <definedName name="수간보호조경공60">#REF!</definedName>
    <definedName name="수간보호조경공65">#REF!</definedName>
    <definedName name="수간보호조경공70">#REF!</definedName>
    <definedName name="수간보호조경공75">#REF!</definedName>
    <definedName name="수간보호조경공80">#REF!</definedName>
    <definedName name="수간보호조경공85">#REF!</definedName>
    <definedName name="수간보호조경공90">#REF!</definedName>
    <definedName name="수간보호조경공95">#REF!</definedName>
    <definedName name="수공" localSheetId="11">Dlog_Show</definedName>
    <definedName name="수공" localSheetId="13">Dlog_Show</definedName>
    <definedName name="수공" localSheetId="15">Dlog_Show</definedName>
    <definedName name="수공" localSheetId="28">Dlog_Show</definedName>
    <definedName name="수공" localSheetId="24">Dlog_Show</definedName>
    <definedName name="수공" localSheetId="26">Dlog_Show</definedName>
    <definedName name="수공" localSheetId="27">Dlog_Show</definedName>
    <definedName name="수공">Dlog_Show</definedName>
    <definedName name="수도미터기100">#REF!</definedName>
    <definedName name="수도미터기150">#REF!</definedName>
    <definedName name="수도미터기16">#REF!</definedName>
    <definedName name="수도미터기20">#REF!</definedName>
    <definedName name="수도미터기200">#REF!</definedName>
    <definedName name="수도미터기25">#REF!</definedName>
    <definedName name="수도미터기32">#REF!</definedName>
    <definedName name="수도미터기40">#REF!</definedName>
    <definedName name="수도미터기50">#REF!</definedName>
    <definedName name="수도미터기75">#REF!</definedName>
    <definedName name="수동레이어">#REF!</definedName>
    <definedName name="수동물수">#REF!</definedName>
    <definedName name="수동일수">#REF!</definedName>
    <definedName name="수동지형계수">#REF!</definedName>
    <definedName name="수량">#REF!</definedName>
    <definedName name="수량검토">#REF!</definedName>
    <definedName name="수량산출">#REF!</definedName>
    <definedName name="수량산출2">#REF!</definedName>
    <definedName name="수량산출내역" localSheetId="0" hidden="1">{#N/A,#N/A,FALSE,"포장단가"}</definedName>
    <definedName name="수량산출내역" hidden="1">{#N/A,#N/A,FALSE,"포장단가"}</definedName>
    <definedName name="수량산출서">#REF!</definedName>
    <definedName name="수량산출서간지">#REF!</definedName>
    <definedName name="수량산출표2" hidden="1">{"'용역비'!$A$4:$C$8"}</definedName>
    <definedName name="수량집계밀">#REF!</definedName>
    <definedName name="수량집계양">#REF!</definedName>
    <definedName name="수량코드">#REF!</definedName>
    <definedName name="수리경비">#REF!</definedName>
    <definedName name="수리노무">#REF!</definedName>
    <definedName name="수리수문">#REF!</definedName>
    <definedName name="수리재료">#REF!</definedName>
    <definedName name="수목공통대가">#N/A</definedName>
    <definedName name="수목보호대">#REF!</definedName>
    <definedName name="수목일위대가">#N/A</definedName>
    <definedName name="수문관측">#REF!</definedName>
    <definedName name="수비" hidden="1">{#N/A,#N/A,FALSE,"포장단가"}</definedName>
    <definedName name="수수꽃다리">#REF!</definedName>
    <definedName name="수수꽃다리H1.8">#REF!</definedName>
    <definedName name="수식계산">#N/A</definedName>
    <definedName name="수압1">#REF!</definedName>
    <definedName name="수압2">#REF!</definedName>
    <definedName name="수압3">#REF!</definedName>
    <definedName name="수양3">#REF!</definedName>
    <definedName name="수양5노">#REF!</definedName>
    <definedName name="수양5재">#REF!</definedName>
    <definedName name="수양6">#REF!</definedName>
    <definedName name="수위경비">#REF!</definedName>
    <definedName name="수위계">#REF!</definedName>
    <definedName name="수위노무">#REF!</definedName>
    <definedName name="수위재료">#REF!</definedName>
    <definedName name="수은등100W">#REF!</definedName>
    <definedName name="수은등200W">#REF!</definedName>
    <definedName name="수은등250W">#REF!</definedName>
    <definedName name="수은등300W">#REF!</definedName>
    <definedName name="수은등400W">#REF!</definedName>
    <definedName name="수익">#REF!</definedName>
    <definedName name="수입">#REF!</definedName>
    <definedName name="수입부품">#REF!</definedName>
    <definedName name="수입원">#REF!</definedName>
    <definedName name="수입원가">#REF!</definedName>
    <definedName name="수자경비">#REF!</definedName>
    <definedName name="수자노무">#REF!</definedName>
    <definedName name="수자재단위당">#REF!</definedName>
    <definedName name="수자재료">#REF!</definedName>
    <definedName name="수작업반장">#REF!</definedName>
    <definedName name="수장공사번호">#REF!</definedName>
    <definedName name="수정">#REF!</definedName>
    <definedName name="수정도화비율">#REF!</definedName>
    <definedName name="수정도화지형증감계수">#REF!</definedName>
    <definedName name="수정도화축척별작업량">#REF!</definedName>
    <definedName name="수정설계단가">#REF!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#REF!</definedName>
    <definedName name="수중케이블단가">#REF!</definedName>
    <definedName name="수중토사p1">#REF!</definedName>
    <definedName name="수직">#REF!</definedName>
    <definedName name="수직구">#REF!</definedName>
    <definedName name="수직규준틀노무비">#REF!</definedName>
    <definedName name="수직규준틀재료비">#REF!</definedName>
    <definedName name="수직기준틀노무비">#REF!</definedName>
    <definedName name="수직기준틀재료비">#REF!</definedName>
    <definedName name="수질">#REF!</definedName>
    <definedName name="수질경비">#REF!</definedName>
    <definedName name="수질노무">#REF!</definedName>
    <definedName name="수질시험">#REF!</definedName>
    <definedName name="수질재료">#REF!</definedName>
    <definedName name="수질측정">#REF!</definedName>
    <definedName name="수축줄눈경비">#REF!</definedName>
    <definedName name="수축줄눈노무비">#REF!</definedName>
    <definedName name="수축줄눈재료비">#REF!</definedName>
    <definedName name="수치_경비">#REF!</definedName>
    <definedName name="수치_기계경비">#REF!</definedName>
    <definedName name="수치_노무비">#REF!</definedName>
    <definedName name="수치_상각">#REF!</definedName>
    <definedName name="수치_유지">#REF!</definedName>
    <definedName name="수토1">#REF!</definedName>
    <definedName name="수평">#REF!</definedName>
    <definedName name="수평규준틀노무비">#REF!</definedName>
    <definedName name="수평규준틀재료비">#REF!</definedName>
    <definedName name="숙박비">#REF!</definedName>
    <definedName name="순___성___토__________㎥당">#REF!</definedName>
    <definedName name="순공">#N/A</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수">#REF!</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평">#REF!</definedName>
    <definedName name="순공사원가">#REF!</definedName>
    <definedName name="순번">#REF!</definedName>
    <definedName name="순성토">[0]!순성토</definedName>
    <definedName name="순성토__도쟈_19Ton____㎥당">#REF!</definedName>
    <definedName name="순위결정" hidden="1">{"'제10장(표)'!$A$5:$L$10"}</definedName>
    <definedName name="숫자노무비">#REF!</definedName>
    <definedName name="쉬트상">#REF!</definedName>
    <definedName name="쉬트시">#REF!</definedName>
    <definedName name="쉬트측">#REF!</definedName>
    <definedName name="쉬트하">#REF!</definedName>
    <definedName name="스">#REF!</definedName>
    <definedName name="스첸파이프25">#REF!</definedName>
    <definedName name="스치로폼">#REF!</definedName>
    <definedName name="스탠용접봉">#REF!</definedName>
    <definedName name="스텐강판4">#REF!</definedName>
    <definedName name="스텐경첩">#REF!</definedName>
    <definedName name="스텐앙카">#REF!</definedName>
    <definedName name="스텐파이프50">#REF!</definedName>
    <definedName name="스텝">#REF!</definedName>
    <definedName name="스텝당인건비">#REF!</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틸">#REF!</definedName>
    <definedName name="스틸그레이팅">#REF!</definedName>
    <definedName name="스틸그레이팅2">#REF!</definedName>
    <definedName name="스페이셔_설치">#REF!</definedName>
    <definedName name="슬라브길이">#REF!</definedName>
    <definedName name="슬래브높이">#REF!</definedName>
    <definedName name="슬레이트공">#REF!</definedName>
    <definedName name="습윤">#REF!</definedName>
    <definedName name="시">#REF!</definedName>
    <definedName name="시가지">#REF!</definedName>
    <definedName name="시가지비율">#REF!</definedName>
    <definedName name="시간당임율">#REF!</definedName>
    <definedName name="시간집계">#REF!</definedName>
    <definedName name="시거">#REF!</definedName>
    <definedName name="시공감리공제요율">#REF!</definedName>
    <definedName name="시공이음">#REF!</definedName>
    <definedName name="시공이음H">#REF!</definedName>
    <definedName name="시공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공측량조수">#REF!</definedName>
    <definedName name="시멘트">#REF!</definedName>
    <definedName name="시멘트1">#REF!</definedName>
    <definedName name="시멘트공대">#REF!</definedName>
    <definedName name="시멘트운반" localSheetId="0" hidden="1">{#N/A,#N/A,FALSE,"포장단가"}</definedName>
    <definedName name="시멘트운반" hidden="1">{#N/A,#N/A,FALSE,"포장단가"}</definedName>
    <definedName name="시멘트운반_덤프10.5톤_경운기_포당">#REF!</definedName>
    <definedName name="시멘트운반경">#REF!</definedName>
    <definedName name="시방">#REF!</definedName>
    <definedName name="시방1">#REF!</definedName>
    <definedName name="시방서" hidden="1">{#N/A,#N/A,FALSE,"신청통보";#N/A,#N/A,FALSE,"기성확인서";#N/A,#N/A,FALSE,"기성내역서"}</definedName>
    <definedName name="시비1노">#REF!</definedName>
    <definedName name="시비1재">#REF!</definedName>
    <definedName name="시비경">#REF!</definedName>
    <definedName name="시비관노">#REF!</definedName>
    <definedName name="시비관재">#REF!</definedName>
    <definedName name="시비노">#REF!</definedName>
    <definedName name="시비재">#REF!</definedName>
    <definedName name="시설구조일수">#REF!</definedName>
    <definedName name="시설정위치지형계수">#REF!</definedName>
    <definedName name="시설종류수">#REF!</definedName>
    <definedName name="시설종수">#REF!</definedName>
    <definedName name="시스템노무비합계">#REF!</definedName>
    <definedName name="시스템재료비">#REF!</definedName>
    <definedName name="시스템재료비합계">#REF!</definedName>
    <definedName name="시운전.도금">#REF!</definedName>
    <definedName name="시점">#REF!</definedName>
    <definedName name="시점1">#REF!</definedName>
    <definedName name="시중노임1">#N/A</definedName>
    <definedName name="시행">#REF!</definedName>
    <definedName name="시행111">#REF!</definedName>
    <definedName name="시행년">#REF!</definedName>
    <definedName name="시행청">#REF!</definedName>
    <definedName name="시행청1">#REF!</definedName>
    <definedName name="시행청2">#REF!</definedName>
    <definedName name="시험경">#REF!</definedName>
    <definedName name="시험경비">#REF!</definedName>
    <definedName name="시험관련기사">#REF!</definedName>
    <definedName name="시험관련기사_시험사1급">#REF!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굴착" localSheetId="11">BlankMacro1</definedName>
    <definedName name="시험굴착" localSheetId="13">BlankMacro1</definedName>
    <definedName name="시험굴착" localSheetId="15">BlankMacro1</definedName>
    <definedName name="시험굴착" localSheetId="28">BlankMacro1</definedName>
    <definedName name="시험굴착" localSheetId="24">BlankMacro1</definedName>
    <definedName name="시험굴착" localSheetId="26">BlankMacro1</definedName>
    <definedName name="시험굴착" localSheetId="27">BlankMacro1</definedName>
    <definedName name="시험굴착">BlankMacro1</definedName>
    <definedName name="시험노">#REF!</definedName>
    <definedName name="시험노무비">#REF!</definedName>
    <definedName name="시험도급">#REF!</definedName>
    <definedName name="시험보조수">#REF!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사1급">#REF!</definedName>
    <definedName name="시험사2급">#REF!</definedName>
    <definedName name="시험설치">#REF!</definedName>
    <definedName name="시험실행">#REF!</definedName>
    <definedName name="시험재">#REF!</definedName>
    <definedName name="시험재료비">#REF!</definedName>
    <definedName name="시험총">#REF!</definedName>
    <definedName name="시화군대체">#REF!</definedName>
    <definedName name="식대">4000+1500*2</definedName>
    <definedName name="식비">#REF!</definedName>
    <definedName name="식재">#REF!</definedName>
    <definedName name="식재공">#N/A</definedName>
    <definedName name="식재공사97">#N/A</definedName>
    <definedName name="식재보통인부">#REF!</definedName>
    <definedName name="식재조경공">#REF!</definedName>
    <definedName name="식혈반경">#REF!</definedName>
    <definedName name="식혈체적">#REF!</definedName>
    <definedName name="신">#REF!</definedName>
    <definedName name="신고일">#REF!</definedName>
    <definedName name="신규" hidden="1">{"'5국공정'!$A$1:$E$128"}</definedName>
    <definedName name="신규단가" hidden="1">#REF!</definedName>
    <definedName name="신규단가2" hidden="1">{"'5국공정'!$A$1:$E$128"}</definedName>
    <definedName name="신나">#REF!</definedName>
    <definedName name="신너">#REF!</definedName>
    <definedName name="신당">#REF!</definedName>
    <definedName name="신라왕경">#REF!</definedName>
    <definedName name="신상">#REF!</definedName>
    <definedName name="신설" hidden="1">{#N/A,#N/A,FALSE,"명세표"}</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용준">#REF!</definedName>
    <definedName name="신축이음각도">#REF!</definedName>
    <definedName name="신축이음갯수">#REF!</definedName>
    <definedName name="신축장치">#REF!</definedName>
    <definedName name="신한경비">#REF!</definedName>
    <definedName name="신호">#REF!</definedName>
    <definedName name="신호기">#N/A</definedName>
    <definedName name="신흥1호">#REF!</definedName>
    <definedName name="신흥2호">#REF!</definedName>
    <definedName name="신희">#REF!</definedName>
    <definedName name="실경상">#REF!</definedName>
    <definedName name="실금">#REF!</definedName>
    <definedName name="실란">#REF!</definedName>
    <definedName name="실리콘">#REF!</definedName>
    <definedName name="실링제">#REF!</definedName>
    <definedName name="실시">#REF!</definedName>
    <definedName name="실시설계비">#REF!</definedName>
    <definedName name="실시설계용역비변경내역" localSheetId="0" hidden="1">{"'정산내역서'!$A$1:$I$35","'정산서(절.성토부)'!$A$1:$Q$17","'정산서(교량부)'!$A$1:$Q$84","'총괄표'!$A$1:$M$12","'시행현황'!$A$1:$G$12","'표지'!$A$1:$N$27","'정산서(절.성토부)'!$A$3:$Q$7"}</definedName>
    <definedName name="실시설계용역비변경내역" hidden="1">{"'정산내역서'!$A$1:$I$35","'정산서(절.성토부)'!$A$1:$Q$17","'정산서(교량부)'!$A$1:$Q$84","'총괄표'!$A$1:$M$12","'시행현황'!$A$1:$G$12","'표지'!$A$1:$N$27","'정산서(절.성토부)'!$A$3:$Q$7"}</definedName>
    <definedName name="실인원">#REF!</definedName>
    <definedName name="실적" localSheetId="0" hidden="1">{#N/A,#N/A,FALSE,"P.C.B"}</definedName>
    <definedName name="실적" hidden="1">{#N/A,#N/A,FALSE,"P.C.B"}</definedName>
    <definedName name="실적1">#REF!</definedName>
    <definedName name="실적정리">#REF!</definedName>
    <definedName name="실편백10노무">#REF!</definedName>
    <definedName name="실편백10재료">#REF!</definedName>
    <definedName name="실편백15노무">#REF!</definedName>
    <definedName name="실편백15재료">#REF!</definedName>
    <definedName name="실행">#REF!</definedName>
    <definedName name="실행2" hidden="1">#REF!</definedName>
    <definedName name="실행갑">#REF!</definedName>
    <definedName name="실행갑지">#REF!</definedName>
    <definedName name="실행내역">#REF!</definedName>
    <definedName name="실행분석" hidden="1">{"'PROFORMA'!$A$1:$H$120"}</definedName>
    <definedName name="실행분석1" hidden="1">{"'PROFORMA'!$A$1:$H$120"}</definedName>
    <definedName name="실행비교">#REF!</definedName>
    <definedName name="실행추" hidden="1">{#N/A,#N/A,FALSE,"포장2"}</definedName>
    <definedName name="심우">#REF!</definedName>
    <definedName name="심우을">#REF!</definedName>
    <definedName name="심지측">#REF!</definedName>
    <definedName name="십">#REF!</definedName>
    <definedName name="십만">#REF!</definedName>
    <definedName name="십호표">#REF!</definedName>
    <definedName name="ㅆ"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써포트">#REF!</definedName>
    <definedName name="씨">#REF!</definedName>
    <definedName name="씨그마ck">#REF!</definedName>
    <definedName name="씨그마y">#REF!</definedName>
    <definedName name="ㅇ">#REF!</definedName>
    <definedName name="ㅇ10">#REF!</definedName>
    <definedName name="ㅇ20">#REF!</definedName>
    <definedName name="ㅇ227">#REF!</definedName>
    <definedName name="ㅇ32">#REF!</definedName>
    <definedName name="ㅇ560">#REF!</definedName>
    <definedName name="ㅇㄱ1">#REF!</definedName>
    <definedName name="ㅇㄱ셔ㅓㅀ" localSheetId="19" hidden="1">#REF!</definedName>
    <definedName name="ㅇㄱ셔ㅓㅀ" localSheetId="21" hidden="1">#REF!</definedName>
    <definedName name="ㅇㄱ셔ㅓㅀ" localSheetId="23" hidden="1">#REF!</definedName>
    <definedName name="ㅇㄱ셔ㅓㅀ" localSheetId="3" hidden="1">#REF!</definedName>
    <definedName name="ㅇㄱ셔ㅓㅀ" localSheetId="5" hidden="1">#REF!</definedName>
    <definedName name="ㅇㄱ셔ㅓㅀ" localSheetId="7" hidden="1">#REF!</definedName>
    <definedName name="ㅇㄱ셔ㅓㅀ" localSheetId="9" hidden="1">#REF!</definedName>
    <definedName name="ㅇㄱ셔ㅓㅀ" localSheetId="11" hidden="1">#REF!</definedName>
    <definedName name="ㅇㄱ셔ㅓㅀ" localSheetId="13" hidden="1">#REF!</definedName>
    <definedName name="ㅇㄱ셔ㅓㅀ" localSheetId="15" hidden="1">#REF!</definedName>
    <definedName name="ㅇㄱ셔ㅓㅀ" localSheetId="17" hidden="1">#REF!</definedName>
    <definedName name="ㅇㄱ셔ㅓㅀ" hidden="1">#REF!</definedName>
    <definedName name="ㅇ고ㅛㄷ굗">#REF!</definedName>
    <definedName name="ㅇㄴ" hidden="1">{#N/A,#N/A,FALSE,"구조2"}</definedName>
    <definedName name="ㅇㄴ곰ㅇㅅ고ㅓㄱ">#REF!</definedName>
    <definedName name="ㅇㄴㄹㄴㅇ" hidden="1">{#N/A,"수불부",FALSE,"사급자재수불서";#N/A,"수불부",FALSE,"사급자재수불서"}</definedName>
    <definedName name="ㅇㄴㄻ" hidden="1">{#N/A,#N/A,FALSE,"표지목차"}</definedName>
    <definedName name="ㅇㄴㄻㄴㅇ" hidden="1">{#N/A,#N/A,FALSE,"표지목차"}</definedName>
    <definedName name="ㅇㄴㄻㅎㅈㄷㅈㄷㄴ" hidden="1">{"'Sheet1'!$D$19","'Sheet1'!$B$22:$E$22"}</definedName>
    <definedName name="ㅇㄴㅁ" hidden="1">#REF!</definedName>
    <definedName name="ㅇㄴㅁㄹㅇㄻㅇㄹㄴㅇ" hidden="1">{#N/A,"수불부",FALSE,"사급자재수불서";#N/A,"수불부",FALSE,"사급자재수불서"}</definedName>
    <definedName name="ㅇㄴㅇ" hidden="1">{"'자리배치도'!$AG$1:$CI$28"}</definedName>
    <definedName name="ㅇ나ㅓㅣㅇ">#REF!</definedName>
    <definedName name="ㅇ남러이">#REF!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#REF!</definedName>
    <definedName name="ㅇㄹ" hidden="1">{#N/A,#N/A,FALSE,"토공2"}</definedName>
    <definedName name="ㅇㄹㄴ" hidden="1">{#N/A,"수불부",FALSE,"사급자재수불서";#N/A,"수불부",FALSE,"사급자재수불서"}</definedName>
    <definedName name="ㅇㄹㄴㅁㅎㅁㄴ" hidden="1">{#N/A,"수불부",FALSE,"사급자재수불서";#N/A,"수불부",FALSE,"사급자재수불서"}</definedName>
    <definedName name="ㅇㄹㄹ" localSheetId="19" hidden="1">#REF!</definedName>
    <definedName name="ㅇㄹㄹ" localSheetId="21" hidden="1">#REF!</definedName>
    <definedName name="ㅇㄹㄹ" localSheetId="23" hidden="1">#REF!</definedName>
    <definedName name="ㅇㄹㄹ" localSheetId="3" hidden="1">#REF!</definedName>
    <definedName name="ㅇㄹㄹ" localSheetId="5" hidden="1">#REF!</definedName>
    <definedName name="ㅇㄹㄹ" localSheetId="7" hidden="1">#REF!</definedName>
    <definedName name="ㅇㄹㄹ" localSheetId="9" hidden="1">#REF!</definedName>
    <definedName name="ㅇㄹㄹ" localSheetId="11" hidden="1">#REF!</definedName>
    <definedName name="ㅇㄹㄹ" localSheetId="13" hidden="1">#REF!</definedName>
    <definedName name="ㅇㄹㄹ" localSheetId="15" hidden="1">#REF!</definedName>
    <definedName name="ㅇㄹㄹ" localSheetId="17" hidden="1">#REF!</definedName>
    <definedName name="ㅇㄹㄹ" localSheetId="0" hidden="1">#REF!</definedName>
    <definedName name="ㅇㄹㄹ" hidden="1">#REF!</definedName>
    <definedName name="ㅇㄹㄹㅇ" localSheetId="0" hidden="1">{#N/A,#N/A,FALSE,"2~8번"}</definedName>
    <definedName name="ㅇㄹㄹㅇ" hidden="1">{#N/A,#N/A,FALSE,"2~8번"}</definedName>
    <definedName name="ㅇㄹㅇ" localSheetId="0" hidden="1">{#N/A,#N/A,FALSE,"운반시간"}</definedName>
    <definedName name="ㅇㄹㅇ" hidden="1">{#N/A,#N/A,FALSE,"운반시간"}</definedName>
    <definedName name="ㅇㄹㅇㄹ" localSheetId="19" hidden="1">#REF!</definedName>
    <definedName name="ㅇㄹㅇㄹ" localSheetId="21" hidden="1">#REF!</definedName>
    <definedName name="ㅇㄹㅇㄹ" localSheetId="23" hidden="1">#REF!</definedName>
    <definedName name="ㅇㄹㅇㄹ" localSheetId="3" hidden="1">#REF!</definedName>
    <definedName name="ㅇㄹㅇㄹ" localSheetId="5" hidden="1">#REF!</definedName>
    <definedName name="ㅇㄹㅇㄹ" localSheetId="7" hidden="1">#REF!</definedName>
    <definedName name="ㅇㄹㅇㄹ" localSheetId="9" hidden="1">#REF!</definedName>
    <definedName name="ㅇㄹㅇㄹ" localSheetId="11" hidden="1">#REF!</definedName>
    <definedName name="ㅇㄹㅇㄹ" localSheetId="13" hidden="1">#REF!</definedName>
    <definedName name="ㅇㄹㅇㄹ" localSheetId="15" hidden="1">#REF!</definedName>
    <definedName name="ㅇㄹㅇㄹ" localSheetId="17" hidden="1">#REF!</definedName>
    <definedName name="ㅇㄹㅇㄹ" localSheetId="0" hidden="1">#REF!</definedName>
    <definedName name="ㅇㄹㅇㄹ" hidden="1">#REF!</definedName>
    <definedName name="ㅇㄹ홍">#REF!</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롬ㄷ곧ㄱ">#REF!</definedName>
    <definedName name="ㅇ롬ㄷ곧ㄱㄱㄱㄱㄱ곻ㄱ">#REF!</definedName>
    <definedName name="ㅇ롷" localSheetId="28">BlankMacro1</definedName>
    <definedName name="ㅇ롷" localSheetId="24">BlankMacro1</definedName>
    <definedName name="ㅇ롷" localSheetId="26">BlankMacro1</definedName>
    <definedName name="ㅇ롷" localSheetId="27">BlankMacro1</definedName>
    <definedName name="ㅇ롷">BlankMacro1</definedName>
    <definedName name="ㅇ리멍라">#REF!</definedName>
    <definedName name="ㅇㄻ" hidden="1">{"'용역비'!$A$4:$C$8"}</definedName>
    <definedName name="ㅇㄻㄴㅀ" hidden="1">{#N/A,"수불부",FALSE,"사급자재수불서";#N/A,"수불부",FALSE,"사급자재수불서"}</definedName>
    <definedName name="ㅇㄻㄴㅁㄴㄻ" hidden="1">{#N/A,#N/A,FALSE,"단가표지"}</definedName>
    <definedName name="ㅇㄻㄴㅇㄹ">#N/A</definedName>
    <definedName name="ㅇㄻㄴㅇㄻㄴㅇㄹ" hidden="1">#REF!</definedName>
    <definedName name="ㅇㄻㄹ">#REF!</definedName>
    <definedName name="ㅇㄻㅇㄹ">#REF!</definedName>
    <definedName name="ㅇㄻㅇㄻㄴㄹ" hidden="1">{#N/A,#N/A,FALSE,"단가표지"}</definedName>
    <definedName name="ㅇㅀㅁㅇㅁㅇ" hidden="1">{#N/A,#N/A,FALSE,"단가표지"}</definedName>
    <definedName name="ㅇㅁㄴㄹ" hidden="1">{#N/A,#N/A,TRUE,"토적및재료집계";#N/A,#N/A,TRUE,"토적및재료집계";#N/A,#N/A,TRUE,"단위량"}</definedName>
    <definedName name="ㅇㅁㄴㅇ">#REF!</definedName>
    <definedName name="ㅇㅁㄶㄴㅇㅁㅀㅇㄴ" hidden="1">{#N/A,"수불부",FALSE,"사급자재수불서";#N/A,"수불부",FALSE,"사급자재수불서"}</definedName>
    <definedName name="ㅇㅁㅇ">#REF!</definedName>
    <definedName name="ㅇ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#REF!</definedName>
    <definedName name="ㅇㅇㄹ" localSheetId="19" hidden="1">#REF!</definedName>
    <definedName name="ㅇㅇㄹ" localSheetId="21" hidden="1">#REF!</definedName>
    <definedName name="ㅇㅇㄹ" localSheetId="23" hidden="1">#REF!</definedName>
    <definedName name="ㅇㅇㄹ" localSheetId="3" hidden="1">#REF!</definedName>
    <definedName name="ㅇㅇㄹ" localSheetId="5" hidden="1">#REF!</definedName>
    <definedName name="ㅇㅇㄹ" localSheetId="7" hidden="1">#REF!</definedName>
    <definedName name="ㅇㅇㄹ" localSheetId="9" hidden="1">#REF!</definedName>
    <definedName name="ㅇㅇㄹ" localSheetId="11" hidden="1">#REF!</definedName>
    <definedName name="ㅇㅇㄹ" localSheetId="13" hidden="1">#REF!</definedName>
    <definedName name="ㅇㅇㄹ" localSheetId="15" hidden="1">#REF!</definedName>
    <definedName name="ㅇㅇㄹ" localSheetId="17" hidden="1">#REF!</definedName>
    <definedName name="ㅇㅇㄹ" localSheetId="0" hidden="1">#REF!</definedName>
    <definedName name="ㅇㅇㄹ" hidden="1">#REF!</definedName>
    <definedName name="ㅇㅇㅇ"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ㅇㅇㅇ" hidden="1">{#N/A,#N/A,FALSE,"손익표지";#N/A,#N/A,FALSE,"손익계산";#N/A,#N/A,FALSE,"일반관리비";#N/A,#N/A,FALSE,"영업외수익";#N/A,#N/A,FALSE,"영업외비용";#N/A,#N/A,FALSE,"매출액";#N/A,#N/A,FALSE,"요약손익";#N/A,#N/A,FALSE,"요약대차";#N/A,#N/A,FALSE,"매출채권현황";#N/A,#N/A,FALSE,"매출채권명세"}</definedName>
    <definedName name="ㅇㅇㅇㅇ" localSheetId="19" hidden="1">#REF!</definedName>
    <definedName name="ㅇㅇㅇㅇ" localSheetId="21" hidden="1">#REF!</definedName>
    <definedName name="ㅇㅇㅇㅇ" localSheetId="23" hidden="1">#REF!</definedName>
    <definedName name="ㅇㅇㅇㅇ" localSheetId="3" hidden="1">#REF!</definedName>
    <definedName name="ㅇㅇㅇㅇ" localSheetId="5" hidden="1">#REF!</definedName>
    <definedName name="ㅇㅇㅇㅇ" localSheetId="7" hidden="1">#REF!</definedName>
    <definedName name="ㅇㅇㅇㅇ" localSheetId="9" hidden="1">#REF!</definedName>
    <definedName name="ㅇㅇㅇㅇ" localSheetId="11" hidden="1">#REF!</definedName>
    <definedName name="ㅇㅇㅇㅇ" localSheetId="13" hidden="1">#REF!</definedName>
    <definedName name="ㅇㅇㅇㅇ" localSheetId="15" hidden="1">#REF!</definedName>
    <definedName name="ㅇㅇㅇㅇ" localSheetId="17" hidden="1">#REF!</definedName>
    <definedName name="ㅇㅇㅇㅇ" localSheetId="0" hidden="1">#REF!</definedName>
    <definedName name="ㅇㅇㅇㅇ" hidden="1">#REF!</definedName>
    <definedName name="ㅇㅇㅇㅇㅇ">#REF!</definedName>
    <definedName name="ㅇㅇㅇㅇㅇㅇ">#REF!</definedName>
    <definedName name="ㅇㅇㅇㅇㅇㅇㅇ" localSheetId="11">BlankMacro1</definedName>
    <definedName name="ㅇㅇㅇㅇㅇㅇㅇ" localSheetId="13">BlankMacro1</definedName>
    <definedName name="ㅇㅇㅇㅇㅇㅇㅇ" localSheetId="15">BlankMacro1</definedName>
    <definedName name="ㅇㅇㅇㅇㅇㅇㅇ" localSheetId="28">BlankMacro1</definedName>
    <definedName name="ㅇㅇㅇㅇㅇㅇㅇ" localSheetId="24">BlankMacro1</definedName>
    <definedName name="ㅇㅇㅇㅇㅇㅇㅇ" localSheetId="26">BlankMacro1</definedName>
    <definedName name="ㅇㅇㅇㅇㅇㅇㅇ" localSheetId="27">BlankMacro1</definedName>
    <definedName name="ㅇㅇㅇㅇㅇㅇㅇ">BlankMacro1</definedName>
    <definedName name="ㅇㅇㅇㅇㅇㅇㅇㅇ" localSheetId="11">BlankMacro1</definedName>
    <definedName name="ㅇㅇㅇㅇㅇㅇㅇㅇ" localSheetId="13">BlankMacro1</definedName>
    <definedName name="ㅇㅇㅇㅇㅇㅇㅇㅇ" localSheetId="15">BlankMacro1</definedName>
    <definedName name="ㅇㅇㅇㅇㅇㅇㅇㅇ" localSheetId="28">BlankMacro1</definedName>
    <definedName name="ㅇㅇㅇㅇㅇㅇㅇㅇ" localSheetId="24">BlankMacro1</definedName>
    <definedName name="ㅇㅇㅇㅇㅇㅇㅇㅇ" localSheetId="26">BlankMacro1</definedName>
    <definedName name="ㅇㅇㅇㅇㅇㅇㅇㅇ" localSheetId="27">BlankMacro1</definedName>
    <definedName name="ㅇㅇㅇㅇㅇㅇㅇㅇ">BlankMacro1</definedName>
    <definedName name="ㅇㅇㅇㅇㅇㅇㅇㅇㅇ" localSheetId="0" hidden="1">{"'정산내역서'!$A$1:$I$35","'정산서(절.성토부)'!$A$1:$Q$17","'정산서(교량부)'!$A$1:$Q$84","'총괄표'!$A$1:$M$12","'시행현황'!$A$1:$G$12","'표지'!$A$1:$N$27","'정산서(절.성토부)'!$A$3:$Q$7"}</definedName>
    <definedName name="ㅇㅇㅇㅇㅇㅇㅇㅇㅇ" hidden="1">{"'정산내역서'!$A$1:$I$35","'정산서(절.성토부)'!$A$1:$Q$17","'정산서(교량부)'!$A$1:$Q$84","'총괄표'!$A$1:$M$12","'시행현황'!$A$1:$G$12","'표지'!$A$1:$N$27","'정산서(절.성토부)'!$A$3:$Q$7"}</definedName>
    <definedName name="ㅇ어ㅗ">#REF!</definedName>
    <definedName name="ㅇㅈㄷㅄㅂㅈㄷㄱ" hidden="1">#REF!</definedName>
    <definedName name="ㅇ퐇우ㅗㅓㅇ허">#REF!</definedName>
    <definedName name="ㅇㅎ">#N/A</definedName>
    <definedName name="ㅇㅎㅁㄴ" hidden="1">#REF!</definedName>
    <definedName name="ㅇㅎㅁㅇㅎㄴㅇㅁ" hidden="1">{#N/A,"수불부",FALSE,"사급자재수불서";#N/A,"수불부",FALSE,"사급자재수불서"}</definedName>
    <definedName name="ㅇㅎㅇㅎ" hidden="1">{"'용역비'!$A$4:$C$8"}</definedName>
    <definedName name="ㅇㅎㅎㅀㅎㅎㅎㅎㅎㄶ">#REF!</definedName>
    <definedName name="ㅇ호" hidden="1">{#N/A,#N/A,FALSE,"혼합골재"}</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#REF!</definedName>
    <definedName name="아나ㅣㅇ">#REF!</definedName>
    <definedName name="아늘믿" localSheetId="28">BlankMacro1</definedName>
    <definedName name="아늘믿" localSheetId="24">BlankMacro1</definedName>
    <definedName name="아늘믿" localSheetId="26">BlankMacro1</definedName>
    <definedName name="아늘믿" localSheetId="27">BlankMacro1</definedName>
    <definedName name="아늘믿">BlankMacro1</definedName>
    <definedName name="아니" localSheetId="28">BlankMacro1</definedName>
    <definedName name="아니" localSheetId="24">BlankMacro1</definedName>
    <definedName name="아니" localSheetId="26">BlankMacro1</definedName>
    <definedName name="아니" localSheetId="27">BlankMacro1</definedName>
    <definedName name="아니">BlankMacro1</definedName>
    <definedName name="아니다">#N/A</definedName>
    <definedName name="아니오" hidden="1">#REF!</definedName>
    <definedName name="아다" localSheetId="28">BlankMacro1</definedName>
    <definedName name="아다" localSheetId="24">BlankMacro1</definedName>
    <definedName name="아다" localSheetId="26">BlankMacro1</definedName>
    <definedName name="아다" localSheetId="27">BlankMacro1</definedName>
    <definedName name="아다">BlankMacro1</definedName>
    <definedName name="아디" localSheetId="28">BlankMacro1</definedName>
    <definedName name="아디" localSheetId="24">BlankMacro1</definedName>
    <definedName name="아디" localSheetId="26">BlankMacro1</definedName>
    <definedName name="아디" localSheetId="27">BlankMacro1</definedName>
    <definedName name="아디">BlankMacro1</definedName>
    <definedName name="아모레">#REF!</definedName>
    <definedName name="아사">#REF!</definedName>
    <definedName name="아서" localSheetId="28">BlankMacro1</definedName>
    <definedName name="아서" localSheetId="24">BlankMacro1</definedName>
    <definedName name="아서" localSheetId="26">BlankMacro1</definedName>
    <definedName name="아서" localSheetId="27">BlankMacro1</definedName>
    <definedName name="아서">BlankMacro1</definedName>
    <definedName name="아세치렌">#REF!</definedName>
    <definedName name="아세탈렌">#REF!</definedName>
    <definedName name="아세틸렌">#REF!</definedName>
    <definedName name="아스콘">#REF!</definedName>
    <definedName name="아스콘1">#REF!</definedName>
    <definedName name="아스콘467">#REF!</definedName>
    <definedName name="아스콘78">#REF!</definedName>
    <definedName name="아스콘깨기" localSheetId="0" hidden="1">{#N/A,#N/A,FALSE,"골재소요량";#N/A,#N/A,FALSE,"골재소요량"}</definedName>
    <definedName name="아스콘깨기" hidden="1">{#N/A,#N/A,FALSE,"골재소요량";#N/A,#N/A,FALSE,"골재소요량"}</definedName>
    <definedName name="아스콘수량">#REF!</definedName>
    <definedName name="아스콘중기운반경">#REF!</definedName>
    <definedName name="아스콘중기운반노">#REF!</definedName>
    <definedName name="아스콘중기운반재">#REF!</definedName>
    <definedName name="아스콘포설경">#REF!</definedName>
    <definedName name="아스콘포설노">#REF!</definedName>
    <definedName name="아스콘포설재">#REF!</definedName>
    <definedName name="아스팔트">#REF!</definedName>
    <definedName name="아스팔트루핑">#REF!</definedName>
    <definedName name="아스팔트스프레이어400L">#REF!</definedName>
    <definedName name="아스팔트운반경">#REF!</definedName>
    <definedName name="아싸">#REF!</definedName>
    <definedName name="아아" localSheetId="11">BlankMacro1</definedName>
    <definedName name="아아" localSheetId="13">BlankMacro1</definedName>
    <definedName name="아아" localSheetId="15">BlankMacro1</definedName>
    <definedName name="아아" localSheetId="28">BlankMacro1</definedName>
    <definedName name="아아" localSheetId="24">BlankMacro1</definedName>
    <definedName name="아아" localSheetId="26">BlankMacro1</definedName>
    <definedName name="아아" localSheetId="27">BlankMacro1</definedName>
    <definedName name="아아">BlankMacro1</definedName>
    <definedName name="아아앙" localSheetId="0" hidden="1">{#N/A,#N/A,FALSE,"P.C.B"}</definedName>
    <definedName name="아아앙" hidden="1">{#N/A,#N/A,FALSE,"P.C.B"}</definedName>
    <definedName name="아야">#REF!</definedName>
    <definedName name="아연도강관단가">#REF!</definedName>
    <definedName name="아연도배관단가">#REF!</definedName>
    <definedName name="아연도배관자재">#REF!</definedName>
    <definedName name="아왜나무12노무">#REF!</definedName>
    <definedName name="아왜나무12재료">#REF!</definedName>
    <definedName name="아왜나무H2.5">#REF!</definedName>
    <definedName name="아운">#REF!</definedName>
    <definedName name="아이">#REF!</definedName>
    <definedName name="아카노">#REF!</definedName>
    <definedName name="아카시아">#REF!</definedName>
    <definedName name="아카재">#REF!</definedName>
    <definedName name="아파" localSheetId="11">#REF!,#REF!</definedName>
    <definedName name="아파" localSheetId="13">#REF!,#REF!</definedName>
    <definedName name="아파" localSheetId="15">#REF!,#REF!</definedName>
    <definedName name="아파">#REF!,#REF!</definedName>
    <definedName name="아파트" localSheetId="11">#REF!,#REF!</definedName>
    <definedName name="아파트" localSheetId="13">#REF!,#REF!</definedName>
    <definedName name="아파트" localSheetId="15">#REF!,#REF!</definedName>
    <definedName name="아파트">#REF!,#REF!</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#REF!</definedName>
    <definedName name="악취">#REF!</definedName>
    <definedName name="안">#REF!</definedName>
    <definedName name="안미옥">#REF!</definedName>
    <definedName name="안미옥2">#REF!</definedName>
    <definedName name="안방1호">#REF!</definedName>
    <definedName name="안방2호">#REF!</definedName>
    <definedName name="안전">#REF!</definedName>
    <definedName name="안전11">#REF!</definedName>
    <definedName name="안전A1219">#REF!</definedName>
    <definedName name="안전관리">#REF!</definedName>
    <definedName name="안전관리비">#REF!</definedName>
    <definedName name="안전관리비기초액">#REF!</definedName>
    <definedName name="안전관리비요율">#REF!</definedName>
    <definedName name="안전관리비요율_변경">#REF!</definedName>
    <definedName name="안전관리비율">#REF!</definedName>
    <definedName name="안전광리비" hidden="1">{"'5국공정'!$A$1:$E$128"}</definedName>
    <definedName name="안전본봉">#REF!</definedName>
    <definedName name="안전율">#REF!</definedName>
    <definedName name="안정수위">#REF!</definedName>
    <definedName name="알d">#REF!</definedName>
    <definedName name="알미서기">#REF!</definedName>
    <definedName name="알파1">#REF!</definedName>
    <definedName name="알파2">#REF!</definedName>
    <definedName name="암1">#REF!</definedName>
    <definedName name="암거공">[0]!암거공</definedName>
    <definedName name="암거구조물공">#REF!</definedName>
    <definedName name="암거구조물자재대">#REF!</definedName>
    <definedName name="암거날개재료집계">#REF!</definedName>
    <definedName name="암거날개토공집계">#REF!</definedName>
    <definedName name="암거단위수량1">#REF!</definedName>
    <definedName name="암거단위수량2">#REF!</definedName>
    <definedName name="암거재료집계" hidden="1">{"'중기작업1'!$A$1:$V$18"}</definedName>
    <definedName name="암거토공">#REF!</definedName>
    <definedName name="압량" localSheetId="28">BlankMacro1</definedName>
    <definedName name="압량" localSheetId="24">BlankMacro1</definedName>
    <definedName name="압량" localSheetId="26">BlankMacro1</definedName>
    <definedName name="압량" localSheetId="27">BlankMacro1</definedName>
    <definedName name="압량">BlankMacro1</definedName>
    <definedName name="압량1" localSheetId="28">BlankMacro1</definedName>
    <definedName name="압량1" localSheetId="24">BlankMacro1</definedName>
    <definedName name="압량1" localSheetId="26">BlankMacro1</definedName>
    <definedName name="압량1" localSheetId="27">BlankMacro1</definedName>
    <definedName name="압량1">BlankMacro1</definedName>
    <definedName name="압량초등" localSheetId="28">BlankMacro1</definedName>
    <definedName name="압량초등" localSheetId="24">BlankMacro1</definedName>
    <definedName name="압량초등" localSheetId="26">BlankMacro1</definedName>
    <definedName name="압량초등" localSheetId="27">BlankMacro1</definedName>
    <definedName name="압량초등">BlankMacro1</definedName>
    <definedName name="압입압축기25간재">#REF!</definedName>
    <definedName name="압입압축기25노무">#REF!</definedName>
    <definedName name="압입압축기25손료">#REF!</definedName>
    <definedName name="압입운반차4.5간재">#REF!</definedName>
    <definedName name="압입운반차4.5노무">#REF!</definedName>
    <definedName name="압입운반차4.5손료">#REF!</definedName>
    <definedName name="압입운반차4간재">#REF!</definedName>
    <definedName name="압입운반차4노무">#REF!</definedName>
    <definedName name="압입운반차4손료">#REF!</definedName>
    <definedName name="앙" localSheetId="0" hidden="1">{#N/A,#N/A,FALSE,"손익표지";#N/A,#N/A,FALSE,"손익계산";#N/A,#N/A,FALSE,"일반관리비";#N/A,#N/A,FALSE,"영업외수익";#N/A,#N/A,FALSE,"영업외비용";#N/A,#N/A,FALSE,"매출액";#N/A,#N/A,FALSE,"요약손익";#N/A,#N/A,FALSE,"요약대차";#N/A,#N/A,FALSE,"매출채권현황";#N/A,#N/A,FALSE,"매출채권명세"}</definedName>
    <definedName name="앙" hidden="1">{#N/A,#N/A,FALSE,"손익표지";#N/A,#N/A,FALSE,"손익계산";#N/A,#N/A,FALSE,"일반관리비";#N/A,#N/A,FALSE,"영업외수익";#N/A,#N/A,FALSE,"영업외비용";#N/A,#N/A,FALSE,"매출액";#N/A,#N/A,FALSE,"요약손익";#N/A,#N/A,FALSE,"요약대차";#N/A,#N/A,FALSE,"매출채권현황";#N/A,#N/A,FALSE,"매출채권명세"}</definedName>
    <definedName name="앞굽높이">#REF!</definedName>
    <definedName name="앞들1호">#REF!</definedName>
    <definedName name="앞들2호">#REF!</definedName>
    <definedName name="앞성토">#REF!</definedName>
    <definedName name="앞표지1">[0]!앞표지1</definedName>
    <definedName name="애" hidden="1">#REF!</definedName>
    <definedName name="앨c">#REF!</definedName>
    <definedName name="앨e">#REF!</definedName>
    <definedName name="앨보1">#REF!</definedName>
    <definedName name="앨보90_25">#REF!</definedName>
    <definedName name="앨보90_50">#REF!</definedName>
    <definedName name="앨보90_75">#REF!</definedName>
    <definedName name="앵커볼트">#REF!</definedName>
    <definedName name="앵커용철물">#REF!</definedName>
    <definedName name="야면석경">#REF!</definedName>
    <definedName name="야면석노">#REF!</definedName>
    <definedName name="야면석재">#REF!</definedName>
    <definedName name="야자노">#REF!</definedName>
    <definedName name="야자재">#REF!</definedName>
    <definedName name="약">#REF!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양도자">#REF!</definedName>
    <definedName name="양도자등록번호">#REF!</definedName>
    <definedName name="양도자사업자번호">#REF!</definedName>
    <definedName name="양도자상호">#REF!</definedName>
    <definedName name="양도자주소">#REF!</definedName>
    <definedName name="양매자0403">#REF!</definedName>
    <definedName name="양매자0505">#REF!</definedName>
    <definedName name="양매자0606">#REF!</definedName>
    <definedName name="양생경비">#REF!</definedName>
    <definedName name="양생공">#REF!</definedName>
    <definedName name="양생노무비">#REF!</definedName>
    <definedName name="양생재료비">#REF!</definedName>
    <definedName name="양석">#REF!,#REF!,#REF!,#REF!,#REF!,#REF!,#REF!,#REF!,#REF!,#REF!,#REF!,#REF!,#REF!,#REF!,#REF!,#REF!,#REF!,#REF!,#REF!</definedName>
    <definedName name="양석김">#REF!</definedName>
    <definedName name="양수공사">#REF!</definedName>
    <definedName name="양수량">#REF!</definedName>
    <definedName name="양수자">#REF!</definedName>
    <definedName name="양수자등록번호">#REF!</definedName>
    <definedName name="양수자사업자번호">#REF!</definedName>
    <definedName name="양수자상호">#REF!</definedName>
    <definedName name="양수자주소">#REF!</definedName>
    <definedName name="양식">#REF!</definedName>
    <definedName name="양재승">#REF!</definedName>
    <definedName name="양재승1111">#REF!</definedName>
    <definedName name="양재승12">#REF!</definedName>
    <definedName name="어" hidden="1">{"'용역비'!$A$4:$C$8"}</definedName>
    <definedName name="어디" localSheetId="11">#REF!,#REF!</definedName>
    <definedName name="어디" localSheetId="13">#REF!,#REF!</definedName>
    <definedName name="어디" localSheetId="15">#REF!,#REF!</definedName>
    <definedName name="어디">#REF!,#REF!</definedName>
    <definedName name="어떤거죠" hidden="1">#REF!</definedName>
    <definedName name="어랑너ㅣㄹㄴㅇ" hidden="1">{#N/A,"수불부",FALSE,"사급자재수불서";#N/A,"수불부",FALSE,"사급자재수불서"}</definedName>
    <definedName name="어름" hidden="1">#REF!</definedName>
    <definedName name="어ㅓ"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언어보정계수">#REF!</definedName>
    <definedName name="언어보정인건비">#REF!</definedName>
    <definedName name="업무배분3" hidden="1">{"'관경확장'!$A$79:$M$98","'관경확장'!$A$54:$M$78"}</definedName>
    <definedName name="업무용차량산출근거" localSheetId="11">[0]!BlankMacro1</definedName>
    <definedName name="업무용차량산출근거" localSheetId="13">[0]!BlankMacro1</definedName>
    <definedName name="업무용차량산출근거" localSheetId="15">[0]!BlankMacro1</definedName>
    <definedName name="업무용차량산출근거" localSheetId="28">[0]!BlankMacro1</definedName>
    <definedName name="업무용차량산출근거" localSheetId="24">[0]!BlankMacro1</definedName>
    <definedName name="업무용차량산출근거" localSheetId="26">[0]!BlankMacro1</definedName>
    <definedName name="업무용차량산출근거" localSheetId="27">[0]!BlankMacro1</definedName>
    <definedName name="업무용차량산출근거">[0]!BlankMacro1</definedName>
    <definedName name="업무편람" hidden="1">{#N/A,#N/A,FALSE,"구조1"}</definedName>
    <definedName name="업체" hidden="1">#REF!</definedName>
    <definedName name="업체단가">#REF!</definedName>
    <definedName name="업체리스트">#REF!</definedName>
    <definedName name="에멀전페인트">#REF!</definedName>
    <definedName name="에멀죤">#REF!</definedName>
    <definedName name="에어호스_3_4__×3B×50M">#REF!</definedName>
    <definedName name="에어호스_3_4_3B50M">#REF!</definedName>
    <definedName name="에어호스3B50M">#REF!</definedName>
    <definedName name="에이">#REF!</definedName>
    <definedName name="에치원">#REF!</definedName>
    <definedName name="에쿠스">#REF!</definedName>
    <definedName name="에폭시">#REF!</definedName>
    <definedName name="엔지_고급기능사">#REF!</definedName>
    <definedName name="엔지_고급기술자">#REF!</definedName>
    <definedName name="엔지_기술사">#REF!</definedName>
    <definedName name="엔지_중급기능사">#REF!</definedName>
    <definedName name="엔지_중급기술자">#REF!</definedName>
    <definedName name="엔지_초급기능사">#REF!</definedName>
    <definedName name="엔지_초급기술자">#REF!</definedName>
    <definedName name="엔지_특급기술자">#REF!</definedName>
    <definedName name="엔지니어">#REF!</definedName>
    <definedName name="엔지니어링">#REF!</definedName>
    <definedName name="엘벤드">#REF!</definedName>
    <definedName name="여과지동">#REF!</definedName>
    <definedName name="여비">#REF!</definedName>
    <definedName name="여수토경비">#REF!</definedName>
    <definedName name="여수토노무비">#REF!</definedName>
    <definedName name="여수토재료비">#REF!</definedName>
    <definedName name="여유폭">#REF!</definedName>
    <definedName name="역L형옹벽">#REF!</definedName>
    <definedName name="역사">#REF!</definedName>
    <definedName name="연결벤드">#REF!</definedName>
    <definedName name="연결판">#REF!</definedName>
    <definedName name="연구">#REF!</definedName>
    <definedName name="연구보">#REF!</definedName>
    <definedName name="연구보조원">#REF!</definedName>
    <definedName name="연구원">#REF!</definedName>
    <definedName name="연도.도금">#REF!</definedName>
    <definedName name="연돌공">#REF!</definedName>
    <definedName name="연마공">#REF!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마지">#REF!</definedName>
    <definedName name="연면적">#REF!</definedName>
    <definedName name="연번">#REF!</definedName>
    <definedName name="연속3M">#REF!</definedName>
    <definedName name="연속3Mu">#REF!</definedName>
    <definedName name="연수">#REF!</definedName>
    <definedName name="연습" localSheetId="0" hidden="1">{#N/A,#N/A,FALSE,"포장단가"}</definedName>
    <definedName name="연습" hidden="1">{#N/A,#N/A,FALSE,"포장단가"}</definedName>
    <definedName name="연암">#REF!</definedName>
    <definedName name="연장">#REF!</definedName>
    <definedName name="연장L형측구">#REF!</definedName>
    <definedName name="연장이름">#REF!</definedName>
    <definedName name="연접물량">#N/A</definedName>
    <definedName name="영광원자력56호기" localSheetId="11">#REF!,#REF!</definedName>
    <definedName name="영광원자력56호기" localSheetId="13">#REF!,#REF!</definedName>
    <definedName name="영광원자력56호기" localSheetId="15">#REF!,#REF!</definedName>
    <definedName name="영광원자력56호기">#REF!,#REF!</definedName>
    <definedName name="영동" hidden="1">{#N/A,#N/A,TRUE,"토적및재료집계";#N/A,#N/A,TRUE,"토적및재료집계";#N/A,#N/A,TRUE,"단위량"}</definedName>
    <definedName name="영동구분소" hidden="1">{#N/A,#N/A,TRUE,"토적및재료집계";#N/A,#N/A,TRUE,"토적및재료집계";#N/A,#N/A,TRUE,"단위량"}</definedName>
    <definedName name="영산홍H0.3">#REF!</definedName>
    <definedName name="영상_고급">#REF!</definedName>
    <definedName name="영상_기계경비">#REF!</definedName>
    <definedName name="영상_상각비">#REF!</definedName>
    <definedName name="영상_유지비">#REF!</definedName>
    <definedName name="영상_처리">#REF!</definedName>
    <definedName name="영상_항공">#REF!</definedName>
    <definedName name="영상1_경비">#REF!</definedName>
    <definedName name="영상2_경비">#REF!</definedName>
    <definedName name="영상3_경비">#REF!</definedName>
    <definedName name="영상상각1">#REF!</definedName>
    <definedName name="영상상각2">#REF!</definedName>
    <definedName name="영상유지1">#REF!</definedName>
    <definedName name="영상유지2">#REF!</definedName>
    <definedName name="영양고" localSheetId="28">BlankMacro1</definedName>
    <definedName name="영양고" localSheetId="24">BlankMacro1</definedName>
    <definedName name="영양고" localSheetId="26">BlankMacro1</definedName>
    <definedName name="영양고" localSheetId="27">BlankMacro1</definedName>
    <definedName name="영양고">BlankMacro1</definedName>
    <definedName name="영철" localSheetId="0" hidden="1">{#N/A,#N/A,FALSE,"P.C.B"}</definedName>
    <definedName name="영철" hidden="1">{#N/A,#N/A,FALSE,"P.C.B"}</definedName>
    <definedName name="영풍산업" localSheetId="0" hidden="1">{#N/A,#N/A,FALSE,"현장 NCR 분석";#N/A,#N/A,FALSE,"현장품질감사";#N/A,#N/A,FALSE,"현장품질감사"}</definedName>
    <definedName name="영풍산업" hidden="1">{#N/A,#N/A,FALSE,"현장 NCR 분석";#N/A,#N/A,FALSE,"현장품질감사";#N/A,#N/A,FALSE,"현장품질감사"}</definedName>
    <definedName name="예" hidden="1">#REF!</definedName>
    <definedName name="예비경비">#REF!</definedName>
    <definedName name="예비노무">#REF!</definedName>
    <definedName name="예비비수">#REF!</definedName>
    <definedName name="예비비평">#REF!</definedName>
    <definedName name="예비재료">#REF!</definedName>
    <definedName name="예산내역" hidden="1">{"'용역비'!$A$4:$C$8"}</definedName>
    <definedName name="예산비교표">[0]!예산비교표</definedName>
    <definedName name="예산서" hidden="1">{"'중기작업1'!$A$1:$V$18"}</definedName>
    <definedName name="예산서1" hidden="1">#REF!</definedName>
    <definedName name="예정">#REF!</definedName>
    <definedName name="예정공정">#REF!</definedName>
    <definedName name="오">#REF!</definedName>
    <definedName name="오나멘트">#REF!</definedName>
    <definedName name="오번">#REF!</definedName>
    <definedName name="오번세대수">#REF!</definedName>
    <definedName name="오산건축1" localSheetId="0" hidden="1">{#N/A,#N/A,FALSE,"포장단가"}</definedName>
    <definedName name="오산건축1" hidden="1">{#N/A,#N/A,FALSE,"포장단가"}</definedName>
    <definedName name="오수공">#REF!</definedName>
    <definedName name="오수단위수량1">#REF!</definedName>
    <definedName name="오수단위수량2">#REF!</definedName>
    <definedName name="오수돈">#REF!</definedName>
    <definedName name="오수돈2">#REF!</definedName>
    <definedName name="오수맨홀수량2">#REF!</definedName>
    <definedName name="오수맨홀집계">#REF!</definedName>
    <definedName name="오수중계지급">#N/A</definedName>
    <definedName name="오염경비">#REF!</definedName>
    <definedName name="오염노무">#REF!</definedName>
    <definedName name="오염재료">#REF!</definedName>
    <definedName name="오오">#REF!</definedName>
    <definedName name="오오오">#REF!</definedName>
    <definedName name="오주1호">#REF!</definedName>
    <definedName name="오주2호">#REF!</definedName>
    <definedName name="오주3호">#REF!</definedName>
    <definedName name="오주4호">#REF!</definedName>
    <definedName name="오천자동수수">#REF!</definedName>
    <definedName name="오호">#REF!</definedName>
    <definedName name="오호표">#REF!</definedName>
    <definedName name="오호표2">#REF!</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#REF!</definedName>
    <definedName name="옥향">#REF!</definedName>
    <definedName name="옥향H0.5">#REF!</definedName>
    <definedName name="온도">#REF!</definedName>
    <definedName name="온돌공">#REF!</definedName>
    <definedName name="온수보일러">#REF!</definedName>
    <definedName name="옹1.85" hidden="1">{#N/A,#N/A,FALSE,"포장단가"}</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공">#REF!</definedName>
    <definedName name="옹벽공집계표">#REF!</definedName>
    <definedName name="옹벽대비일위">#REF!</definedName>
    <definedName name="옹벽부용수로">#REF!</definedName>
    <definedName name="옹벽부용수로2">#REF!</definedName>
    <definedName name="옹벽연장집계">#REF!</definedName>
    <definedName name="옹벽형측구깨기">#REF!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메쉬">#REF!</definedName>
    <definedName name="와이어메쉬10">#REF!</definedName>
    <definedName name="와이어메쉬4">#REF!</definedName>
    <definedName name="와이어메쉬8">#REF!</definedName>
    <definedName name="와촌면">#REF!</definedName>
    <definedName name="완공3" hidden="1">#REF!</definedName>
    <definedName name="완료" localSheetId="0" hidden="1">{#N/A,#N/A,FALSE,"P.C.B"}</definedName>
    <definedName name="완료" hidden="1">{#N/A,#N/A,FALSE,"P.C.B"}</definedName>
    <definedName name="완성구성">#REF!</definedName>
    <definedName name="왕벗">#REF!</definedName>
    <definedName name="왕벚나무H4.5">#REF!</definedName>
    <definedName name="왜" localSheetId="28">BlankMacro1</definedName>
    <definedName name="왜" localSheetId="24">BlankMacro1</definedName>
    <definedName name="왜" localSheetId="26">BlankMacro1</definedName>
    <definedName name="왜" localSheetId="27">BlankMacro1</definedName>
    <definedName name="왜">BlankMacro1</definedName>
    <definedName name="왜관" localSheetId="28">BlankMacro1</definedName>
    <definedName name="왜관" localSheetId="24">BlankMacro1</definedName>
    <definedName name="왜관" localSheetId="26">BlankMacro1</definedName>
    <definedName name="왜관" localSheetId="27">BlankMacro1</definedName>
    <definedName name="왜관">BlankMacro1</definedName>
    <definedName name="왜관초등" localSheetId="28">BlankMacro1</definedName>
    <definedName name="왜관초등" localSheetId="24">BlankMacro1</definedName>
    <definedName name="왜관초등" localSheetId="26">BlankMacro1</definedName>
    <definedName name="왜관초등" localSheetId="27">BlankMacro1</definedName>
    <definedName name="왜관초등">BlankMacro1</definedName>
    <definedName name="외경">#REF!</definedName>
    <definedName name="외벽">#REF!</definedName>
    <definedName name="외벽1">#REF!</definedName>
    <definedName name="외벽2">#REF!</definedName>
    <definedName name="외주산출" hidden="1">{"'용역비'!$A$4:$C$8"}</definedName>
    <definedName name="외주집계" hidden="1">{"'용역비'!$A$4:$C$8"}</definedName>
    <definedName name="외함업체견적">#REF!</definedName>
    <definedName name="외함원가">#REF!</definedName>
    <definedName name="외함원가산츨">#REF!</definedName>
    <definedName name="요동1호">#REF!</definedName>
    <definedName name="요동2호">#REF!</definedName>
    <definedName name="요약문">#REF!</definedName>
    <definedName name="요율공종">#REF!</definedName>
    <definedName name="요철개수">#REF!</definedName>
    <definedName name="요철체적">#REF!</definedName>
    <definedName name="용수경비">#REF!</definedName>
    <definedName name="용수노무">#REF!</definedName>
    <definedName name="용수재료">#REF!</definedName>
    <definedName name="용역">#REF!</definedName>
    <definedName name="용역개요">#REF!</definedName>
    <definedName name="용역설계비">#REF!</definedName>
    <definedName name="용인착공">#N/A</definedName>
    <definedName name="용접">#REF!</definedName>
    <definedName name="용접200경비">#REF!</definedName>
    <definedName name="용접300경비">#REF!</definedName>
    <definedName name="용접공" localSheetId="2">#REF!</definedName>
    <definedName name="용접공">#REF!</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공일반">#REF!</definedName>
    <definedName name="용접기">#REF!</definedName>
    <definedName name="용접기_교류_200AMP">#REF!</definedName>
    <definedName name="용접봉">#REF!</definedName>
    <definedName name="용접봉전기">#REF!</definedName>
    <definedName name="용접식_이음">#REF!</definedName>
    <definedName name="용지단가">#REF!</definedName>
    <definedName name="용지수량">#REF!</definedName>
    <definedName name="우각부" localSheetId="19" hidden="1">#REF!</definedName>
    <definedName name="우각부" localSheetId="21" hidden="1">#REF!</definedName>
    <definedName name="우각부" localSheetId="23" hidden="1">#REF!</definedName>
    <definedName name="우각부" localSheetId="3" hidden="1">#REF!</definedName>
    <definedName name="우각부" localSheetId="5" hidden="1">#REF!</definedName>
    <definedName name="우각부" localSheetId="7" hidden="1">#REF!</definedName>
    <definedName name="우각부" localSheetId="9" hidden="1">#REF!</definedName>
    <definedName name="우각부" localSheetId="11" hidden="1">#REF!</definedName>
    <definedName name="우각부" localSheetId="13" hidden="1">#REF!</definedName>
    <definedName name="우각부" localSheetId="15" hidden="1">#REF!</definedName>
    <definedName name="우각부" localSheetId="17" hidden="1">#REF!</definedName>
    <definedName name="우각부" hidden="1">#REF!</definedName>
    <definedName name="우각부검토11" localSheetId="19" hidden="1">#REF!</definedName>
    <definedName name="우각부검토11" localSheetId="21" hidden="1">#REF!</definedName>
    <definedName name="우각부검토11" localSheetId="23" hidden="1">#REF!</definedName>
    <definedName name="우각부검토11" localSheetId="3" hidden="1">#REF!</definedName>
    <definedName name="우각부검토11" localSheetId="5" hidden="1">#REF!</definedName>
    <definedName name="우각부검토11" localSheetId="7" hidden="1">#REF!</definedName>
    <definedName name="우각부검토11" localSheetId="9" hidden="1">#REF!</definedName>
    <definedName name="우각부검토11" localSheetId="11" hidden="1">#REF!</definedName>
    <definedName name="우각부검토11" localSheetId="13" hidden="1">#REF!</definedName>
    <definedName name="우각부검토11" localSheetId="15" hidden="1">#REF!</definedName>
    <definedName name="우각부검토11" localSheetId="17" hidden="1">#REF!</definedName>
    <definedName name="우각부검토11" hidden="1">#REF!</definedName>
    <definedName name="우강공감율">#REF!</definedName>
    <definedName name="우강기본율">#REF!</definedName>
    <definedName name="우강사업율">#REF!</definedName>
    <definedName name="우강세부율">#REF!</definedName>
    <definedName name="우물통_굴착토사">#REF!</definedName>
    <definedName name="우물통굴착_리핑암">#REF!</definedName>
    <definedName name="우물통굴착_발파암">#REF!</definedName>
    <definedName name="우산">#REF!</definedName>
    <definedName name="우성입니다">#REF!</definedName>
    <definedName name="우수공">#REF!</definedName>
    <definedName name="우수관수량산출">#REF!</definedName>
    <definedName name="우수돈">#REF!</definedName>
    <definedName name="우수돈2">#REF!</definedName>
    <definedName name="우수연장조서" localSheetId="19">#REF!</definedName>
    <definedName name="우수연장조서" localSheetId="21">#REF!</definedName>
    <definedName name="우수연장조서" localSheetId="23">#REF!</definedName>
    <definedName name="우수연장조서" localSheetId="3">#REF!</definedName>
    <definedName name="우수연장조서" localSheetId="5">#REF!</definedName>
    <definedName name="우수연장조서" localSheetId="7">#REF!</definedName>
    <definedName name="우수연장조서" localSheetId="9">#REF!</definedName>
    <definedName name="우수연장조서" localSheetId="11">#REF!</definedName>
    <definedName name="우수연장조서" localSheetId="13">#REF!</definedName>
    <definedName name="우수연장조서" localSheetId="15">#REF!</definedName>
    <definedName name="우수연장조서" localSheetId="17">#REF!</definedName>
    <definedName name="우수연장조서">#REF!</definedName>
    <definedName name="우ㅗ홓ㅇ" hidden="1">{#N/A,#N/A,FALSE,"조골재"}</definedName>
    <definedName name="우ㅝㄴ수2">#REF!</definedName>
    <definedName name="운반계">#REF!</definedName>
    <definedName name="운반구간">#REF!</definedName>
    <definedName name="운반비">#REF!</definedName>
    <definedName name="운반비경비10">#REF!</definedName>
    <definedName name="운반비경비15">#REF!</definedName>
    <definedName name="운반비경비20">#REF!</definedName>
    <definedName name="운반비경비25">#REF!</definedName>
    <definedName name="운반비경비30">#REF!</definedName>
    <definedName name="운반비경비35">#REF!</definedName>
    <definedName name="운반비경비40">#REF!</definedName>
    <definedName name="운반비경비45">#REF!</definedName>
    <definedName name="운반비경비5">#REF!</definedName>
    <definedName name="운반비경비50">#REF!</definedName>
    <definedName name="운반비노무비10">#REF!</definedName>
    <definedName name="운반비노무비15">#REF!</definedName>
    <definedName name="운반비노무비20">#REF!</definedName>
    <definedName name="운반비노무비25">#REF!</definedName>
    <definedName name="운반비노무비30">#REF!</definedName>
    <definedName name="운반비노무비35">#REF!</definedName>
    <definedName name="운반비노무비40">#REF!</definedName>
    <definedName name="운반비노무비45">#REF!</definedName>
    <definedName name="운반비노무비5">#REF!</definedName>
    <definedName name="운반비노무비50">#REF!</definedName>
    <definedName name="운반비재료비10">#REF!</definedName>
    <definedName name="운반비재료비15">#REF!</definedName>
    <definedName name="운반비재료비20">#REF!</definedName>
    <definedName name="운반비재료비25">#REF!</definedName>
    <definedName name="운반비재료비30">#REF!</definedName>
    <definedName name="운반비재료비35">#REF!</definedName>
    <definedName name="운반비재료비40">#REF!</definedName>
    <definedName name="운반비재료비45">#REF!</definedName>
    <definedName name="운반비재료비5">#REF!</definedName>
    <definedName name="운반비재료비50">#REF!</definedName>
    <definedName name="운반산출">#REF!</definedName>
    <definedName name="운반차">#REF!</definedName>
    <definedName name="운반차운전기사">#REF!</definedName>
    <definedName name="운반차운전사">#REF!</definedName>
    <definedName name="운암">#REF!</definedName>
    <definedName name="운전">#REF!</definedName>
    <definedName name="운전기사">#REF!</definedName>
    <definedName name="운전사">#REF!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#REF!</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차">#REF!</definedName>
    <definedName name="운전조">#REF!</definedName>
    <definedName name="운전조수">#REF!</definedName>
    <definedName name="운전차운반사">#REF!</definedName>
    <definedName name="운호1호">#REF!</definedName>
    <definedName name="운호2호">#REF!</definedName>
    <definedName name="운호3호">#REF!</definedName>
    <definedName name="울사">#REF!</definedName>
    <definedName name="울산프랜지">#REF!</definedName>
    <definedName name="울운">#REF!</definedName>
    <definedName name="울진내역" localSheetId="28">BlankMacro1</definedName>
    <definedName name="울진내역" localSheetId="24">BlankMacro1</definedName>
    <definedName name="울진내역" localSheetId="26">BlankMacro1</definedName>
    <definedName name="울진내역" localSheetId="27">BlankMacro1</definedName>
    <definedName name="울진내역">BlankMacro1</definedName>
    <definedName name="원">#REF!</definedName>
    <definedName name="원_가_계_산_서">#REF!</definedName>
    <definedName name="원가">#REF!</definedName>
    <definedName name="원가1" localSheetId="28">BlankMacro1</definedName>
    <definedName name="원가1" localSheetId="24">BlankMacro1</definedName>
    <definedName name="원가1" localSheetId="26">BlankMacro1</definedName>
    <definedName name="원가1" localSheetId="27">BlankMacro1</definedName>
    <definedName name="원가1">BlankMacro1</definedName>
    <definedName name="원가계">#REF!</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#REF!</definedName>
    <definedName name="원가계산1">#REF!</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#REF!</definedName>
    <definedName name="원가계산서2">#REF!</definedName>
    <definedName name="원가내역" localSheetId="19" hidden="1">#REF!</definedName>
    <definedName name="원가내역" localSheetId="21" hidden="1">#REF!</definedName>
    <definedName name="원가내역" localSheetId="23" hidden="1">#REF!</definedName>
    <definedName name="원가내역" localSheetId="3" hidden="1">#REF!</definedName>
    <definedName name="원가내역" localSheetId="5" hidden="1">#REF!</definedName>
    <definedName name="원가내역" localSheetId="7" hidden="1">#REF!</definedName>
    <definedName name="원가내역" localSheetId="9" hidden="1">#REF!</definedName>
    <definedName name="원가내역" localSheetId="11" hidden="1">#REF!</definedName>
    <definedName name="원가내역" localSheetId="13" hidden="1">#REF!</definedName>
    <definedName name="원가내역" localSheetId="15" hidden="1">#REF!</definedName>
    <definedName name="원가내역" localSheetId="17" hidden="1">#REF!</definedName>
    <definedName name="원가내역" localSheetId="0" hidden="1">#REF!</definedName>
    <definedName name="원가내역" hidden="1">#REF!</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금">#REF!</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#REF!</definedName>
    <definedName name="원수">#REF!</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지반경">#REF!</definedName>
    <definedName name="원지반노">#REF!</definedName>
    <definedName name="원지반재">#REF!</definedName>
    <definedName name="원파고라노">#REF!</definedName>
    <definedName name="원파고라재">#REF!</definedName>
    <definedName name="원형3회">#REF!</definedName>
    <definedName name="원형4회">#REF!</definedName>
    <definedName name="월">#REF!</definedName>
    <definedName name="월별손익" localSheetId="0" hidden="1">{#N/A,#N/A,FALSE,"P.C.B"}</definedName>
    <definedName name="월별손익" hidden="1">{#N/A,#N/A,FALSE,"P.C.B"}</definedName>
    <definedName name="월별손익2" localSheetId="0" hidden="1">{#N/A,#N/A,FALSE,"P.C.B"}</definedName>
    <definedName name="월별손익2" hidden="1">{#N/A,#N/A,FALSE,"P.C.B"}</definedName>
    <definedName name="웨브높이">#REF!</definedName>
    <definedName name="웨브두께">#REF!</definedName>
    <definedName name="위락경관">#REF!</definedName>
    <definedName name="위병면회소">#REF!</definedName>
    <definedName name="위생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생공중보건">#REF!</definedName>
    <definedName name="위생보건">#REF!</definedName>
    <definedName name="위성_노무비">#REF!</definedName>
    <definedName name="위성_재료비">#REF!</definedName>
    <definedName name="위성사진">#REF!</definedName>
    <definedName name="위치">#REF!</definedName>
    <definedName name="위치조서">#REF!</definedName>
    <definedName name="위치평면도">#REF!</definedName>
    <definedName name="윈치경">#REF!</definedName>
    <definedName name="윈치노">#REF!</definedName>
    <definedName name="윈치재">#REF!</definedName>
    <definedName name="윗변">#REF!</definedName>
    <definedName name="유">#REF!</definedName>
    <definedName name="유관기관" localSheetId="11">BlankMacro1</definedName>
    <definedName name="유관기관" localSheetId="13">BlankMacro1</definedName>
    <definedName name="유관기관" localSheetId="15">BlankMacro1</definedName>
    <definedName name="유관기관" localSheetId="28">BlankMacro1</definedName>
    <definedName name="유관기관" localSheetId="24">BlankMacro1</definedName>
    <definedName name="유관기관" localSheetId="26">BlankMacro1</definedName>
    <definedName name="유관기관" localSheetId="27">BlankMacro1</definedName>
    <definedName name="유관기관">BlankMacro1</definedName>
    <definedName name="유관순">#REF!</definedName>
    <definedName name="유량경비">#REF!</definedName>
    <definedName name="유량노무">#REF!</definedName>
    <definedName name="유량재료">#REF!</definedName>
    <definedName name="유량측정">#REF!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공사번호">#REF!</definedName>
    <definedName name="유리노">#REF!</definedName>
    <definedName name="유리알버드">#REF!</definedName>
    <definedName name="유리재">#REF!</definedName>
    <definedName name="유벤드">#REF!</definedName>
    <definedName name="유사량측">#REF!</definedName>
    <definedName name="유성재" hidden="1">{"'5국공정'!$A$1:$E$128"}</definedName>
    <definedName name="유성재11" hidden="1">{"'5국공정'!$A$1:$E$128"}</definedName>
    <definedName name="유승환">#REF!</definedName>
    <definedName name="유압식백호우0.4경비">#REF!</definedName>
    <definedName name="유압식백호우0.4노무비">#REF!</definedName>
    <definedName name="유압식백호우0.4재료비">#REF!</definedName>
    <definedName name="유역경비">#REF!</definedName>
    <definedName name="유역노무">#REF!</definedName>
    <definedName name="유역재료">#REF!</definedName>
    <definedName name="유재운">#REF!</definedName>
    <definedName name="유정숙">#REF!</definedName>
    <definedName name="유지비_개발">#REF!</definedName>
    <definedName name="유지비_수동">#REF!</definedName>
    <definedName name="유지비_자동">#REF!</definedName>
    <definedName name="유지비_카메라">#REF!</definedName>
    <definedName name="유지비_통계">#REF!</definedName>
    <definedName name="유지비_편집">#REF!</definedName>
    <definedName name="유출경비">#REF!</definedName>
    <definedName name="유출노무">#REF!</definedName>
    <definedName name="유출재료">#REF!</definedName>
    <definedName name="유충식">#REF!</definedName>
    <definedName name="유카">#REF!</definedName>
    <definedName name="유퉁">#REF!</definedName>
    <definedName name="유호식">#REF!</definedName>
    <definedName name="유효폭">#REF!</definedName>
    <definedName name="육각블럭" hidden="1">{#N/A,#N/A,FALSE,"포장단가"}</definedName>
    <definedName name="육리1호">#REF!</definedName>
    <definedName name="육리2호">#REF!</definedName>
    <definedName name="육상동식물">#REF!</definedName>
    <definedName name="육상면정리및청소">#REF!</definedName>
    <definedName name="육송각재">#REF!</definedName>
    <definedName name="육송원목">#REF!</definedName>
    <definedName name="육송판재">#REF!</definedName>
    <definedName name="육수동식물">#REF!</definedName>
    <definedName name="육호표">#REF!</definedName>
    <definedName name="윤">#REF!,#REF!,#REF!,#REF!,#REF!,#REF!,#REF!,#REF!,#REF!,#REF!,#REF!,#REF!,#REF!,#REF!,#REF!,#REF!,#REF!,#REF!,#REF!</definedName>
    <definedName name="율">#REF!</definedName>
    <definedName name="융착기100_150MM">#REF!</definedName>
    <definedName name="융착성도료청색">#REF!</definedName>
    <definedName name="융착식백색수량">#REF!</definedName>
    <definedName name="융착식황색수량">#REF!</definedName>
    <definedName name="으치" hidden="1">#REF!</definedName>
    <definedName name="은산1호">#REF!</definedName>
    <definedName name="은산2호">#REF!</definedName>
    <definedName name="은산3호">#REF!</definedName>
    <definedName name="은산4호">#REF!</definedName>
    <definedName name="은행12">#REF!</definedName>
    <definedName name="은행15">#REF!</definedName>
    <definedName name="은행6">#REF!</definedName>
    <definedName name="은행8">#REF!</definedName>
    <definedName name="은행나무H3.5">#REF!</definedName>
    <definedName name="을">#REF!</definedName>
    <definedName name="을1">#REF!,#REF!,#REF!,#REF!,#REF!,#REF!</definedName>
    <definedName name="을10">#REF!,#REF!,#REF!,#REF!,#REF!,#REF!,#REF!</definedName>
    <definedName name="을11">#REF!,#REF!,#REF!,#REF!,#REF!,#REF!,#REF!</definedName>
    <definedName name="을12">#REF!,#REF!,#REF!,#REF!,#REF!,#REF!,#REF!</definedName>
    <definedName name="을13">#REF!,#REF!,#REF!,#REF!,#REF!,#REF!,#REF!</definedName>
    <definedName name="을14">#REF!,#REF!,#REF!,#REF!,#REF!,#REF!,#REF!</definedName>
    <definedName name="을15">#REF!,#REF!,#REF!,#REF!,#REF!</definedName>
    <definedName name="을2">#REF!,#REF!,#REF!,#REF!,#REF!,#REF!,#REF!</definedName>
    <definedName name="을3">#REF!,#REF!,#REF!,#REF!,#REF!,#REF!,#REF!</definedName>
    <definedName name="을4">#REF!,#REF!,#REF!,#REF!,#REF!,#REF!,#REF!</definedName>
    <definedName name="을5">#REF!,#REF!,#REF!,#REF!,#REF!,#REF!,#REF!</definedName>
    <definedName name="을6">#REF!,#REF!,#REF!,#REF!,#REF!,#REF!,#REF!</definedName>
    <definedName name="을7">#REF!,#REF!,#REF!,#REF!,#REF!,#REF!,#REF!</definedName>
    <definedName name="을8">#REF!,#REF!,#REF!,#REF!,#REF!,#REF!,#REF!</definedName>
    <definedName name="을9">#REF!,#REF!,#REF!,#REF!,#REF!,#REF!,#REF!</definedName>
    <definedName name="을면1">#REF!,#REF!,#REF!,#REF!,#REF!,#REF!</definedName>
    <definedName name="을면10">#REF!,#REF!,#REF!,#REF!,#REF!,#REF!,#REF!</definedName>
    <definedName name="을면11">#REF!,#REF!,#REF!,#REF!,#REF!,#REF!,#REF!</definedName>
    <definedName name="을면12">#REF!,#REF!,#REF!,#REF!,#REF!,#REF!,#REF!</definedName>
    <definedName name="을면13">#REF!,#REF!,#REF!,#REF!,#REF!,#REF!,#REF!</definedName>
    <definedName name="을면14">#REF!,#REF!,#REF!,#REF!,#REF!,#REF!,#REF!</definedName>
    <definedName name="을면15">#REF!,#REF!,#REF!,#REF!,#REF!</definedName>
    <definedName name="을면2">#REF!,#REF!,#REF!,#REF!,#REF!,#REF!,#REF!</definedName>
    <definedName name="을면3">#REF!,#REF!,#REF!,#REF!,#REF!,#REF!,#REF!</definedName>
    <definedName name="을면4">#REF!,#REF!,#REF!,#REF!,#REF!,#REF!,#REF!</definedName>
    <definedName name="을면5">#REF!,#REF!,#REF!,#REF!,#REF!,#REF!,#REF!</definedName>
    <definedName name="을면6">#REF!,#REF!,#REF!,#REF!,#REF!,#REF!,#REF!</definedName>
    <definedName name="을면7">#REF!,#REF!,#REF!,#REF!,#REF!,#REF!,#REF!</definedName>
    <definedName name="을면8">#REF!,#REF!,#REF!,#REF!,#REF!,#REF!,#REF!</definedName>
    <definedName name="을면9">#REF!,#REF!,#REF!,#REF!,#REF!,#REF!,#REF!</definedName>
    <definedName name="을부담품목별중량계">#REF!</definedName>
    <definedName name="응용" hidden="1">{"'용역비'!$A$4:$C$8"}</definedName>
    <definedName name="응용SW인건비">#REF!</definedName>
    <definedName name="의무부대집계">#REF!</definedName>
    <definedName name="의무지역업체">#REF!</definedName>
    <definedName name="이">#REF!,#REF!,#REF!,#REF!,#REF!,#REF!,#REF!,#REF!,#REF!,#REF!,#REF!,#REF!,#REF!,#REF!,#REF!,#REF!,#REF!,#REF!,#REF!</definedName>
    <definedName name="이각">#REF!</definedName>
    <definedName name="이각노">#REF!</definedName>
    <definedName name="이각재">#REF!</definedName>
    <definedName name="이각지주목">#REF!</definedName>
    <definedName name="이경소켓20_13">#REF!</definedName>
    <definedName name="이경소켓25_13">#REF!</definedName>
    <definedName name="이경소켓25_20">#REF!</definedName>
    <definedName name="이경소켓30_13">#REF!</definedName>
    <definedName name="이경소켓30_20">#REF!</definedName>
    <definedName name="이경소켓30_25">#REF!</definedName>
    <definedName name="이경소켓40_16">#REF!</definedName>
    <definedName name="이경소켓40_20">#REF!</definedName>
    <definedName name="이경소켓40_25">#REF!</definedName>
    <definedName name="이경소켓40_30">#REF!</definedName>
    <definedName name="이경소켓50_20">#REF!</definedName>
    <definedName name="이경소켓50_25">#REF!</definedName>
    <definedName name="이경소켓50_30">#REF!</definedName>
    <definedName name="이경소켓50_40">#REF!</definedName>
    <definedName name="이경소켓75_50">#REF!</definedName>
    <definedName name="이경티형관25_16">#REF!</definedName>
    <definedName name="이경티형관50_25">#REF!</definedName>
    <definedName name="이경티형관75_50">#REF!</definedName>
    <definedName name="이공구" localSheetId="11">#REF!,#REF!</definedName>
    <definedName name="이공구" localSheetId="13">#REF!,#REF!</definedName>
    <definedName name="이공구" localSheetId="15">#REF!,#REF!</definedName>
    <definedName name="이공구">#REF!,#REF!</definedName>
    <definedName name="이공구가설비">#REF!</definedName>
    <definedName name="이공구간접노무비">#REF!</definedName>
    <definedName name="이공구공사원가">#REF!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급">#REF!</definedName>
    <definedName name="이급2">#REF!</definedName>
    <definedName name="이김">#N/A</definedName>
    <definedName name="이노">#REF!</definedName>
    <definedName name="이동" localSheetId="0" hidden="1">{#N/A,#N/A,FALSE,"조골재"}</definedName>
    <definedName name="이동" hidden="1">{#N/A,#N/A,FALSE,"조골재"}</definedName>
    <definedName name="이동23">#REF!</definedName>
    <definedName name="이동조소">#REF!</definedName>
    <definedName name="이라">#REF!</definedName>
    <definedName name="이러">#REF!</definedName>
    <definedName name="이런">#REF!</definedName>
    <definedName name="이름" hidden="1">#REF!</definedName>
    <definedName name="이릉" localSheetId="19" hidden="1">#REF!</definedName>
    <definedName name="이릉" localSheetId="21" hidden="1">#REF!</definedName>
    <definedName name="이릉" localSheetId="23" hidden="1">#REF!</definedName>
    <definedName name="이릉" localSheetId="3" hidden="1">#REF!</definedName>
    <definedName name="이릉" localSheetId="5" hidden="1">#REF!</definedName>
    <definedName name="이릉" localSheetId="7" hidden="1">#REF!</definedName>
    <definedName name="이릉" localSheetId="9" hidden="1">#REF!</definedName>
    <definedName name="이릉" localSheetId="11" hidden="1">#REF!</definedName>
    <definedName name="이릉" localSheetId="13" hidden="1">#REF!</definedName>
    <definedName name="이릉" localSheetId="15" hidden="1">#REF!</definedName>
    <definedName name="이릉" localSheetId="17" hidden="1">#REF!</definedName>
    <definedName name="이릉" localSheetId="0" hidden="1">#REF!</definedName>
    <definedName name="이릉" hidden="1">#REF!</definedName>
    <definedName name="이면배선">#REF!</definedName>
    <definedName name="이미" hidden="1">#REF!</definedName>
    <definedName name="이미리" hidden="1">#REF!</definedName>
    <definedName name="이삼">#REF!</definedName>
    <definedName name="이상">#REF!</definedName>
    <definedName name="이상김">#N/A</definedName>
    <definedName name="이성희">#REF!</definedName>
    <definedName name="이수경비">#REF!</definedName>
    <definedName name="이수노무">#REF!</definedName>
    <definedName name="이수시경비">#REF!</definedName>
    <definedName name="이수시노무">#REF!</definedName>
    <definedName name="이수시재료">#REF!</definedName>
    <definedName name="이수재료">#REF!</definedName>
    <definedName name="이순신">#REF!</definedName>
    <definedName name="이윤">#REF!</definedName>
    <definedName name="이윤11">#REF!</definedName>
    <definedName name="이윤22">#REF!</definedName>
    <definedName name="이윤요율">#REF!</definedName>
    <definedName name="이윤요율_변경">#REF!</definedName>
    <definedName name="이윤율">#REF!</definedName>
    <definedName name="이윤조정액">#REF!</definedName>
    <definedName name="이율곡">#REF!</definedName>
    <definedName name="이음관100">#REF!</definedName>
    <definedName name="이음관150">#REF!</definedName>
    <definedName name="이음관200">#REF!</definedName>
    <definedName name="이음관300">#REF!</definedName>
    <definedName name="이음관400">#REF!</definedName>
    <definedName name="이음관500">#REF!</definedName>
    <definedName name="이음관600">#REF!</definedName>
    <definedName name="이음관700">#REF!</definedName>
    <definedName name="이음관80">#REF!</definedName>
    <definedName name="이음관800">#REF!</definedName>
    <definedName name="이음철물">#REF!</definedName>
    <definedName name="이응각">#REF!</definedName>
    <definedName name="이이">#REF!</definedName>
    <definedName name="이인자" localSheetId="0" hidden="1">{#N/A,#N/A,FALSE,"현장 NCR 분석";#N/A,#N/A,FALSE,"현장품질감사";#N/A,#N/A,FALSE,"현장품질감사"}</definedName>
    <definedName name="이인자" hidden="1">{#N/A,#N/A,FALSE,"현장 NCR 분석";#N/A,#N/A,FALSE,"현장품질감사";#N/A,#N/A,FALSE,"현장품질감사"}</definedName>
    <definedName name="이자">#REF!</definedName>
    <definedName name="이자율">0.125</definedName>
    <definedName name="이재">#REF!</definedName>
    <definedName name="이재명">#REF!</definedName>
    <definedName name="이재명1">#REF!</definedName>
    <definedName name="이재명3">#REF!</definedName>
    <definedName name="이재명4">#REF!</definedName>
    <definedName name="이정" localSheetId="0" hidden="1">{#N/A,#N/A,FALSE,"2~8번"}</definedName>
    <definedName name="이정" hidden="1">{#N/A,#N/A,FALSE,"2~8번"}</definedName>
    <definedName name="이종훈" hidden="1">#REF!</definedName>
    <definedName name="이차기계비">#REF!</definedName>
    <definedName name="이차심사">#REF!</definedName>
    <definedName name="이차여비">#REF!</definedName>
    <definedName name="이차현지검측">#REF!</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토_배관물량">#REF!</definedName>
    <definedName name="이토변실">#REF!</definedName>
    <definedName name="이팝나무H3.5">#REF!</definedName>
    <definedName name="이현구">#REF!</definedName>
    <definedName name="이형관">#REF!</definedName>
    <definedName name="이호표">#REF!</definedName>
    <definedName name="이희선">#REF!,#REF!</definedName>
    <definedName name="이히">#REF!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건비">#REF!</definedName>
    <definedName name="인공">#REF!</definedName>
    <definedName name="인구">#REF!</definedName>
    <definedName name="인력">#REF!</definedName>
    <definedName name="인력2">#REF!</definedName>
    <definedName name="인력3">#REF!</definedName>
    <definedName name="인력관리">#REF!</definedName>
    <definedName name="인력수">#REF!</definedName>
    <definedName name="인력품">#REF!</definedName>
    <definedName name="인문경비">#REF!</definedName>
    <definedName name="인문노무">#REF!</definedName>
    <definedName name="인문산업">#REF!</definedName>
    <definedName name="인문재료">#REF!</definedName>
    <definedName name="인버트두께">#REF!</definedName>
    <definedName name="인부">#REF!</definedName>
    <definedName name="인부1">#REF!</definedName>
    <definedName name="인부2">#REF!</definedName>
    <definedName name="인부Q">#REF!</definedName>
    <definedName name="인부노무비">#REF!</definedName>
    <definedName name="인산염">#REF!</definedName>
    <definedName name="인상익" localSheetId="28">BlankMacro1</definedName>
    <definedName name="인상익" localSheetId="24">BlankMacro1</definedName>
    <definedName name="인상익" localSheetId="26">BlankMacro1</definedName>
    <definedName name="인상익" localSheetId="27">BlankMacro1</definedName>
    <definedName name="인상익">BlankMacro1</definedName>
    <definedName name="인쇄">#REF!</definedName>
    <definedName name="인쇄량">#REF!</definedName>
    <definedName name="인쇄비">#REF!</definedName>
    <definedName name="인쇄비단가">#REF!</definedName>
    <definedName name="인쇄비산출">#REF!</definedName>
    <definedName name="인쇄수량">#REF!</definedName>
    <definedName name="인쇄양식">#N/A</definedName>
    <definedName name="인쇄영역">#REF!</definedName>
    <definedName name="인쇄영역2">#REF!</definedName>
    <definedName name="인원">#REF!</definedName>
    <definedName name="인천" localSheetId="0" hidden="1">{#N/A,#N/A,FALSE,"P.C.B"}</definedName>
    <definedName name="인천" hidden="1">{#N/A,#N/A,FALSE,"P.C.B"}</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터넷">#REF!</definedName>
    <definedName name="인테리어">#REF!</definedName>
    <definedName name="인테리어소계">#REF!</definedName>
    <definedName name="인테호표">#REF!</definedName>
    <definedName name="인트라넷">#REF!</definedName>
    <definedName name="인화">#REF!</definedName>
    <definedName name="일">#REF!</definedName>
    <definedName name="일.화장실및관리실">#N/A</definedName>
    <definedName name="일1">#REF!</definedName>
    <definedName name="일2">#REF!</definedName>
    <definedName name="일3">#REF!</definedName>
    <definedName name="일4">#REF!</definedName>
    <definedName name="일5">#REF!</definedName>
    <definedName name="일6">#REF!</definedName>
    <definedName name="일7">#REF!</definedName>
    <definedName name="일8">#REF!</definedName>
    <definedName name="일B0.6">#REF!</definedName>
    <definedName name="일B6">#REF!</definedName>
    <definedName name="일각">#REF!</definedName>
    <definedName name="일공구가설">#REF!</definedName>
    <definedName name="일공구가설비">#N/A</definedName>
    <definedName name="일공구간노">#REF!</definedName>
    <definedName name="일공구간접노무비">#N/A</definedName>
    <definedName name="일공구공사">#REF!</definedName>
    <definedName name="일공구공사원가">#N/A</definedName>
    <definedName name="일공구기계경비">#N/A</definedName>
    <definedName name="일공구기타경">#REF!</definedName>
    <definedName name="일공구기타경비">#N/A</definedName>
    <definedName name="일공구도급공사비">#N/A</definedName>
    <definedName name="일공구부가">#REF!</definedName>
    <definedName name="일공구부가가치세">#N/A</definedName>
    <definedName name="일공구산재">#REF!</definedName>
    <definedName name="일공구산재보험료">#N/A</definedName>
    <definedName name="일공구안전관리비">#N/A</definedName>
    <definedName name="일공구이윤">#N/A</definedName>
    <definedName name="일공구일반">#REF!</definedName>
    <definedName name="일공구일반관리비">#N/A</definedName>
    <definedName name="일공구직영비">#REF!</definedName>
    <definedName name="일공구직접노무비">#N/A</definedName>
    <definedName name="일공구직접재료비">#N/A</definedName>
    <definedName name="일공구품질">#REF!</definedName>
    <definedName name="일공구품질관리비">#N/A</definedName>
    <definedName name="일급">#REF!</definedName>
    <definedName name="일급2">#REF!</definedName>
    <definedName name="일대">#REF!</definedName>
    <definedName name="일대1">#REF!</definedName>
    <definedName name="일반">#REF!</definedName>
    <definedName name="일반11">#REF!</definedName>
    <definedName name="일반112">#REF!</definedName>
    <definedName name="일반관리">#REF!</definedName>
    <definedName name="일반관리123">#REF!</definedName>
    <definedName name="일반관리비">#REF!</definedName>
    <definedName name="일반관리비요율">#REF!</definedName>
    <definedName name="일반관리비요율_변경">#REF!</definedName>
    <definedName name="일반관리비율">#REF!</definedName>
    <definedName name="일반부" localSheetId="0" hidden="1">{#N/A,#N/A,FALSE,"조골재"}</definedName>
    <definedName name="일반부" hidden="1">{#N/A,#N/A,FALSE,"조골재"}</definedName>
    <definedName name="일반부_1" localSheetId="0" hidden="1">{#N/A,#N/A,FALSE,"조골재"}</definedName>
    <definedName name="일반부_1" hidden="1">{#N/A,#N/A,FALSE,"조골재"}</definedName>
    <definedName name="일반분석1">#REF!</definedName>
    <definedName name="일반철콘" hidden="1">{#N/A,#N/A,FALSE,"토공2"}</definedName>
    <definedName name="일산신도시">#REF!</definedName>
    <definedName name="일선종건" localSheetId="0" hidden="1">{#N/A,#N/A,FALSE,"현장 NCR 분석";#N/A,#N/A,FALSE,"현장품질감사";#N/A,#N/A,FALSE,"현장품질감사"}</definedName>
    <definedName name="일선종건" hidden="1">{#N/A,#N/A,FALSE,"현장 NCR 분석";#N/A,#N/A,FALSE,"현장품질감사";#N/A,#N/A,FALSE,"현장품질감사"}</definedName>
    <definedName name="일수">#REF!</definedName>
    <definedName name="일위">#REF!</definedName>
    <definedName name="일위1">#REF!</definedName>
    <definedName name="일위3">#REF!</definedName>
    <definedName name="일위대가">#REF!</definedName>
    <definedName name="일위대가_HW" localSheetId="11">BlankMacro1</definedName>
    <definedName name="일위대가_HW" localSheetId="13">BlankMacro1</definedName>
    <definedName name="일위대가_HW" localSheetId="15">BlankMacro1</definedName>
    <definedName name="일위대가_HW" localSheetId="28">BlankMacro1</definedName>
    <definedName name="일위대가_HW" localSheetId="24">BlankMacro1</definedName>
    <definedName name="일위대가_HW" localSheetId="26">BlankMacro1</definedName>
    <definedName name="일위대가_HW" localSheetId="27">BlankMacro1</definedName>
    <definedName name="일위대가_HW">BlankMacro1</definedName>
    <definedName name="일위대가_수정">#REF!</definedName>
    <definedName name="일위대가11">#REF!</definedName>
    <definedName name="일위대가4">#REF!</definedName>
    <definedName name="일위대가표">#REF!</definedName>
    <definedName name="일위대까">#REF!</definedName>
    <definedName name="일위목록">#REF!</definedName>
    <definedName name="일위수량">#REF!</definedName>
    <definedName name="일위전기">#REF!</definedName>
    <definedName name="일위호표">#REF!</definedName>
    <definedName name="일의01">#REF!</definedName>
    <definedName name="일조장해">#REF!</definedName>
    <definedName name="일집" hidden="1">#REF!</definedName>
    <definedName name="일차기계비">#REF!</definedName>
    <definedName name="일차심사">#REF!</definedName>
    <definedName name="일차여비">#REF!</definedName>
    <definedName name="일차현지검측">#REF!</definedName>
    <definedName name="일출력">#REF!</definedName>
    <definedName name="일호표">#REF!</definedName>
    <definedName name="임" localSheetId="0">#REF!</definedName>
    <definedName name="임">#REF!</definedName>
    <definedName name="임금">#REF!</definedName>
    <definedName name="임ㄴ" hidden="1">{"'공사부문'!$A$6:$A$32"}</definedName>
    <definedName name="임대면적">#REF!</definedName>
    <definedName name="임대비">#REF!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야_경비">#REF!</definedName>
    <definedName name="임야_노무비">#REF!</definedName>
    <definedName name="임직">#REF!</definedName>
    <definedName name="입력">#REF!,#REF!,#REF!,#REF!,#REF!,#REF!,#REF!,#REF!,#REF!,#REF!,#REF!,#REF!</definedName>
    <definedName name="입력노임">#REF!</definedName>
    <definedName name="입력레이어">#REF!</definedName>
    <definedName name="입력물수">#REF!</definedName>
    <definedName name="입력선택">#REF!</definedName>
    <definedName name="입력일수">#REF!</definedName>
    <definedName name="입력작업량">#REF!</definedName>
    <definedName name="입력지형계수">#REF!</definedName>
    <definedName name="입력현황1" hidden="1">{#N/A,#N/A,FALSE,"DAOCM 2차 검토"}</definedName>
    <definedName name="입안1호">#REF!</definedName>
    <definedName name="입안2호">#REF!</definedName>
    <definedName name="입안3호">#REF!</definedName>
    <definedName name="입안4호">#REF!</definedName>
    <definedName name="입안기존2">#REF!</definedName>
    <definedName name="잉크가격">#REF!</definedName>
    <definedName name="잉크단가">#REF!</definedName>
    <definedName name="ㅈ" localSheetId="0" hidden="1">{#N/A,#N/A,FALSE,"혼합골재"}</definedName>
    <definedName name="ㅈ" hidden="1">{#N/A,#N/A,FALSE,"혼합골재"}</definedName>
    <definedName name="ㅈ1">#REF!</definedName>
    <definedName name="ㅈ56ㅕ" hidden="1">{"'용역비'!$A$4:$C$8"}</definedName>
    <definedName name="ㅈㄱ" localSheetId="0" hidden="1">{#N/A,#N/A,FALSE,"조골재"}</definedName>
    <definedName name="ㅈㄱ" hidden="1">{#N/A,#N/A,FALSE,"조골재"}</definedName>
    <definedName name="ㅈㄱ_1" localSheetId="0" hidden="1">{#N/A,#N/A,FALSE,"조골재"}</definedName>
    <definedName name="ㅈㄱ_1" hidden="1">{#N/A,#N/A,FALSE,"조골재"}</definedName>
    <definedName name="ㅈㄱ혿곧">#REF!</definedName>
    <definedName name="ㅈㄷ"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ㄱ">#REF!</definedName>
    <definedName name="ㅈㄷㄱㄷㄱㄷ" hidden="1">{"'용역비'!$A$4:$C$8"}</definedName>
    <definedName name="ㅈㄷㄱㅈㄱㅈ" localSheetId="0" hidden="1">{#N/A,#N/A,FALSE,"구조1"}</definedName>
    <definedName name="ㅈㄷㄱㅈㄱㅈ" hidden="1">{#N/A,#N/A,FALSE,"구조1"}</definedName>
    <definedName name="ㅈㄷㄱㅈㄷㄱ" hidden="1">{"'5국공정'!$A$1:$E$128"}</definedName>
    <definedName name="ㅈㄷㄻㅇㄹ" hidden="1">#REF!</definedName>
    <definedName name="ㅈㄷㄻㅈ" hidden="1">#REF!</definedName>
    <definedName name="ㅈㄷㅈㄷ">#REF!</definedName>
    <definedName name="ㅈㅅ">#REF!</definedName>
    <definedName name="ㅈㅇ" hidden="1">{"'용역비'!$A$4:$C$8"}</definedName>
    <definedName name="ㅈㅈ" localSheetId="19">#REF!</definedName>
    <definedName name="ㅈㅈ" localSheetId="21">#REF!</definedName>
    <definedName name="ㅈㅈ" localSheetId="23">#REF!</definedName>
    <definedName name="ㅈㅈ" localSheetId="3">#REF!</definedName>
    <definedName name="ㅈㅈ" localSheetId="5">#REF!</definedName>
    <definedName name="ㅈㅈ" localSheetId="7">#REF!</definedName>
    <definedName name="ㅈㅈ" localSheetId="9">#REF!</definedName>
    <definedName name="ㅈㅈ" localSheetId="11">#REF!</definedName>
    <definedName name="ㅈㅈ" localSheetId="13">#REF!</definedName>
    <definedName name="ㅈㅈ" localSheetId="15">#REF!</definedName>
    <definedName name="ㅈㅈ" localSheetId="17">#REF!</definedName>
    <definedName name="ㅈㅈ" localSheetId="0">#REF!</definedName>
    <definedName name="ㅈㅈ">#REF!</definedName>
    <definedName name="ㅈㅈㅈ">#REF!</definedName>
    <definedName name="ㅈㅈㅈㅈ">[0]!ㅈㅈㅈㅈ</definedName>
    <definedName name="자">#REF!</definedName>
    <definedName name="자_트">#REF!</definedName>
    <definedName name="자R10">#REF!</definedName>
    <definedName name="자R15">#REF!</definedName>
    <definedName name="자R20">#REF!</definedName>
    <definedName name="자R5">#REF!</definedName>
    <definedName name="자R6">#REF!</definedName>
    <definedName name="자R7">#REF!</definedName>
    <definedName name="자R8">#REF!</definedName>
    <definedName name="자W0.3">#REF!</definedName>
    <definedName name="자W0.4">#REF!</definedName>
    <definedName name="자W0.5">#REF!</definedName>
    <definedName name="자W0.6">#REF!</definedName>
    <definedName name="자W0.8">#REF!</definedName>
    <definedName name="자W1.0">#REF!</definedName>
    <definedName name="자W1.2">#REF!</definedName>
    <definedName name="자갈">#REF!</definedName>
    <definedName name="자갈25">#REF!</definedName>
    <definedName name="자갈경">#REF!</definedName>
    <definedName name="자갈구입운반_덤프15톤_경운기__㎥당">#REF!</definedName>
    <definedName name="자갈노">#REF!</definedName>
    <definedName name="자갈시멘트모래">#REF!</definedName>
    <definedName name="자갈운반">[0]!자갈운반</definedName>
    <definedName name="자갈운반경">#REF!</definedName>
    <definedName name="자갈운반노">#REF!</definedName>
    <definedName name="자갈운반재">#REF!</definedName>
    <definedName name="자갈재">#REF!</definedName>
    <definedName name="자귀">#REF!</definedName>
    <definedName name="자귀나무H3.0xR8">#REF!</definedName>
    <definedName name="자동" hidden="1">{#N/A,#N/A,FALSE,"전력간선"}</definedName>
    <definedName name="자동제어1차공량산출" localSheetId="28">BlankMacro1</definedName>
    <definedName name="자동제어1차공량산출" localSheetId="24">BlankMacro1</definedName>
    <definedName name="자동제어1차공량산출" localSheetId="26">BlankMacro1</definedName>
    <definedName name="자동제어1차공량산출" localSheetId="27">BlankMacro1</definedName>
    <definedName name="자동제어1차공량산출">BlankMacro1</definedName>
    <definedName name="자료">#REF!</definedName>
    <definedName name="자료경비">#REF!</definedName>
    <definedName name="자료관리">#REF!</definedName>
    <definedName name="자료노무">#REF!</definedName>
    <definedName name="자료재료">#REF!</definedName>
    <definedName name="자료표">#REF!</definedName>
    <definedName name="자리수">#REF!</definedName>
    <definedName name="자문비">#REF!</definedName>
    <definedName name="자문비비" hidden="1">{"SJ - 기본 보기",#N/A,FALSE,"공사별 외주견적"}</definedName>
    <definedName name="자미" hidden="1">{#N/A,#N/A,FALSE,"명세표"}</definedName>
    <definedName name="자연경비">#REF!</definedName>
    <definedName name="자연노무">#REF!</definedName>
    <definedName name="자연석1">#REF!</definedName>
    <definedName name="자연석2">#REF!</definedName>
    <definedName name="자연석3">#REF!</definedName>
    <definedName name="자연석경">#REF!</definedName>
    <definedName name="자연석노">#REF!</definedName>
    <definedName name="자연석쌓기경">#REF!</definedName>
    <definedName name="자연석쌓기노">#REF!</definedName>
    <definedName name="자연석쌓기재">#REF!</definedName>
    <definedName name="자연석재">#REF!</definedName>
    <definedName name="자연수위">#REF!</definedName>
    <definedName name="자연재료">#REF!</definedName>
    <definedName name="자원경비">#REF!</definedName>
    <definedName name="자원노무">#REF!</definedName>
    <definedName name="자원재료">#REF!</definedName>
    <definedName name="자유세">#REF!</definedName>
    <definedName name="자유주민세">#REF!</definedName>
    <definedName name="자자자자" hidden="1">#REF!</definedName>
    <definedName name="자재">#REF!</definedName>
    <definedName name="자재1">#REF!</definedName>
    <definedName name="자재단가">#REF!</definedName>
    <definedName name="자재단가근거" hidden="1">#REF!</definedName>
    <definedName name="자재대경비">#REF!</definedName>
    <definedName name="자재대노무비">#REF!</definedName>
    <definedName name="자재대재료비">#REF!</definedName>
    <definedName name="자재비">#REF!</definedName>
    <definedName name="자재비.">#REF!</definedName>
    <definedName name="자재일람">#REF!</definedName>
    <definedName name="자재집계" localSheetId="0" hidden="1">{#N/A,#N/A,FALSE,"포장단가"}</definedName>
    <definedName name="자재집계" hidden="1">{#N/A,#N/A,FALSE,"포장단가"}</definedName>
    <definedName name="자재집계표" localSheetId="0" hidden="1">{#N/A,#N/A,FALSE,"포장단가"}</definedName>
    <definedName name="자재집계표" hidden="1">{#N/A,#N/A,FALSE,"포장단가"}</definedName>
    <definedName name="자재집계표1">#REF!</definedName>
    <definedName name="자지" hidden="1">{#N/A,#N/A,FALSE,"부대2"}</definedName>
    <definedName name="작업">#REF!</definedName>
    <definedName name="작업계수">#REF!</definedName>
    <definedName name="작업관리">#REF!</definedName>
    <definedName name="작업량증감계수">#REF!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부산물">#REF!</definedName>
    <definedName name="작업시간">#REF!</definedName>
    <definedName name="작은금액">#REF!</definedName>
    <definedName name="작은금액요율">#REF!</definedName>
    <definedName name="잔디">#REF!</definedName>
    <definedName name="잔디1">#REF!</definedName>
    <definedName name="잔디5경">#REF!</definedName>
    <definedName name="잔디5노무">#REF!</definedName>
    <definedName name="잔디5재료">#REF!</definedName>
    <definedName name="잔액">#REF!</definedName>
    <definedName name="잔자갈노">#REF!</definedName>
    <definedName name="잔자갈재">#REF!</definedName>
    <definedName name="잔토">#REF!</definedName>
    <definedName name="잔토Q135사석불량">#REF!</definedName>
    <definedName name="잔토Q135사석실가동불량">#REF!</definedName>
    <definedName name="잔토Q135토사불량">#REF!</definedName>
    <definedName name="잔토Q135토사실가동불량">#REF!</definedName>
    <definedName name="잔토Q45사석불량">#REF!</definedName>
    <definedName name="잔토Q45사석실가동불량">#REF!</definedName>
    <definedName name="잔토Q45토사불량">#REF!</definedName>
    <definedName name="잔토Q45토사실가동불량">#REF!</definedName>
    <definedName name="잔토Q90사석">#REF!</definedName>
    <definedName name="잔토Q90사석불량">#REF!</definedName>
    <definedName name="잔토Q90사석실가동">#REF!</definedName>
    <definedName name="잔토Q90사석실가동불량">#REF!</definedName>
    <definedName name="잔토Q90토사">#REF!</definedName>
    <definedName name="잔토Q90토사불량">#REF!</definedName>
    <definedName name="잔토Q90토사실가동">#REF!</definedName>
    <definedName name="잔토Q90토사실가동불량">#REF!</definedName>
    <definedName name="잔토Q인력사석불량">#REF!</definedName>
    <definedName name="잔토Q인력사석실가동불량">#REF!</definedName>
    <definedName name="잔토Q인력토사불량">#REF!</definedName>
    <definedName name="잔토Q인력토사실가동불량">#REF!</definedName>
    <definedName name="잔토경">#REF!</definedName>
    <definedName name="잔토노">#REF!</definedName>
    <definedName name="잔토재">#REF!</definedName>
    <definedName name="잔토처리">[0]!잔토처리</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잠원동" localSheetId="11">#REF!,#REF!</definedName>
    <definedName name="잠원동" localSheetId="13">#REF!,#REF!</definedName>
    <definedName name="잠원동" localSheetId="15">#REF!,#REF!</definedName>
    <definedName name="잠원동">#REF!,#REF!</definedName>
    <definedName name="잡문서_추__3__List">#REF!</definedName>
    <definedName name="잡석">#REF!</definedName>
    <definedName name="잡석노">#REF!</definedName>
    <definedName name="잡석재">#REF!</definedName>
    <definedName name="잡자재비">#REF!</definedName>
    <definedName name="잡지출">[0]!잡지출</definedName>
    <definedName name="잡지출수">#REF!</definedName>
    <definedName name="잡지출평">#REF!</definedName>
    <definedName name="잡철경">#REF!</definedName>
    <definedName name="잡철노">#REF!</definedName>
    <definedName name="잡철재">#REF!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 localSheetId="0" hidden="1">{"'정산내역서'!$A$1:$I$35","'정산서(절.성토부)'!$A$1:$Q$17","'정산서(교량부)'!$A$1:$Q$84","'총괄표'!$A$1:$M$12","'시행현황'!$A$1:$G$12","'표지'!$A$1:$N$27","'정산서(절.성토부)'!$A$3:$Q$7"}</definedName>
    <definedName name="장" hidden="1">{"'정산내역서'!$A$1:$I$35","'정산서(절.성토부)'!$A$1:$Q$17","'정산서(교량부)'!$A$1:$Q$84","'총괄표'!$A$1:$M$12","'시행현황'!$A$1:$G$12","'표지'!$A$1:$N$27","'정산서(절.성토부)'!$A$3:$Q$7"}</definedName>
    <definedName name="장1">#REF!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고개터널A1353">#REF!</definedName>
    <definedName name="장래경비">#REF!</definedName>
    <definedName name="장래노무">#REF!</definedName>
    <definedName name="장비">#REF!</definedName>
    <definedName name="장비내역" hidden="1">#REF!</definedName>
    <definedName name="장비총액">#REF!</definedName>
    <definedName name="장산1">#REF!</definedName>
    <definedName name="장산2">#REF!</definedName>
    <definedName name="장산3">#REF!</definedName>
    <definedName name="장산교" localSheetId="19">#REF!</definedName>
    <definedName name="장산교" localSheetId="21">#REF!</definedName>
    <definedName name="장산교" localSheetId="23">#REF!</definedName>
    <definedName name="장산교" localSheetId="3">#REF!</definedName>
    <definedName name="장산교" localSheetId="5">#REF!</definedName>
    <definedName name="장산교" localSheetId="7">#REF!</definedName>
    <definedName name="장산교" localSheetId="9">#REF!</definedName>
    <definedName name="장산교" localSheetId="11">#REF!</definedName>
    <definedName name="장산교" localSheetId="13">#REF!</definedName>
    <definedName name="장산교" localSheetId="15">#REF!</definedName>
    <definedName name="장산교" localSheetId="17">#REF!</definedName>
    <definedName name="장산교">#REF!</definedName>
    <definedName name="장상교">#REF!</definedName>
    <definedName name="장순상">#REF!</definedName>
    <definedName name="장준영" hidden="1">#REF!</definedName>
    <definedName name="장준영12" hidden="1">#REF!</definedName>
    <definedName name="장준영2" hidden="1">#REF!</definedName>
    <definedName name="장집" hidden="1">{"'용역비'!$A$4:$C$8"}</definedName>
    <definedName name="장춘">#REF!</definedName>
    <definedName name="재">#REF!</definedName>
    <definedName name="재1">#REF!</definedName>
    <definedName name="재2">#REF!</definedName>
    <definedName name="재3">#REF!</definedName>
    <definedName name="재4">#REF!</definedName>
    <definedName name="재5">#REF!</definedName>
    <definedName name="재6">#REF!</definedName>
    <definedName name="재7">#REF!</definedName>
    <definedName name="재8">#REF!</definedName>
    <definedName name="재9">#REF!</definedName>
    <definedName name="재구조화비율">#REF!</definedName>
    <definedName name="재단">#REF!</definedName>
    <definedName name="재단가">#REF!</definedName>
    <definedName name="재단기">#REF!</definedName>
    <definedName name="재료">#REF!</definedName>
    <definedName name="재료123">#REF!</definedName>
    <definedName name="재료경비">#REF!</definedName>
    <definedName name="재료계">#REF!</definedName>
    <definedName name="재료계산2">#REF!</definedName>
    <definedName name="재료단가">#REF!</definedName>
    <definedName name="재료비">#REF!</definedName>
    <definedName name="재료비_도면출력">#REF!</definedName>
    <definedName name="재료비1">#REF!</definedName>
    <definedName name="재료비2">#REF!</definedName>
    <definedName name="재료비3">#REF!</definedName>
    <definedName name="재료비계">#REF!</definedName>
    <definedName name="재료비금액">#REF!</definedName>
    <definedName name="재료비단가">#REF!</definedName>
    <definedName name="재료비합">#REF!</definedName>
    <definedName name="재료비합계">#REF!</definedName>
    <definedName name="재료원단위1">#REF!</definedName>
    <definedName name="재료원단위산출">#REF!</definedName>
    <definedName name="재료집계2">#REF!</definedName>
    <definedName name="재료집계3">#REF!</definedName>
    <definedName name="재료집계호남">#REF!</definedName>
    <definedName name="재료표">#REF!</definedName>
    <definedName name="재료품명">#REF!</definedName>
    <definedName name="재희" hidden="1">{#N/A,#N/A,FALSE,"골재소요량";#N/A,#N/A,FALSE,"골재소요량"}</definedName>
    <definedName name="저감방안">#REF!</definedName>
    <definedName name="저감방안수립">#REF!</definedName>
    <definedName name="저격2">#REF!</definedName>
    <definedName name="저상">#REF!</definedName>
    <definedName name="저수조만수위">#REF!</definedName>
    <definedName name="저압케이블공">[0]!저압케이블공</definedName>
    <definedName name="저압케이블전공" localSheetId="2">#REF!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입케이블전공">#REF!</definedName>
    <definedName name="저케">#REF!</definedName>
    <definedName name="저판">#REF!</definedName>
    <definedName name="적용" hidden="1">#REF!</definedName>
    <definedName name="적용1">#REF!</definedName>
    <definedName name="적용2">#REF!</definedName>
    <definedName name="적용3">#REF!</definedName>
    <definedName name="적용4">#REF!</definedName>
    <definedName name="적용5">#REF!</definedName>
    <definedName name="적용거리">#REF!</definedName>
    <definedName name="적용단가근거">#REF!</definedName>
    <definedName name="적용속도">#REF!</definedName>
    <definedName name="적용연장">#REF!</definedName>
    <definedName name="적용연장비">#REF!</definedName>
    <definedName name="적용전선">#REF!</definedName>
    <definedName name="적용전선1">#REF!</definedName>
    <definedName name="적용톤수">#REF!</definedName>
    <definedName name="적용호표">#REF!</definedName>
    <definedName name="적용호표1">#REF!</definedName>
    <definedName name="전">#REF!</definedName>
    <definedName name="전___산___비">#REF!</definedName>
    <definedName name="전1">#REF!</definedName>
    <definedName name="전2">#REF!</definedName>
    <definedName name="전광속">#REF!</definedName>
    <definedName name="전기">#REF!</definedName>
    <definedName name="전기공사">#N/A</definedName>
    <definedName name="전기공사기사">#REF!</definedName>
    <definedName name="전기공사기사_전기공사기사1급">#REF!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#REF!</definedName>
    <definedName name="전기공사산업기사_전기공사기사2급">#REF!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내역" localSheetId="28">BlankMacro1</definedName>
    <definedName name="전기내역" localSheetId="24">BlankMacro1</definedName>
    <definedName name="전기내역" localSheetId="26">BlankMacro1</definedName>
    <definedName name="전기내역" localSheetId="27">BlankMacro1</definedName>
    <definedName name="전기내역">BlankMacro1</definedName>
    <definedName name="전기내역1" localSheetId="28">BlankMacro1</definedName>
    <definedName name="전기내역1" localSheetId="24">BlankMacro1</definedName>
    <definedName name="전기내역1" localSheetId="26">BlankMacro1</definedName>
    <definedName name="전기내역1" localSheetId="27">BlankMacro1</definedName>
    <definedName name="전기내역1">BlankMacro1</definedName>
    <definedName name="전기내역서">#REF!</definedName>
    <definedName name="전기변경1" localSheetId="28">BlankMacro1</definedName>
    <definedName name="전기변경1" localSheetId="24">BlankMacro1</definedName>
    <definedName name="전기변경1" localSheetId="26">BlankMacro1</definedName>
    <definedName name="전기변경1" localSheetId="27">BlankMacro1</definedName>
    <definedName name="전기변경1">BlankMacro1</definedName>
    <definedName name="전기변경3" localSheetId="28">BlankMacro1</definedName>
    <definedName name="전기변경3" localSheetId="24">BlankMacro1</definedName>
    <definedName name="전기변경3" localSheetId="26">BlankMacro1</definedName>
    <definedName name="전기변경3" localSheetId="27">BlankMacro1</definedName>
    <definedName name="전기변경3">BlankMacro1</definedName>
    <definedName name="전기상주">#REF!</definedName>
    <definedName name="전기일위">#REF!</definedName>
    <definedName name="전기일위목록">#REF!</definedName>
    <definedName name="전기재료관">#REF!</definedName>
    <definedName name="전기집계">#REF!</definedName>
    <definedName name="전년경영비" localSheetId="0" hidden="1">{#N/A,#N/A,FALSE,"P.C.B"}</definedName>
    <definedName name="전년경영비" hidden="1">{#N/A,#N/A,FALSE,"P.C.B"}</definedName>
    <definedName name="전동기용량">#REF!</definedName>
    <definedName name="전등">#REF!</definedName>
    <definedName name="전력">#REF!</definedName>
    <definedName name="전력간선" localSheetId="28">BlankMacro1</definedName>
    <definedName name="전력간선" localSheetId="24">BlankMacro1</definedName>
    <definedName name="전력간선" localSheetId="26">BlankMacro1</definedName>
    <definedName name="전력간선" localSheetId="27">BlankMacro1</definedName>
    <definedName name="전력간선">BlankMacro1</definedName>
    <definedName name="전력구조일수">#REF!</definedName>
    <definedName name="전력비">#REF!</definedName>
    <definedName name="전력재구조일수">#REF!</definedName>
    <definedName name="전력정위치작업일수">#REF!</definedName>
    <definedName name="전력조사연장">#REF!</definedName>
    <definedName name="전력탐사연장">#REF!</definedName>
    <definedName name="전류×길이">#REF!</definedName>
    <definedName name="전류×길이의합">#REF!</definedName>
    <definedName name="전류×길이의합1">#REF!</definedName>
    <definedName name="전류길이">#REF!</definedName>
    <definedName name="전류길이의합">#REF!</definedName>
    <definedName name="전문인력">#REF!</definedName>
    <definedName name="전사모멘트">#REF!</definedName>
    <definedName name="전사전단력">#REF!</definedName>
    <definedName name="전선관부속품비">#REF!</definedName>
    <definedName name="전시" hidden="1">{"'용역비'!$A$4:$C$8"}</definedName>
    <definedName name="전시시설물" hidden="1">{"'용역비'!$A$4:$C$8"}</definedName>
    <definedName name="전시장비노임단가" hidden="1">{"SJ - 기본 보기",#N/A,FALSE,"공사별 외주견적"}</definedName>
    <definedName name="전장">#REF!</definedName>
    <definedName name="전주" localSheetId="0" hidden="1">{#N/A,#N/A,FALSE,"P.C.B"}</definedName>
    <definedName name="전주" hidden="1">{#N/A,#N/A,FALSE,"P.C.B"}</definedName>
    <definedName name="전체집계">#REF!</definedName>
    <definedName name="전토압1">#REF!</definedName>
    <definedName name="전토압2">#REF!</definedName>
    <definedName name="전토압3">#REF!</definedName>
    <definedName name="전토압4">#REF!</definedName>
    <definedName name="전파장해">#REF!</definedName>
    <definedName name="전화">#REF!</definedName>
    <definedName name="절_단_공">#REF!</definedName>
    <definedName name="절단경비">#REF!</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단노무비">#REF!</definedName>
    <definedName name="절단재료비">#REF!</definedName>
    <definedName name="절사">#REF!</definedName>
    <definedName name="절삭">#REF!</definedName>
    <definedName name="절삭2">#REF!</definedName>
    <definedName name="절삭단위">#REF!</definedName>
    <definedName name="절취">#REF!</definedName>
    <definedName name="절토">[0]!절토</definedName>
    <definedName name="절토0.4경">#REF!</definedName>
    <definedName name="절토0.4노">#REF!</definedName>
    <definedName name="절토0.4재">#REF!</definedName>
    <definedName name="절토0.7경">#REF!</definedName>
    <definedName name="절토0.7노">#REF!</definedName>
    <definedName name="절토0.7재">#REF!</definedName>
    <definedName name="절토부L형측구.XLS">#REF!</definedName>
    <definedName name="점검도로">#REF!</definedName>
    <definedName name="점멸기">#REF!</definedName>
    <definedName name="점멸기입력">#N/A</definedName>
    <definedName name="점토노">#REF!</definedName>
    <definedName name="점토재">#REF!</definedName>
    <definedName name="접">#REF!</definedName>
    <definedName name="접_높">#REF!</definedName>
    <definedName name="접_폭">#REF!</definedName>
    <definedName name="접속공정" hidden="1">{"'Sheet1'!$A$1:$H$49"}</definedName>
    <definedName name="접속도로">#REF!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지1종합계">#REF!</definedName>
    <definedName name="접지수량">#REF!</definedName>
    <definedName name="접착제">#REF!</definedName>
    <definedName name="접합개소">#REF!</definedName>
    <definedName name="접합상변">#REF!</definedName>
    <definedName name="접합터파기고">#REF!</definedName>
    <definedName name="접합하변">#REF!</definedName>
    <definedName name="접합환토고">#REF!</definedName>
    <definedName name="접합환토상변">#REF!</definedName>
    <definedName name="정">#REF!</definedName>
    <definedName name="정근호" hidden="1">{#N/A,#N/A,TRUE,"토적및재료집계";#N/A,#N/A,TRUE,"토적및재료집계";#N/A,#N/A,TRUE,"단위량"}</definedName>
    <definedName name="정리" localSheetId="0" hidden="1">{#N/A,#N/A,FALSE,"P.C.B"}</definedName>
    <definedName name="정리" hidden="1">{#N/A,#N/A,FALSE,"P.C.B"}</definedName>
    <definedName name="정문">#REF!</definedName>
    <definedName name="정보">#REF!</definedName>
    <definedName name="정보1급">#REF!</definedName>
    <definedName name="정보처리">#REF!</definedName>
    <definedName name="정보처리_중급">#REF!</definedName>
    <definedName name="정보처리1급">#REF!</definedName>
    <definedName name="정비비">#REF!</definedName>
    <definedName name="정비사">#REF!</definedName>
    <definedName name="정산" hidden="1">#REF!</definedName>
    <definedName name="정위치시간당작업량">#REF!</definedName>
    <definedName name="정위치작업계수">#REF!</definedName>
    <definedName name="정위치작업량">#REF!</definedName>
    <definedName name="정위치작업일수">#REF!</definedName>
    <definedName name="정위치지형계수">#REF!</definedName>
    <definedName name="정위치편집작업증감계수">#REF!</definedName>
    <definedName name="정위치편집지형증감계수">#REF!</definedName>
    <definedName name="정위치편집축척별시간당작업량">#REF!</definedName>
    <definedName name="정의">#REF!</definedName>
    <definedName name="정자관100_100">#REF!</definedName>
    <definedName name="정자관100_80">#REF!</definedName>
    <definedName name="정자관150_100">#REF!</definedName>
    <definedName name="정자관150_150">#REF!</definedName>
    <definedName name="정자관150_80">#REF!</definedName>
    <definedName name="정자관200_100">#REF!</definedName>
    <definedName name="정자관200_150">#REF!</definedName>
    <definedName name="정자관200_200">#REF!</definedName>
    <definedName name="정자관200_80">#REF!</definedName>
    <definedName name="정자관300_100">#REF!</definedName>
    <definedName name="정자관300_150">#REF!</definedName>
    <definedName name="정자관300_200">#REF!</definedName>
    <definedName name="정자관300_300">#REF!</definedName>
    <definedName name="정자관300_80">#REF!</definedName>
    <definedName name="정자관400_100">#REF!</definedName>
    <definedName name="정자관400_200">#REF!</definedName>
    <definedName name="정자관400_300">#REF!</definedName>
    <definedName name="정자관400_400">#REF!</definedName>
    <definedName name="정자관400_80">#REF!</definedName>
    <definedName name="정자관500_100">#REF!</definedName>
    <definedName name="정자관500_200">#REF!</definedName>
    <definedName name="정자관500_300">#REF!</definedName>
    <definedName name="정자관500_400">#REF!</definedName>
    <definedName name="정자관500_500">#REF!</definedName>
    <definedName name="정자관500_80">#REF!</definedName>
    <definedName name="정자관600_100">#REF!</definedName>
    <definedName name="정자관600_200">#REF!</definedName>
    <definedName name="정자관600_300">#REF!</definedName>
    <definedName name="정자관600_400">#REF!</definedName>
    <definedName name="정자관600_500">#REF!</definedName>
    <definedName name="정자관600_600">#REF!</definedName>
    <definedName name="정자관600_80">#REF!</definedName>
    <definedName name="정자관80_80">#REF!</definedName>
    <definedName name="정정">#REF!</definedName>
    <definedName name="정지">#REF!</definedName>
    <definedName name="정착장치set량">#REF!</definedName>
    <definedName name="제" localSheetId="19" hidden="1">#REF!</definedName>
    <definedName name="제" localSheetId="21" hidden="1">#REF!</definedName>
    <definedName name="제" localSheetId="23" hidden="1">#REF!</definedName>
    <definedName name="제" localSheetId="3" hidden="1">#REF!</definedName>
    <definedName name="제" localSheetId="5" hidden="1">#REF!</definedName>
    <definedName name="제" localSheetId="7" hidden="1">#REF!</definedName>
    <definedName name="제" localSheetId="9" hidden="1">#REF!</definedName>
    <definedName name="제" localSheetId="11" hidden="1">#REF!</definedName>
    <definedName name="제" localSheetId="13" hidden="1">#REF!</definedName>
    <definedName name="제" localSheetId="15" hidden="1">#REF!</definedName>
    <definedName name="제" localSheetId="17" hidden="1">#REF!</definedName>
    <definedName name="제" localSheetId="0" hidden="1">#REF!</definedName>
    <definedName name="제" hidden="1">#REF!</definedName>
    <definedName name="제1">#N/A</definedName>
    <definedName name="제1종">#REF!</definedName>
    <definedName name="제1호표">#REF!</definedName>
    <definedName name="제2종">#REF!</definedName>
    <definedName name="제2호표">#REF!</definedName>
    <definedName name="제3종">#REF!</definedName>
    <definedName name="제3호표">#REF!</definedName>
    <definedName name="제4호표">#REF!</definedName>
    <definedName name="제5호표">#REF!</definedName>
    <definedName name="제6호표">#REF!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#REF!</definedName>
    <definedName name="제경비">#REF!</definedName>
    <definedName name="제경비율">#REF!</definedName>
    <definedName name="제당경비">#REF!</definedName>
    <definedName name="제당노무비">#REF!</definedName>
    <definedName name="제당재료비">#REF!</definedName>
    <definedName name="제도사">#REF!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방설계용역비">#REF!</definedName>
    <definedName name="제수문" hidden="1">#REF!</definedName>
    <definedName name="제수추가" hidden="1">{"'용역비'!$A$4:$C$8"}</definedName>
    <definedName name="제일안과병원">#REF!</definedName>
    <definedName name="제작비">#REF!</definedName>
    <definedName name="제잡">#N/A</definedName>
    <definedName name="제조" localSheetId="19" hidden="1">#REF!</definedName>
    <definedName name="제조" localSheetId="21" hidden="1">#REF!</definedName>
    <definedName name="제조" localSheetId="23" hidden="1">#REF!</definedName>
    <definedName name="제조" localSheetId="3" hidden="1">#REF!</definedName>
    <definedName name="제조" localSheetId="5" hidden="1">#REF!</definedName>
    <definedName name="제조" localSheetId="7" hidden="1">#REF!</definedName>
    <definedName name="제조" localSheetId="9" hidden="1">#REF!</definedName>
    <definedName name="제조" localSheetId="11" hidden="1">#REF!</definedName>
    <definedName name="제조" localSheetId="13" hidden="1">#REF!</definedName>
    <definedName name="제조" localSheetId="15" hidden="1">#REF!</definedName>
    <definedName name="제조" localSheetId="17" hidden="1">#REF!</definedName>
    <definedName name="제조" localSheetId="0" hidden="1">#REF!</definedName>
    <definedName name="제조" hidden="1">#REF!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단가산출">#REF!</definedName>
    <definedName name="제조원가">#REF!</definedName>
    <definedName name="제조원가1">#REF!</definedName>
    <definedName name="제진설비1">#REF!</definedName>
    <definedName name="제철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초">#REF!</definedName>
    <definedName name="조">#REF!</definedName>
    <definedName name="조_적_공">#REF!</definedName>
    <definedName name="조건영역">#REF!</definedName>
    <definedName name="조건표">#REF!</definedName>
    <definedName name="조경">#REF!</definedName>
    <definedName name="조경경계블럭">#REF!</definedName>
    <definedName name="조경공">#REF!</definedName>
    <definedName name="조경공001">#REF!</definedName>
    <definedName name="조경공002">#REF!</definedName>
    <definedName name="조경공011">#REF!</definedName>
    <definedName name="조경공1">#REF!</definedName>
    <definedName name="조경공982">#REF!</definedName>
    <definedName name="조경공991">#REF!</definedName>
    <definedName name="조경공992">#REF!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수목비">#REF!</definedName>
    <definedName name="조경일람">#REF!</definedName>
    <definedName name="조달수수료">#REF!</definedName>
    <definedName name="조도등주종류">[0]!조도등주종류</definedName>
    <definedName name="조도케이블길이">[0]!조도케이블길이</definedName>
    <definedName name="조력공" localSheetId="2">#REF!</definedName>
    <definedName name="조력공">#REF!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릿대">#REF!</definedName>
    <definedName name="조명설계">#REF!</definedName>
    <definedName name="조명율표">#REF!</definedName>
    <definedName name="조명장치소계">#REF!</definedName>
    <definedName name="조묭">#REF!</definedName>
    <definedName name="조사가" hidden="1">#REF!</definedName>
    <definedName name="조서">#REF!</definedName>
    <definedName name="조수">#REF!</definedName>
    <definedName name="조약돌경">#REF!</definedName>
    <definedName name="조약돌노">#REF!</definedName>
    <definedName name="조약돌재">#REF!</definedName>
    <definedName name="조영수">#REF!</definedName>
    <definedName name="조원공_1.1_1.5">#REF!</definedName>
    <definedName name="조임철물">#REF!</definedName>
    <definedName name="조장">#REF!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적공사번호">#REF!</definedName>
    <definedName name="조정">#REF!</definedName>
    <definedName name="조정1" localSheetId="19" hidden="1">#REF!</definedName>
    <definedName name="조정1" localSheetId="21" hidden="1">#REF!</definedName>
    <definedName name="조정1" localSheetId="23" hidden="1">#REF!</definedName>
    <definedName name="조정1" localSheetId="3" hidden="1">#REF!</definedName>
    <definedName name="조정1" localSheetId="5" hidden="1">#REF!</definedName>
    <definedName name="조정1" localSheetId="7" hidden="1">#REF!</definedName>
    <definedName name="조정1" localSheetId="9" hidden="1">#REF!</definedName>
    <definedName name="조정1" localSheetId="11" hidden="1">#REF!</definedName>
    <definedName name="조정1" localSheetId="13" hidden="1">#REF!</definedName>
    <definedName name="조정1" localSheetId="15" hidden="1">#REF!</definedName>
    <definedName name="조정1" localSheetId="17" hidden="1">#REF!</definedName>
    <definedName name="조정1" localSheetId="0" hidden="1">#REF!</definedName>
    <definedName name="조정1" hidden="1">#REF!</definedName>
    <definedName name="조정조정">#REF!</definedName>
    <definedName name="조종사">#REF!</definedName>
    <definedName name="조차장" hidden="1">{#N/A,#N/A,FALSE,"명세표"}</definedName>
    <definedName name="조찬" hidden="1">#REF!</definedName>
    <definedName name="조합">#REF!</definedName>
    <definedName name="조합노">#REF!</definedName>
    <definedName name="조합재">#REF!</definedName>
    <definedName name="조형가이즈까3010">#REF!</definedName>
    <definedName name="조형가이즈까3012">#REF!</definedName>
    <definedName name="조형가이즈까3014">#REF!</definedName>
    <definedName name="조형가이즈까3516">#REF!</definedName>
    <definedName name="좀작살">#REF!</definedName>
    <definedName name="종" localSheetId="28">BlankMacro1</definedName>
    <definedName name="종" localSheetId="24">BlankMacro1</definedName>
    <definedName name="종" localSheetId="26">BlankMacro1</definedName>
    <definedName name="종" localSheetId="27">BlankMacro1</definedName>
    <definedName name="종">BlankMacro1</definedName>
    <definedName name="종단측량">#REF!</definedName>
    <definedName name="종별">#REF!</definedName>
    <definedName name="종점">#REF!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주거">#REF!</definedName>
    <definedName name="주당매매가액">#REF!</definedName>
    <definedName name="주당액면가액">#REF!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무대">#REF!</definedName>
    <definedName name="주민">#REF!</definedName>
    <definedName name="주민생활">#REF!</definedName>
    <definedName name="주민의견">#REF!</definedName>
    <definedName name="주민의견수렴">#REF!</definedName>
    <definedName name="주방기구.도금">#REF!</definedName>
    <definedName name="주요경비">#REF!</definedName>
    <definedName name="주요노무">#REF!</definedName>
    <definedName name="주요재료">#REF!</definedName>
    <definedName name="주주">#REF!</definedName>
    <definedName name="주주노">#REF!</definedName>
    <definedName name="주주재">#REF!</definedName>
    <definedName name="주집">#REF!</definedName>
    <definedName name="주차장토공">#REF!</definedName>
    <definedName name="주택공사">#REF!</definedName>
    <definedName name="주형받침">#REF!</definedName>
    <definedName name="주형받침EA">#REF!</definedName>
    <definedName name="준설">#N/A</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기사">#REF!</definedName>
    <definedName name="준설선선장">#REF!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공">#REF!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떼">#REF!</definedName>
    <definedName name="중">#REF!</definedName>
    <definedName name="중1">#REF!</definedName>
    <definedName name="중2">#REF!</definedName>
    <definedName name="중3">#REF!</definedName>
    <definedName name="중4">#REF!</definedName>
    <definedName name="중5">#REF!</definedName>
    <definedName name="중6">#REF!</definedName>
    <definedName name="중7">#REF!</definedName>
    <definedName name="중8">#REF!</definedName>
    <definedName name="중9">#REF!</definedName>
    <definedName name="중계">#REF!</definedName>
    <definedName name="중국">#REF!</definedName>
    <definedName name="중급">#REF!</definedName>
    <definedName name="중급2">#REF!</definedName>
    <definedName name="중급기능">#REF!</definedName>
    <definedName name="중급기능단가">#REF!</definedName>
    <definedName name="중급기능사_측량">#REF!</definedName>
    <definedName name="중급기술">#REF!</definedName>
    <definedName name="중급기술자">#REF!</definedName>
    <definedName name="중급달">#REF!</definedName>
    <definedName name="중급도화">#REF!</definedName>
    <definedName name="중급엔지니어링">#REF!</definedName>
    <definedName name="중급여비">#REF!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급전체">#REF!</definedName>
    <definedName name="중급지도제작">#REF!</definedName>
    <definedName name="중급측량">#REF!</definedName>
    <definedName name="중급항공사진">#REF!</definedName>
    <definedName name="중기">#REF!</definedName>
    <definedName name="중기가격">#REF!</definedName>
    <definedName name="중기경">#REF!</definedName>
    <definedName name="중기계조립공">#REF!</definedName>
    <definedName name="중기공">#REF!</definedName>
    <definedName name="중기기사">#REF!</definedName>
    <definedName name="중기노">#REF!</definedName>
    <definedName name="중기달">#REF!</definedName>
    <definedName name="중기도급">#REF!</definedName>
    <definedName name="중기산출">#N/A</definedName>
    <definedName name="중기실행">#REF!</definedName>
    <definedName name="중기운반_8톤덤프__1회당">#REF!</definedName>
    <definedName name="중기운반경">#REF!</definedName>
    <definedName name="중기운반경비">#REF!</definedName>
    <definedName name="중기운반노">#REF!</definedName>
    <definedName name="중기운반노무비">#REF!</definedName>
    <definedName name="중기운반식" localSheetId="0" hidden="1">{#N/A,#N/A,FALSE,"포장단가"}</definedName>
    <definedName name="중기운반식" hidden="1">{#N/A,#N/A,FALSE,"포장단가"}</definedName>
    <definedName name="중기운반재">#REF!</definedName>
    <definedName name="중기운반재료비">#REF!</definedName>
    <definedName name="중기운전기사">#REF!</definedName>
    <definedName name="중기운전사">#REF!</definedName>
    <definedName name="중기운전조수">#REF!</definedName>
    <definedName name="중기재">#REF!</definedName>
    <definedName name="중기조수">#REF!</definedName>
    <definedName name="중기조장">#REF!</definedName>
    <definedName name="중기총">#REF!</definedName>
    <definedName name="중능">#REF!</definedName>
    <definedName name="중량">#REF!</definedName>
    <definedName name="중량표">#REF!</definedName>
    <definedName name="중복시트1">#REF!</definedName>
    <definedName name="중복시트11">#REF!</definedName>
    <definedName name="중심선측량">#REF!</definedName>
    <definedName name="중앙선" hidden="1">{#N/A,#N/A,FALSE,"속도"}</definedName>
    <definedName name="중앙지하">#N/A</definedName>
    <definedName name="중원1교A502">#REF!</definedName>
    <definedName name="중원대교A258">#REF!</definedName>
    <definedName name="중유">#REF!</definedName>
    <definedName name="중촌근린공원">#REF!</definedName>
    <definedName name="중추2교대거푸집집계" localSheetId="0" hidden="1">{#N/A,#N/A,FALSE,"배수1"}</definedName>
    <definedName name="중추2교대거푸집집계" hidden="1">{#N/A,#N/A,FALSE,"배수1"}</definedName>
    <definedName name="중폭">#REF!</definedName>
    <definedName name="중흥부두2">#REF!</definedName>
    <definedName name="쥐똥">#REF!</definedName>
    <definedName name="증감대비" hidden="1">{#N/A,#N/A,FALSE,"증감대비표";#N/A,#N/A,FALSE,"결의서";#N/A,#N/A,FALSE,"내역서";#N/A,#N/A,FALSE,"도급예상"}</definedName>
    <definedName name="증감대비표" hidden="1">{#N/A,#N/A,FALSE,"증감대비표";#N/A,#N/A,FALSE,"결의서";#N/A,#N/A,FALSE,"내역서";#N/A,#N/A,FALSE,"도급예상"}</definedName>
    <definedName name="증감표">#REF!</definedName>
    <definedName name="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지고능">#REF!</definedName>
    <definedName name="지구단위">#REF!</definedName>
    <definedName name="지급미포함차액">#REF!</definedName>
    <definedName name="지급부가제외">#REF!</definedName>
    <definedName name="지급자재">#REF!</definedName>
    <definedName name="지급자재대">#REF!</definedName>
    <definedName name="지급자재비">#REF!</definedName>
    <definedName name="지도_고급">#REF!</definedName>
    <definedName name="지도_중급">#REF!</definedName>
    <definedName name="지도_초급">#REF!</definedName>
    <definedName name="지도제작">#REF!</definedName>
    <definedName name="지도제작고급">#REF!</definedName>
    <definedName name="지도제작중급">#REF!</definedName>
    <definedName name="지도제작초급">#REF!</definedName>
    <definedName name="지도중급기능">#REF!</definedName>
    <definedName name="지동">#REF!</definedName>
    <definedName name="지리조사지형증감계수">#REF!</definedName>
    <definedName name="지리조사축척계수">#REF!</definedName>
    <definedName name="지목">#REF!</definedName>
    <definedName name="지번">#REF!</definedName>
    <definedName name="지부외배">#REF!</definedName>
    <definedName name="지부외평">#REF!</definedName>
    <definedName name="지부포배">#REF!</definedName>
    <definedName name="지부포수">#REF!</definedName>
    <definedName name="지부포평">#REF!</definedName>
    <definedName name="지붕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선계1">#REF!</definedName>
    <definedName name="지선계2">#REF!</definedName>
    <definedName name="지선공사비">#REF!</definedName>
    <definedName name="지애">#REF!</definedName>
    <definedName name="지역">#N/A</definedName>
    <definedName name="지역난방재구조일수">#REF!</definedName>
    <definedName name="지역난방재구조화비율">#REF!</definedName>
    <definedName name="지역본부" hidden="1">{#N/A,#N/A,FALSE,"DAOCM 2차 검토"}</definedName>
    <definedName name="지움">#REF!</definedName>
    <definedName name="지입">#REF!</definedName>
    <definedName name="지입자재">#REF!</definedName>
    <definedName name="지입자재내역" hidden="1">#REF!</definedName>
    <definedName name="지적">#REF!</definedName>
    <definedName name="지적기능사">#REF!</definedName>
    <definedName name="지적기능사_지적기능사2급">#REF!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#REF!</definedName>
    <definedName name="지적기능산업기사_지적기능사1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1급">#REF!</definedName>
    <definedName name="지적기사_2급">#REF!</definedName>
    <definedName name="지적기사_지적기사1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도복사">#REF!</definedName>
    <definedName name="지적도입력지형증감계수">#REF!</definedName>
    <definedName name="지적도입력축척계수">#REF!</definedName>
    <definedName name="지적산업기사">#REF!</definedName>
    <definedName name="지적산업기사_지적기사2급">#REF!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적입력지형계수">#REF!</definedName>
    <definedName name="지적입력축척계수">#REF!</definedName>
    <definedName name="지적편입면적">#REF!</definedName>
    <definedName name="지주">#N/A</definedName>
    <definedName name="지중능">#REF!</definedName>
    <definedName name="지질조사">#REF!</definedName>
    <definedName name="지집" hidden="1">{"'5국공정'!$A$1:$E$128"}</definedName>
    <definedName name="지초능">#REF!</definedName>
    <definedName name="지축">#REF!</definedName>
    <definedName name="지표수">#REF!</definedName>
    <definedName name="지품2" hidden="1">{#N/A,#N/A,FALSE,"포장단가"}</definedName>
    <definedName name="지하경비">#REF!</definedName>
    <definedName name="지하노무">#REF!</definedName>
    <definedName name="지하시설물도작성">#REF!</definedName>
    <definedName name="지하재료">#REF!</definedName>
    <definedName name="지하철거" hidden="1">{"'Sheet1'!$A$1:$H$49"}</definedName>
    <definedName name="지형경비">#REF!</definedName>
    <definedName name="지형구조작업량">#REF!</definedName>
    <definedName name="지형구조지형계수">#REF!</definedName>
    <definedName name="지형노무">#REF!</definedName>
    <definedName name="지형재료">#REF!</definedName>
    <definedName name="지형증감계수">#REF!</definedName>
    <definedName name="지형지질">#REF!</definedName>
    <definedName name="직___________종">#REF!</definedName>
    <definedName name="직___종___명">#REF!</definedName>
    <definedName name="직1CO">#REF!</definedName>
    <definedName name="직노">#REF!</definedName>
    <definedName name="직노1">#REF!</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영비">#REF!</definedName>
    <definedName name="직인">#REF!</definedName>
    <definedName name="직재">#REF!</definedName>
    <definedName name="직재비2" hidden="1">{"'5국공정'!$A$1:$E$128"}</definedName>
    <definedName name="직접경비">#REF!</definedName>
    <definedName name="직접공사비">#REF!</definedName>
    <definedName name="직접노무비">#REF!</definedName>
    <definedName name="직접노무비1">#REF!</definedName>
    <definedName name="직접노무비계">#REF!</definedName>
    <definedName name="직접인건비">#REF!</definedName>
    <definedName name="직접재료비">#REF!</definedName>
    <definedName name="직종">#REF!</definedName>
    <definedName name="직종명">#REF!</definedName>
    <definedName name="진달래">#REF!</definedName>
    <definedName name="진달래H0.6">#REF!</definedName>
    <definedName name="진동">#REF!</definedName>
    <definedName name="진동기경">#REF!</definedName>
    <definedName name="진동기재">#REF!</definedName>
    <definedName name="진동로라">250000</definedName>
    <definedName name="진동로라노무비">#REF!</definedName>
    <definedName name="진동로울러_자주식_2.5TON">#REF!</definedName>
    <definedName name="진동롤라경">#REF!</definedName>
    <definedName name="진동롤라경비">#REF!</definedName>
    <definedName name="진동롤라노무">#REF!</definedName>
    <definedName name="진동롤라재료">#REF!</definedName>
    <definedName name="진동롤라재료비">#REF!</definedName>
    <definedName name="진량읍">#REF!</definedName>
    <definedName name="진석">#REF!,#REF!</definedName>
    <definedName name="진성" localSheetId="28">BlankMacro1</definedName>
    <definedName name="진성" localSheetId="24">BlankMacro1</definedName>
    <definedName name="진성" localSheetId="26">BlankMacro1</definedName>
    <definedName name="진성" localSheetId="27">BlankMacro1</definedName>
    <definedName name="진성">BlankMacro1</definedName>
    <definedName name="진성초등" localSheetId="28">BlankMacro1</definedName>
    <definedName name="진성초등" localSheetId="24">BlankMacro1</definedName>
    <definedName name="진성초등" localSheetId="26">BlankMacro1</definedName>
    <definedName name="진성초등" localSheetId="27">BlankMacro1</definedName>
    <definedName name="진성초등">BlankMacro1</definedName>
    <definedName name="진입도로경비">#REF!</definedName>
    <definedName name="진입도로노무비">#REF!</definedName>
    <definedName name="진입도로재료비">#REF!</definedName>
    <definedName name="진짜원가" localSheetId="0" hidden="1">{#N/A,#N/A,FALSE,"손익표지";#N/A,#N/A,FALSE,"손익계산";#N/A,#N/A,FALSE,"일반관리비";#N/A,#N/A,FALSE,"영업외수익";#N/A,#N/A,FALSE,"영업외비용";#N/A,#N/A,FALSE,"매출액";#N/A,#N/A,FALSE,"요약손익";#N/A,#N/A,FALSE,"요약대차";#N/A,#N/A,FALSE,"매출채권현황";#N/A,#N/A,FALSE,"매출채권명세"}</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집">#REF!</definedName>
    <definedName name="집_수_정">#REF!</definedName>
    <definedName name="집06">#REF!</definedName>
    <definedName name="집계">#REF!</definedName>
    <definedName name="집계서" localSheetId="28">BlankMacro1</definedName>
    <definedName name="집계서" localSheetId="24">BlankMacro1</definedName>
    <definedName name="집계서" localSheetId="26">BlankMacro1</definedName>
    <definedName name="집계서" localSheetId="27">BlankMacro1</definedName>
    <definedName name="집계서">BlankMacro1</definedName>
    <definedName name="집계표">#REF!</definedName>
    <definedName name="집계표1">#REF!</definedName>
    <definedName name="집계표2">#REF!</definedName>
    <definedName name="집계표3">#REF!</definedName>
    <definedName name="집계표4">#REF!</definedName>
    <definedName name="집계표5">#REF!</definedName>
    <definedName name="집계표제목">#REF!</definedName>
    <definedName name="집계표주요" localSheetId="0" hidden="1">{#N/A,#N/A,FALSE,"포장단가"}</definedName>
    <definedName name="집계표주요" hidden="1">{#N/A,#N/A,FALSE,"포장단가"}</definedName>
    <definedName name="집수" hidden="1">#REF!</definedName>
    <definedName name="집수정">#REF!</definedName>
    <definedName name="집수정관경">#REF!</definedName>
    <definedName name="집수정규격">#REF!</definedName>
    <definedName name="집수정단">#REF!</definedName>
    <definedName name="집수정수량">#REF!</definedName>
    <definedName name="집수정연장산출">#REF!</definedName>
    <definedName name="집수정위치">#REF!</definedName>
    <definedName name="집수정재료집계">#REF!</definedName>
    <definedName name="집수정탱크">#REF!</definedName>
    <definedName name="집수정토공집계">#REF!</definedName>
    <definedName name="징래재료">#REF!</definedName>
    <definedName name="짜장">#REF!</definedName>
    <definedName name="짧은비계목">#REF!</definedName>
    <definedName name="쪽재비">#REF!</definedName>
    <definedName name="쪽재비노">#REF!</definedName>
    <definedName name="쪽재비재">#REF!</definedName>
    <definedName name="ㅊ" hidden="1">{#N/A,#N/A,FALSE,"운반시간"}</definedName>
    <definedName name="ㅊ3030">#REF!</definedName>
    <definedName name="ㅊ5">#REF!</definedName>
    <definedName name="ㅊㄴ"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ㅅ">#REF!</definedName>
    <definedName name="ㅊㅇ">#REF!</definedName>
    <definedName name="ㅊㅊ">#REF!</definedName>
    <definedName name="ㅊㅊㅊ" localSheetId="0" hidden="1">{#N/A,#N/A,FALSE,"P.C.B"}</definedName>
    <definedName name="ㅊㅊㅊ" hidden="1">{#N/A,#N/A,FALSE,"P.C.B"}</definedName>
    <definedName name="ㅊㅍ">#REF!</definedName>
    <definedName name="ㅊㅍㅋㅌㅊㅋ" hidden="1">{#N/A,#N/A,FALSE,"운반시간"}</definedName>
    <definedName name="ㅊㅍㅋㅌㅍㅌ" hidden="1">{#N/A,#N/A,FALSE,"혼합골재"}</definedName>
    <definedName name="ㅊ햐"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localSheetId="0" hidden="1">{#N/A,#N/A,FALSE,"속도"}</definedName>
    <definedName name="차" hidden="1">{#N/A,#N/A,FALSE,"속도"}</definedName>
    <definedName name="차량가격">#REF!</definedName>
    <definedName name="차선">#REF!</definedName>
    <definedName name="차선도색경">#REF!</definedName>
    <definedName name="차선도색노">#REF!</definedName>
    <definedName name="차선도색위치조서">#REF!</definedName>
    <definedName name="차선도색재">#REF!</definedName>
    <definedName name="차선도색중앙선수량">#REF!</definedName>
    <definedName name="차선도색직각주차수량">#REF!</definedName>
    <definedName name="차선도색집계">#REF!</definedName>
    <definedName name="차선도색평행주차수량">#REF!</definedName>
    <definedName name="차선제거" hidden="1">{#N/A,#N/A,FALSE,"속도"}</definedName>
    <definedName name="차수벽높이">#REF!</definedName>
    <definedName name="차수벽두께">#REF!</definedName>
    <definedName name="차집관거단가">#REF!</definedName>
    <definedName name="차집관로" hidden="1">{#N/A,#N/A,FALSE,"신청통보";#N/A,#N/A,FALSE,"기성확인서";#N/A,#N/A,FALSE,"기성내역서"}</definedName>
    <definedName name="차차" localSheetId="19" hidden="1">#REF!</definedName>
    <definedName name="차차" localSheetId="21" hidden="1">#REF!</definedName>
    <definedName name="차차" localSheetId="23" hidden="1">#REF!</definedName>
    <definedName name="차차" localSheetId="3" hidden="1">#REF!</definedName>
    <definedName name="차차" localSheetId="5" hidden="1">#REF!</definedName>
    <definedName name="차차" localSheetId="7" hidden="1">#REF!</definedName>
    <definedName name="차차" localSheetId="9" hidden="1">#REF!</definedName>
    <definedName name="차차" localSheetId="11" hidden="1">#REF!</definedName>
    <definedName name="차차" localSheetId="13" hidden="1">#REF!</definedName>
    <definedName name="차차" localSheetId="15" hidden="1">#REF!</definedName>
    <definedName name="차차" localSheetId="17" hidden="1">#REF!</definedName>
    <definedName name="차차" hidden="1">#REF!</definedName>
    <definedName name="착공">#REF!</definedName>
    <definedName name="착공월">#REF!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심도">#REF!</definedName>
    <definedName name="참고" localSheetId="0" hidden="1">{"'Sheet1'!$A$1:$E$59"}</definedName>
    <definedName name="참고" hidden="1">{"'Sheet1'!$A$1:$E$59"}</definedName>
    <definedName name="참고용" hidden="1">{#N/A,#N/A,FALSE,"배수1"}</definedName>
    <definedName name="참고자료">#REF!</definedName>
    <definedName name="참조" localSheetId="0" hidden="1">{"'Sheet1'!$A$1:$E$59"}</definedName>
    <definedName name="참조" hidden="1">{"'Sheet1'!$A$1:$E$59"}</definedName>
    <definedName name="창">#REF!</definedName>
    <definedName name="창고용">#REF!</definedName>
    <definedName name="창포노">#REF!</definedName>
    <definedName name="창포재">#REF!</definedName>
    <definedName name="창호2">[0]!창호2</definedName>
    <definedName name="창호공사번호">#REF!</definedName>
    <definedName name="창호대가">#N/A</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책임">#REF!</definedName>
    <definedName name="책임2">#REF!</definedName>
    <definedName name="책임감리공제요율">#REF!</definedName>
    <definedName name="책임연">#REF!</definedName>
    <definedName name="책임연구원">#REF!</definedName>
    <definedName name="책임연구원공정">#REF!</definedName>
    <definedName name="천">#REF!</definedName>
    <definedName name="천공간격">#REF!</definedName>
    <definedName name="천사" hidden="1">{"'용역비'!$A$4:$C$8"}</definedName>
    <definedName name="천안토공_토공_List">#REF!</definedName>
    <definedName name="철">#REF!</definedName>
    <definedName name="철____공">#REF!</definedName>
    <definedName name="철_골_공">#REF!</definedName>
    <definedName name="철간접">#REF!</definedName>
    <definedName name="철건설">#REF!</definedName>
    <definedName name="철경비">#REF!</definedName>
    <definedName name="철골공">#REF!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공" localSheetId="2">#REF!</definedName>
    <definedName name="철공">#REF!</definedName>
    <definedName name="철공001">#REF!</definedName>
    <definedName name="철공002">#REF!</definedName>
    <definedName name="철공011">#REF!</definedName>
    <definedName name="철공982">#REF!</definedName>
    <definedName name="철공991">#REF!</definedName>
    <definedName name="철공992">#REF!</definedName>
    <definedName name="철관리">#REF!</definedName>
    <definedName name="철근">#REF!</definedName>
    <definedName name="철근_콘크리트_깨기__기계____㎥당">#REF!</definedName>
    <definedName name="철근_콘크리트_깨기__기계_T_30㎝미만_대형____㎥당">#REF!</definedName>
    <definedName name="철근_콘크리트_깨기__기계_T_30㎝미만_대형_소운반제외__㎥당">#REF!</definedName>
    <definedName name="철근_콘크리트_깨기__인력__㎥당">#REF!</definedName>
    <definedName name="철근_콘크리트_깨기__인력__㎥당__소운반_제외">#REF!</definedName>
    <definedName name="철근_콘크리트_깨기__인력_20__기계_80_____㎥당">#REF!</definedName>
    <definedName name="철근_콘크리트_깨기__인력_20__기계_80__소운반제외____㎥당">#REF!</definedName>
    <definedName name="철근240">#REF!</definedName>
    <definedName name="철근3010">#REF!</definedName>
    <definedName name="철근3013">#REF!</definedName>
    <definedName name="철근3016">#REF!</definedName>
    <definedName name="철근3019">#REF!</definedName>
    <definedName name="철근3022">#REF!</definedName>
    <definedName name="철근3025">#REF!</definedName>
    <definedName name="철근3029">#REF!</definedName>
    <definedName name="철근3032">#REF!</definedName>
    <definedName name="철근4010">#REF!</definedName>
    <definedName name="철근4013">#REF!</definedName>
    <definedName name="철근4016">#REF!</definedName>
    <definedName name="철근4019">#REF!</definedName>
    <definedName name="철근4022">#REF!</definedName>
    <definedName name="철근4026">#REF!</definedName>
    <definedName name="철근4029">#REF!</definedName>
    <definedName name="철근4032">#REF!</definedName>
    <definedName name="철근공" localSheetId="2">#REF!</definedName>
    <definedName name="철근공">#REF!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깨기수량">#REF!</definedName>
    <definedName name="철근노">#REF!</definedName>
    <definedName name="철근단면적">#REF!</definedName>
    <definedName name="철근수량">#REF!</definedName>
    <definedName name="철근용접노무">#REF!</definedName>
    <definedName name="철근용접재료">#REF!</definedName>
    <definedName name="철근운반" localSheetId="0" hidden="1">{#N/A,#N/A,FALSE,"포장단가"}</definedName>
    <definedName name="철근운반" hidden="1">{#N/A,#N/A,FALSE,"포장단가"}</definedName>
    <definedName name="철근운반_덤프10.5톤_경운기__Ton당">#REF!</definedName>
    <definedName name="철근운반경">#REF!</definedName>
    <definedName name="철근자료" hidden="1">#REF!</definedName>
    <definedName name="철근재">#REF!</definedName>
    <definedName name="철근직경D13">#REF!</definedName>
    <definedName name="철근직경D16_25">#REF!</definedName>
    <definedName name="철근직경D29_35">#REF!</definedName>
    <definedName name="철근집계" localSheetId="0" hidden="1">{#N/A,#N/A,FALSE,"단가표지"}</definedName>
    <definedName name="철근집계" hidden="1">{#N/A,#N/A,FALSE,"단가표지"}</definedName>
    <definedName name="철근집계1" localSheetId="0" hidden="1">{#N/A,#N/A,FALSE,"배수1"}</definedName>
    <definedName name="철근집계1" hidden="1">{#N/A,#N/A,FALSE,"배수1"}</definedName>
    <definedName name="철근콘크리트타설">#REF!</definedName>
    <definedName name="철근콘크리트헐기">#REF!</definedName>
    <definedName name="철도신호공">#REF!</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목1호">#REF!</definedName>
    <definedName name="철목2호">#REF!</definedName>
    <definedName name="철목3호">#REF!</definedName>
    <definedName name="철목4호">#REF!</definedName>
    <definedName name="철문">#REF!</definedName>
    <definedName name="철물갑지" localSheetId="11">Dlog_Show</definedName>
    <definedName name="철물갑지" localSheetId="13">Dlog_Show</definedName>
    <definedName name="철물갑지" localSheetId="15">Dlog_Show</definedName>
    <definedName name="철물갑지" localSheetId="28">Dlog_Show</definedName>
    <definedName name="철물갑지" localSheetId="24">Dlog_Show</definedName>
    <definedName name="철물갑지" localSheetId="26">Dlog_Show</definedName>
    <definedName name="철물갑지" localSheetId="27">Dlog_Show</definedName>
    <definedName name="철물갑지">Dlog_Show</definedName>
    <definedName name="철보험">#REF!</definedName>
    <definedName name="철부가">#REF!</definedName>
    <definedName name="철선">#REF!</definedName>
    <definedName name="철선10">#REF!</definedName>
    <definedName name="철선20">#REF!</definedName>
    <definedName name="철선8">#REF!</definedName>
    <definedName name="철소켓151_2">#REF!</definedName>
    <definedName name="철소켓203_4">#REF!</definedName>
    <definedName name="철소켓25">#REF!</definedName>
    <definedName name="철소켓32">#REF!</definedName>
    <definedName name="철소켓40">#REF!</definedName>
    <definedName name="철소켓50">#REF!</definedName>
    <definedName name="철안전">#REF!</definedName>
    <definedName name="철이윤">#REF!</definedName>
    <definedName name="철콘">#REF!</definedName>
    <definedName name="철콘부대외" hidden="1">{#N/A,#N/A,FALSE,"Sheet1"}</definedName>
    <definedName name="철콘산출" localSheetId="28">BlankMacro1</definedName>
    <definedName name="철콘산출" localSheetId="24">BlankMacro1</definedName>
    <definedName name="철콘산출" localSheetId="26">BlankMacro1</definedName>
    <definedName name="철콘산출" localSheetId="27">BlankMacro1</definedName>
    <definedName name="철콘산출">BlankMacro1</definedName>
    <definedName name="철탑높이">#REF!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단">#REF!</definedName>
    <definedName name="청단풍H3.0">#REF!</definedName>
    <definedName name="청림1호">#REF!</definedName>
    <definedName name="청림2호">#REF!</definedName>
    <definedName name="청림3호">#REF!</definedName>
    <definedName name="청마총괄">#REF!</definedName>
    <definedName name="청천200">#REF!</definedName>
    <definedName name="쳐ㅑ"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#REF!</definedName>
    <definedName name="초급">#REF!</definedName>
    <definedName name="초급1">#REF!</definedName>
    <definedName name="초급2">#REF!</definedName>
    <definedName name="초급기능">#REF!</definedName>
    <definedName name="초급기술">#REF!</definedName>
    <definedName name="초급기술자">#REF!</definedName>
    <definedName name="초급달">#REF!</definedName>
    <definedName name="초급도화">#REF!</definedName>
    <definedName name="초급엔지니어링">#REF!</definedName>
    <definedName name="초급엔지니이링1">#REF!</definedName>
    <definedName name="초급지도제작">#REF!</definedName>
    <definedName name="초급측량">#REF!</definedName>
    <definedName name="초급항공사진">#REF!</definedName>
    <definedName name="초기">#REF!</definedName>
    <definedName name="초기달">#REF!</definedName>
    <definedName name="초능">#REF!</definedName>
    <definedName name="초다" localSheetId="0" hidden="1">{#N/A,#N/A,FALSE,"2~8번"}</definedName>
    <definedName name="초다" hidden="1">{#N/A,#N/A,FALSE,"2~8번"}</definedName>
    <definedName name="초술">#REF!</definedName>
    <definedName name="촌1">#REF!,#REF!,#REF!,#REF!,#REF!,#REF!</definedName>
    <definedName name="촌10">#REF!,#REF!,#REF!,#REF!,#REF!,#REF!,#REF!</definedName>
    <definedName name="촌11">#REF!,#REF!,#REF!,#REF!,#REF!,#REF!,#REF!</definedName>
    <definedName name="촌12">#REF!,#REF!,#REF!,#REF!,#REF!,#REF!,#REF!</definedName>
    <definedName name="촌13">#REF!,#REF!,#REF!,#REF!,#REF!,#REF!,#REF!</definedName>
    <definedName name="촌14">#REF!,#REF!,#REF!,#REF!,#REF!,#REF!,#REF!</definedName>
    <definedName name="촌15">#REF!,#REF!,#REF!,#REF!,#REF!</definedName>
    <definedName name="촌2">#REF!,#REF!,#REF!,#REF!,#REF!,#REF!,#REF!</definedName>
    <definedName name="촌3">#REF!,#REF!,#REF!,#REF!,#REF!,#REF!,#REF!</definedName>
    <definedName name="촌4">#REF!,#REF!,#REF!,#REF!,#REF!,#REF!,#REF!</definedName>
    <definedName name="촌5">#REF!,#REF!,#REF!,#REF!,#REF!,#REF!,#REF!</definedName>
    <definedName name="촌6">#REF!,#REF!,#REF!,#REF!,#REF!,#REF!,#REF!</definedName>
    <definedName name="촌7">#REF!,#REF!,#REF!,#REF!,#REF!,#REF!,#REF!</definedName>
    <definedName name="촌8">#REF!,#REF!,#REF!,#REF!,#REF!,#REF!,#REF!</definedName>
    <definedName name="촌9">#REF!,#REF!,#REF!,#REF!,#REF!,#REF!,#REF!</definedName>
    <definedName name="촌면1">#REF!,#REF!,#REF!,#REF!,#REF!,#REF!</definedName>
    <definedName name="촌면10">#REF!,#REF!,#REF!,#REF!,#REF!,#REF!,#REF!</definedName>
    <definedName name="촌면11">#REF!,#REF!,#REF!,#REF!,#REF!,#REF!,#REF!</definedName>
    <definedName name="촌면12">#REF!,#REF!,#REF!,#REF!,#REF!,#REF!,#REF!</definedName>
    <definedName name="촌면13">#REF!,#REF!,#REF!,#REF!,#REF!,#REF!,#REF!</definedName>
    <definedName name="촌면14">#REF!,#REF!,#REF!,#REF!,#REF!,#REF!,#REF!</definedName>
    <definedName name="촌면15">#REF!,#REF!,#REF!,#REF!,#REF!</definedName>
    <definedName name="촌면2">#REF!,#REF!,#REF!,#REF!,#REF!,#REF!,#REF!</definedName>
    <definedName name="촌면3">#REF!,#REF!,#REF!,#REF!,#REF!,#REF!,#REF!</definedName>
    <definedName name="촌면4">#REF!,#REF!,#REF!,#REF!,#REF!,#REF!,#REF!</definedName>
    <definedName name="촌면5">#REF!,#REF!,#REF!,#REF!,#REF!,#REF!,#REF!</definedName>
    <definedName name="촌면6">#REF!,#REF!,#REF!,#REF!,#REF!,#REF!,#REF!</definedName>
    <definedName name="촌면7">#REF!,#REF!,#REF!,#REF!,#REF!,#REF!,#REF!</definedName>
    <definedName name="촌면8">#REF!,#REF!,#REF!,#REF!,#REF!,#REF!,#REF!</definedName>
    <definedName name="촌면9">#REF!,#REF!,#REF!,#REF!,#REF!,#REF!,#REF!</definedName>
    <definedName name="총">#REF!</definedName>
    <definedName name="총2">#REF!</definedName>
    <definedName name="총갑지" hidden="1">#REF!</definedName>
    <definedName name="총공사비">#REF!</definedName>
    <definedName name="총공사비한">#REF!</definedName>
    <definedName name="총괄" localSheetId="0" hidden="1">{#N/A,#N/A,FALSE,"포장단가"}</definedName>
    <definedName name="총괄" hidden="1">{#N/A,#N/A,FALSE,"포장단가"}</definedName>
    <definedName name="총괄관급">[0]!총괄관급</definedName>
    <definedName name="총괄기계비">#REF!</definedName>
    <definedName name="총괄시">#REF!</definedName>
    <definedName name="총괄심사">#REF!</definedName>
    <definedName name="총괄여비">#REF!</definedName>
    <definedName name="총괄표">#REF!</definedName>
    <definedName name="총괄현지검측">#REF!</definedName>
    <definedName name="총매매가액">#REF!</definedName>
    <definedName name="총면적">#REF!</definedName>
    <definedName name="총비용">#REF!</definedName>
    <definedName name="총사업비수">#REF!</definedName>
    <definedName name="총사업비평">#REF!</definedName>
    <definedName name="총스텝수">#REF!</definedName>
    <definedName name="총액">#REF!</definedName>
    <definedName name="총연">#REF!</definedName>
    <definedName name="총용역비">#REF!</definedName>
    <definedName name="총원가">#REF!</definedName>
    <definedName name="총원가2">#REF!</definedName>
    <definedName name="총이윤">#REF!</definedName>
    <definedName name="총집계" localSheetId="28">BlankMacro1</definedName>
    <definedName name="총집계" localSheetId="24">BlankMacro1</definedName>
    <definedName name="총집계" localSheetId="26">BlankMacro1</definedName>
    <definedName name="총집계" localSheetId="27">BlankMacro1</definedName>
    <definedName name="총집계">BlankMacro1</definedName>
    <definedName name="총폭">#REF!</definedName>
    <definedName name="촬영">#REF!</definedName>
    <definedName name="촬영기계경비">#REF!</definedName>
    <definedName name="촬영사">#REF!</definedName>
    <definedName name="최대값">#REF!</definedName>
    <definedName name="최소값">#REF!</definedName>
    <definedName name="추" hidden="1">#REF!</definedName>
    <definedName name="추가SW인건비">#REF!</definedName>
    <definedName name="추정가격">#REF!</definedName>
    <definedName name="추정공사비">#REF!</definedName>
    <definedName name="추초" hidden="1">#REF!</definedName>
    <definedName name="축열식심야전기온돌공사" localSheetId="28">BlankMacro1</definedName>
    <definedName name="축열식심야전기온돌공사" localSheetId="24">BlankMacro1</definedName>
    <definedName name="축열식심야전기온돌공사" localSheetId="26">BlankMacro1</definedName>
    <definedName name="축열식심야전기온돌공사" localSheetId="27">BlankMacro1</definedName>
    <definedName name="축열식심야전기온돌공사">BlankMacro1</definedName>
    <definedName name="축척작업량">#REF!</definedName>
    <definedName name="출장비">#REF!</definedName>
    <definedName name="춤무로골뱅이">#REF!</definedName>
    <definedName name="충남">#REF!</definedName>
    <definedName name="충남타임월드">#REF!</definedName>
    <definedName name="충돌">#N/A</definedName>
    <definedName name="충동" hidden="1">#REF!</definedName>
    <definedName name="충맘">#REF!</definedName>
    <definedName name="취소">#N/A</definedName>
    <definedName name="취수탑경비">#REF!</definedName>
    <definedName name="취수탑노무비">#REF!</definedName>
    <definedName name="취수탑재료비">#REF!</definedName>
    <definedName name="취입" hidden="1">#REF!</definedName>
    <definedName name="츠">#REF!</definedName>
    <definedName name="측고기">#REF!</definedName>
    <definedName name="측고능">#REF!</definedName>
    <definedName name="측구">#REF!</definedName>
    <definedName name="측구연장">#REF!</definedName>
    <definedName name="측구연장조서">#REF!</definedName>
    <definedName name="측량">#REF!</definedName>
    <definedName name="측량_고급">#REF!</definedName>
    <definedName name="측량_중급">#REF!</definedName>
    <definedName name="측량_초급">#REF!</definedName>
    <definedName name="측량고급">#REF!</definedName>
    <definedName name="측량내역">#REF!</definedName>
    <definedName name="측량내역1">#REF!</definedName>
    <definedName name="측량내역서">#REF!</definedName>
    <definedName name="측량사조수">#REF!</definedName>
    <definedName name="측량조수">#REF!</definedName>
    <definedName name="측량중">#REF!</definedName>
    <definedName name="측량중급">#REF!</definedName>
    <definedName name="측량초">#REF!</definedName>
    <definedName name="측량초급">#REF!</definedName>
    <definedName name="측량초급기능사">#REF!</definedName>
    <definedName name="측량특급">#REF!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측설비수">#REF!</definedName>
    <definedName name="측설평">#REF!</definedName>
    <definedName name="측정결경비">#REF!</definedName>
    <definedName name="측정결노무">#REF!</definedName>
    <definedName name="측정결재료">#REF!</definedName>
    <definedName name="측정경비">#REF!</definedName>
    <definedName name="측정노무">#REF!</definedName>
    <definedName name="측정업무">#REF!</definedName>
    <definedName name="측정재료">#REF!</definedName>
    <definedName name="측중기">#REF!</definedName>
    <definedName name="측중능">#REF!</definedName>
    <definedName name="측초기">#REF!</definedName>
    <definedName name="측특기">#REF!</definedName>
    <definedName name="층1노무비합계">#REF!</definedName>
    <definedName name="층1재료비합계">#REF!</definedName>
    <definedName name="층2노무비합계">#REF!</definedName>
    <definedName name="층2재료비합계">#REF!</definedName>
    <definedName name="층층">#REF!</definedName>
    <definedName name="치">#REF!</definedName>
    <definedName name="치_장_벽_돌_공">#REF!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수경비">#REF!</definedName>
    <definedName name="치수노무">#REF!</definedName>
    <definedName name="치수시경비">#REF!</definedName>
    <definedName name="치수시노무">#REF!</definedName>
    <definedName name="치수시재료">#REF!</definedName>
    <definedName name="치수재료">#REF!</definedName>
    <definedName name="치수표">#REF!</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#REF!</definedName>
    <definedName name="친모래">#REF!</definedName>
    <definedName name="칠성" hidden="1">#REF!</definedName>
    <definedName name="칠호표">#REF!</definedName>
    <definedName name="ㅋ" localSheetId="0" hidden="1">{#N/A,#N/A,FALSE,"조골재"}</definedName>
    <definedName name="ㅋ" hidden="1">{#N/A,#N/A,FALSE,"조골재"}</definedName>
    <definedName name="ㅋ_1" localSheetId="0" hidden="1">{#N/A,#N/A,FALSE,"조골재"}</definedName>
    <definedName name="ㅋ_1" hidden="1">{#N/A,#N/A,FALSE,"조골재"}</definedName>
    <definedName name="ㅋㄴㅇ롬ㄴ온ㅇㄳ">#REF!</definedName>
    <definedName name="ㅋㅁ" hidden="1">{#N/A,#N/A,FALSE,"명세표"}</definedName>
    <definedName name="ㅋ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롬ㄷㄱ롲거">#REF!</definedName>
    <definedName name="ㅋㅇㅌ롬옹ㄳ">#REF!</definedName>
    <definedName name="ㅋㅇㅌ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 localSheetId="0" hidden="1">{#N/A,#N/A,FALSE,"조골재"}</definedName>
    <definedName name="ㅋㅋ" hidden="1">{#N/A,#N/A,FALSE,"조골재"}</definedName>
    <definedName name="ㅋㅋㅋ" localSheetId="0" hidden="1">{#N/A,#N/A,FALSE,"P.C.B"}</definedName>
    <definedName name="ㅋㅋㅋ" hidden="1">{#N/A,#N/A,FALSE,"P.C.B"}</definedName>
    <definedName name="ㅋㅋㅋㅋㅋ" localSheetId="0" hidden="1">{#N/A,#N/A,FALSE,"P.C.B"}</definedName>
    <definedName name="ㅋㅋㅋㅋㅋ" hidden="1">{#N/A,#N/A,FALSE,"P.C.B"}</definedName>
    <definedName name="ㅋㅌ" hidden="1">{"'용역비'!$A$4:$C$8"}</definedName>
    <definedName name="카" localSheetId="0" hidden="1">{#N/A,#N/A,FALSE,"단가표지"}</definedName>
    <definedName name="카" hidden="1">{#N/A,#N/A,FALSE,"단가표지"}</definedName>
    <definedName name="칼라샌드블록수량">#REF!</definedName>
    <definedName name="캇타간재">#REF!</definedName>
    <definedName name="캇타노무">#REF!</definedName>
    <definedName name="캇타손료">#REF!</definedName>
    <definedName name="캡">#REF!</definedName>
    <definedName name="커터경">#REF!</definedName>
    <definedName name="커터노">#REF!</definedName>
    <definedName name="커터재">#REF!</definedName>
    <definedName name="컨설팅">#REF!</definedName>
    <definedName name="컨설팅비용">#REF!</definedName>
    <definedName name="컷터320_400MM">#REF!</definedName>
    <definedName name="케노피">#REF!</definedName>
    <definedName name="케이블_1">#REF!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피식피이직관100">#REF!</definedName>
    <definedName name="케피식피이직관150">#REF!</definedName>
    <definedName name="케피식피이직관200">#REF!</definedName>
    <definedName name="케피식피이직관75">#REF!</definedName>
    <definedName name="코닝">#REF!</definedName>
    <definedName name="코드">#REF!</definedName>
    <definedName name="코드연결하기">#N/A</definedName>
    <definedName name="코오롱0" localSheetId="0" hidden="1">{#N/A,#N/A,FALSE,"현장 NCR 분석";#N/A,#N/A,FALSE,"현장품질감사";#N/A,#N/A,FALSE,"현장품질감사"}</definedName>
    <definedName name="코오롱0" hidden="1">{#N/A,#N/A,FALSE,"현장 NCR 분석";#N/A,#N/A,FALSE,"현장품질감사";#N/A,#N/A,FALSE,"현장품질감사"}</definedName>
    <definedName name="코오롱건설" localSheetId="0" hidden="1">{#N/A,#N/A,FALSE,"현장 NCR 분석";#N/A,#N/A,FALSE,"현장품질감사";#N/A,#N/A,FALSE,"현장품질감사"}</definedName>
    <definedName name="코오롱건설" hidden="1">{#N/A,#N/A,FALSE,"현장 NCR 분석";#N/A,#N/A,FALSE,"현장품질감사";#N/A,#N/A,FALSE,"현장품질감사"}</definedName>
    <definedName name="코오롱건설0" localSheetId="0" hidden="1">{#N/A,#N/A,FALSE,"현장 NCR 분석";#N/A,#N/A,FALSE,"현장품질감사";#N/A,#N/A,FALSE,"현장품질감사"}</definedName>
    <definedName name="코오롱건설0" hidden="1">{#N/A,#N/A,FALSE,"현장 NCR 분석";#N/A,#N/A,FALSE,"현장품질감사";#N/A,#N/A,FALSE,"현장품질감사"}</definedName>
    <definedName name="코킹공">#REF!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콘120규격">#REF!</definedName>
    <definedName name="콘180규격">#REF!</definedName>
    <definedName name="콘25">#REF!</definedName>
    <definedName name="콘40">#REF!</definedName>
    <definedName name="콘공">#REF!</definedName>
    <definedName name="콘깨기0.4경">#REF!</definedName>
    <definedName name="콘깨기0.4노">#REF!</definedName>
    <definedName name="콘깨기0.4재">#REF!</definedName>
    <definedName name="콘깨기0.7경">#REF!</definedName>
    <definedName name="콘깨기0.7노">#REF!</definedName>
    <definedName name="콘깨기0.7재">#REF!</definedName>
    <definedName name="콘깨기경">#REF!</definedName>
    <definedName name="콘깨기노">#REF!</definedName>
    <definedName name="콘깨기재">#REF!</definedName>
    <definedName name="콘노">#REF!</definedName>
    <definedName name="콘다짐경">#REF!</definedName>
    <definedName name="콘다짐재">#REF!</definedName>
    <definedName name="콘단면적">#REF!</definedName>
    <definedName name="콘믹서경">#REF!</definedName>
    <definedName name="콘믹서노">#REF!</definedName>
    <definedName name="콘믹서재">#REF!</definedName>
    <definedName name="콘소운반경">#REF!</definedName>
    <definedName name="콘소운반노">#REF!</definedName>
    <definedName name="콘소운반재">#REF!</definedName>
    <definedName name="콘재">#REF!</definedName>
    <definedName name="콘커터경">#REF!</definedName>
    <definedName name="콘커터노">#REF!</definedName>
    <definedName name="콘커터재">#REF!</definedName>
    <definedName name="콘크">#REF!</definedName>
    <definedName name="콘크노무">#REF!</definedName>
    <definedName name="콘크리트">#REF!</definedName>
    <definedName name="콘크리트_구입">#REF!</definedName>
    <definedName name="콘크리트_생산">#REF!</definedName>
    <definedName name="콘크리트_타설">#REF!</definedName>
    <definedName name="콘크리트2" hidden="1">#REF!</definedName>
    <definedName name="콘크리트경계석">#REF!</definedName>
    <definedName name="콘크리트공" localSheetId="2">#REF!</definedName>
    <definedName name="콘크리트공">#REF!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깨기" hidden="1">{"'중기작업1'!$A$1:$V$18"}</definedName>
    <definedName name="콘크리트다짐대">#REF!</definedName>
    <definedName name="콘크리트다짐소">#REF!</definedName>
    <definedName name="콘크리트단위수량">#REF!</definedName>
    <definedName name="콘크리트산출" localSheetId="28">BlankMacro1</definedName>
    <definedName name="콘크리트산출" localSheetId="24">BlankMacro1</definedName>
    <definedName name="콘크리트산출" localSheetId="26">BlankMacro1</definedName>
    <definedName name="콘크리트산출" localSheetId="27">BlankMacro1</definedName>
    <definedName name="콘크리트산출">BlankMacro1</definedName>
    <definedName name="콘크리트진동기45D_3.5HP_엔진식">#REF!</definedName>
    <definedName name="콘크리트진동기전기식후렉시블형45MM">#REF!</definedName>
    <definedName name="콘크리트측구연장">#REF!</definedName>
    <definedName name="콘크리트캇타320경비">#REF!</definedName>
    <definedName name="콘크리트캇타320노무비">#REF!</definedName>
    <definedName name="콘크리트캇타320재료비">#REF!</definedName>
    <definedName name="콘크리트타석">#REF!</definedName>
    <definedName name="콘크리트타설">#REF!</definedName>
    <definedName name="콘크리트포장">#REF!</definedName>
    <definedName name="콘크측구재료집계">#REF!</definedName>
    <definedName name="콘탄성계수">#REF!</definedName>
    <definedName name="콤팩터경">#REF!</definedName>
    <definedName name="콤팩터경비">#REF!</definedName>
    <definedName name="콤팩터노">#REF!</definedName>
    <definedName name="콤팩터노무비">#REF!</definedName>
    <definedName name="콤팩터재">#REF!</definedName>
    <definedName name="콤팩터재료비">#REF!</definedName>
    <definedName name="큐비클응급공사">#REF!</definedName>
    <definedName name="크레인_트럭_10TON">#REF!</definedName>
    <definedName name="크레인10경">#REF!</definedName>
    <definedName name="크레인10노">#REF!</definedName>
    <definedName name="크레인10재">#REF!</definedName>
    <definedName name="크레인가격">[0]!크레인가격</definedName>
    <definedName name="크레인경">#REF!</definedName>
    <definedName name="크레인노">#REF!</definedName>
    <definedName name="크레인재">#REF!</definedName>
    <definedName name="크리프계수">#REF!</definedName>
    <definedName name="큰금액">#REF!</definedName>
    <definedName name="큰금액요율">#REF!</definedName>
    <definedName name="키키" localSheetId="11">[0]!BlankMacro1</definedName>
    <definedName name="키키" localSheetId="13">[0]!BlankMacro1</definedName>
    <definedName name="키키" localSheetId="15">[0]!BlankMacro1</definedName>
    <definedName name="키키" localSheetId="28">[0]!BlankMacro1</definedName>
    <definedName name="키키" localSheetId="24">[0]!BlankMacro1</definedName>
    <definedName name="키키" localSheetId="26">[0]!BlankMacro1</definedName>
    <definedName name="키키" localSheetId="27">[0]!BlankMacro1</definedName>
    <definedName name="키키">[0]!BlankMacro1</definedName>
    <definedName name="ㅌ" localSheetId="0" hidden="1">{#N/A,#N/A,FALSE,"2~8번"}</definedName>
    <definedName name="ㅌ" hidden="1">{#N/A,#N/A,FALSE,"2~8번"}</definedName>
    <definedName name="ㅌ_1" localSheetId="0" hidden="1">{#N/A,#N/A,FALSE,"2~8번"}</definedName>
    <definedName name="ㅌ_1" hidden="1">{#N/A,#N/A,FALSE,"2~8번"}</definedName>
    <definedName name="ㅌㄹ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[0]!ㅌㅊ</definedName>
    <definedName name="ㅌㅍ츛ㅌ" hidden="1">{#N/A,#N/A,FALSE,"운반시간"}</definedName>
    <definedName name="타" localSheetId="0" hidden="1">{#N/A,#N/A,FALSE,"2~8번"}</definedName>
    <definedName name="타" hidden="1">{#N/A,#N/A,FALSE,"2~8번"}</definedName>
    <definedName name="타견적">#REF!</definedName>
    <definedName name="타견적서">#REF!</definedName>
    <definedName name="타이어">#REF!</definedName>
    <definedName name="타이어경">#REF!</definedName>
    <definedName name="타이어노">#REF!</definedName>
    <definedName name="타이어노무">#REF!</definedName>
    <definedName name="타이어로라">250000</definedName>
    <definedName name="타이어로울러_자주식_5_8TON">#REF!</definedName>
    <definedName name="타이어재">#REF!</definedName>
    <definedName name="타이어재료">#REF!</definedName>
    <definedName name="타이틀">#REF!</definedName>
    <definedName name="타일공">#REF!</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타일공사번호">#REF!</definedName>
    <definedName name="탄뎀경">#REF!</definedName>
    <definedName name="탄뎀노">#REF!</definedName>
    <definedName name="탄뎀재">#REF!</definedName>
    <definedName name="탄성계수비">#REF!</definedName>
    <definedName name="탄성고무받침">#REF!</definedName>
    <definedName name="탑정높이">#REF!</definedName>
    <definedName name="태곡간선총공사비">#REF!</definedName>
    <definedName name="태산목10노무">#REF!</definedName>
    <definedName name="태산목10재료">#REF!</definedName>
    <definedName name="태산목12노무">#REF!</definedName>
    <definedName name="태산목12재료">#REF!</definedName>
    <definedName name="태산목H2.5">#REF!</definedName>
    <definedName name="태양열.도금">#REF!</definedName>
    <definedName name="태중산출근거" localSheetId="28">BlankMacro1</definedName>
    <definedName name="태중산출근거" localSheetId="24">BlankMacro1</definedName>
    <definedName name="태중산출근거" localSheetId="26">BlankMacro1</definedName>
    <definedName name="태중산출근거" localSheetId="27">BlankMacro1</definedName>
    <definedName name="태중산출근거">BlankMacro1</definedName>
    <definedName name="택코팅">#REF!</definedName>
    <definedName name="택코팅경">#REF!</definedName>
    <definedName name="택코팅노">#REF!</definedName>
    <definedName name="택코팅재">#REF!</definedName>
    <definedName name="탠덤로울러_자주식_5_8TON">#REF!</definedName>
    <definedName name="터_높">#REF!</definedName>
    <definedName name="터_폭">#REF!</definedName>
    <definedName name="터널공">#REF!</definedName>
    <definedName name="터파기">#REF!</definedName>
    <definedName name="터파기_깊이">#REF!</definedName>
    <definedName name="터파기2">#REF!</definedName>
    <definedName name="터파기경">#REF!</definedName>
    <definedName name="터파기고">#REF!</definedName>
    <definedName name="터파기구배">#REF!</definedName>
    <definedName name="터파기깊이">#REF!</definedName>
    <definedName name="터파기노">#REF!</definedName>
    <definedName name="터파기량">#REF!</definedName>
    <definedName name="터파기리핑">#REF!</definedName>
    <definedName name="터파기반경">#REF!</definedName>
    <definedName name="터파기발파암">#REF!</definedName>
    <definedName name="터파기재">#REF!</definedName>
    <definedName name="터파기체적">#REF!</definedName>
    <definedName name="터파기토사">#REF!</definedName>
    <definedName name="터파기폭__상부">#REF!</definedName>
    <definedName name="터파기폭__하부">#REF!</definedName>
    <definedName name="털털털털털털">#REF!</definedName>
    <definedName name="테B10">#REF!</definedName>
    <definedName name="테B12">#REF!</definedName>
    <definedName name="테B20">#REF!</definedName>
    <definedName name="테B6">#REF!</definedName>
    <definedName name="테B8">#REF!</definedName>
    <definedName name="테H1.5">#REF!</definedName>
    <definedName name="테H2.0">#REF!</definedName>
    <definedName name="테H2.5">#REF!</definedName>
    <definedName name="테H3.0">#REF!</definedName>
    <definedName name="테H3.5">#REF!</definedName>
    <definedName name="테R10">#REF!</definedName>
    <definedName name="테R12">#REF!</definedName>
    <definedName name="테R15">#REF!</definedName>
    <definedName name="테R4">#REF!</definedName>
    <definedName name="테R5">#REF!</definedName>
    <definedName name="테R6">#REF!</definedName>
    <definedName name="테R8">#REF!</definedName>
    <definedName name="테관0.4">#REF!</definedName>
    <definedName name="테관0.5">#REF!</definedName>
    <definedName name="테관0.6">#REF!</definedName>
    <definedName name="테관1.0">#REF!</definedName>
    <definedName name="테관1.2">#REF!</definedName>
    <definedName name="테관1.5">#REF!</definedName>
    <definedName name="테관2.0">#REF!</definedName>
    <definedName name="테극기">#REF!</definedName>
    <definedName name="테스크" hidden="1">{#N/A,#N/A,FALSE,"단가표지"}</definedName>
    <definedName name="테스트" hidden="1">#REF!</definedName>
    <definedName name="테지">#REF!</definedName>
    <definedName name="템_모듈1" localSheetId="11">BlankMacro1</definedName>
    <definedName name="템_모듈1" localSheetId="13">BlankMacro1</definedName>
    <definedName name="템_모듈1" localSheetId="15">BlankMacro1</definedName>
    <definedName name="템_모듈1" localSheetId="28">BlankMacro1</definedName>
    <definedName name="템_모듈1" localSheetId="24">BlankMacro1</definedName>
    <definedName name="템_모듈1" localSheetId="26">BlankMacro1</definedName>
    <definedName name="템_모듈1" localSheetId="27">BlankMacro1</definedName>
    <definedName name="템_모듈1">BlankMacro1</definedName>
    <definedName name="템_모듈2" localSheetId="11">BlankMacro1</definedName>
    <definedName name="템_모듈2" localSheetId="13">BlankMacro1</definedName>
    <definedName name="템_모듈2" localSheetId="15">BlankMacro1</definedName>
    <definedName name="템_모듈2" localSheetId="28">BlankMacro1</definedName>
    <definedName name="템_모듈2" localSheetId="24">BlankMacro1</definedName>
    <definedName name="템_모듈2" localSheetId="26">BlankMacro1</definedName>
    <definedName name="템_모듈2" localSheetId="27">BlankMacro1</definedName>
    <definedName name="템_모듈2">BlankMacro1</definedName>
    <definedName name="템_모듈3" localSheetId="11">BlankMacro1</definedName>
    <definedName name="템_모듈3" localSheetId="13">BlankMacro1</definedName>
    <definedName name="템_모듈3" localSheetId="15">BlankMacro1</definedName>
    <definedName name="템_모듈3" localSheetId="28">BlankMacro1</definedName>
    <definedName name="템_모듈3" localSheetId="24">BlankMacro1</definedName>
    <definedName name="템_모듈3" localSheetId="26">BlankMacro1</definedName>
    <definedName name="템_모듈3" localSheetId="27">BlankMacro1</definedName>
    <definedName name="템_모듈3">BlankMacro1</definedName>
    <definedName name="템_모듈4" localSheetId="11">BlankMacro1</definedName>
    <definedName name="템_모듈4" localSheetId="13">BlankMacro1</definedName>
    <definedName name="템_모듈4" localSheetId="15">BlankMacro1</definedName>
    <definedName name="템_모듈4" localSheetId="28">BlankMacro1</definedName>
    <definedName name="템_모듈4" localSheetId="24">BlankMacro1</definedName>
    <definedName name="템_모듈4" localSheetId="26">BlankMacro1</definedName>
    <definedName name="템_모듈4" localSheetId="27">BlankMacro1</definedName>
    <definedName name="템_모듈4">BlankMacro1</definedName>
    <definedName name="템_모듈5" localSheetId="11">BlankMacro1</definedName>
    <definedName name="템_모듈5" localSheetId="13">BlankMacro1</definedName>
    <definedName name="템_모듈5" localSheetId="15">BlankMacro1</definedName>
    <definedName name="템_모듈5" localSheetId="28">BlankMacro1</definedName>
    <definedName name="템_모듈5" localSheetId="24">BlankMacro1</definedName>
    <definedName name="템_모듈5" localSheetId="26">BlankMacro1</definedName>
    <definedName name="템_모듈5" localSheetId="27">BlankMacro1</definedName>
    <definedName name="템_모듈5">BlankMacro1</definedName>
    <definedName name="템_모듈6" localSheetId="11">BlankMacro1</definedName>
    <definedName name="템_모듈6" localSheetId="13">BlankMacro1</definedName>
    <definedName name="템_모듈6" localSheetId="15">BlankMacro1</definedName>
    <definedName name="템_모듈6" localSheetId="28">BlankMacro1</definedName>
    <definedName name="템_모듈6" localSheetId="24">BlankMacro1</definedName>
    <definedName name="템_모듈6" localSheetId="26">BlankMacro1</definedName>
    <definedName name="템_모듈6" localSheetId="27">BlankMacro1</definedName>
    <definedName name="템_모듈6">BlankMacro1</definedName>
    <definedName name="템플리트모듈1" localSheetId="11">#REF!</definedName>
    <definedName name="템플리트모듈1" localSheetId="13">#REF!</definedName>
    <definedName name="템플리트모듈1" localSheetId="15">#REF!</definedName>
    <definedName name="템플리트모듈1">#REF!</definedName>
    <definedName name="템플리트모듈10" localSheetId="28">BlankMacro1</definedName>
    <definedName name="템플리트모듈10" localSheetId="24">BlankMacro1</definedName>
    <definedName name="템플리트모듈10" localSheetId="26">BlankMacro1</definedName>
    <definedName name="템플리트모듈10" localSheetId="27">BlankMacro1</definedName>
    <definedName name="템플리트모듈10">BlankMacro1</definedName>
    <definedName name="템플리트모듈120" localSheetId="11">BlankMacro1</definedName>
    <definedName name="템플리트모듈120" localSheetId="13">BlankMacro1</definedName>
    <definedName name="템플리트모듈120" localSheetId="15">BlankMacro1</definedName>
    <definedName name="템플리트모듈120" localSheetId="28">BlankMacro1</definedName>
    <definedName name="템플리트모듈120" localSheetId="24">BlankMacro1</definedName>
    <definedName name="템플리트모듈120" localSheetId="26">BlankMacro1</definedName>
    <definedName name="템플리트모듈120" localSheetId="27">BlankMacro1</definedName>
    <definedName name="템플리트모듈120">BlankMacro1</definedName>
    <definedName name="템플리트모듈2" localSheetId="11">#REF!</definedName>
    <definedName name="템플리트모듈2" localSheetId="13">#REF!</definedName>
    <definedName name="템플리트모듈2" localSheetId="15">#REF!</definedName>
    <definedName name="템플리트모듈2">#REF!</definedName>
    <definedName name="템플리트모듈220" localSheetId="11">BlankMacro1</definedName>
    <definedName name="템플리트모듈220" localSheetId="13">BlankMacro1</definedName>
    <definedName name="템플리트모듈220" localSheetId="15">BlankMacro1</definedName>
    <definedName name="템플리트모듈220" localSheetId="28">BlankMacro1</definedName>
    <definedName name="템플리트모듈220" localSheetId="24">BlankMacro1</definedName>
    <definedName name="템플리트모듈220" localSheetId="26">BlankMacro1</definedName>
    <definedName name="템플리트모듈220" localSheetId="27">BlankMacro1</definedName>
    <definedName name="템플리트모듈220">BlankMacro1</definedName>
    <definedName name="템플리트모듈3" localSheetId="11">#REF!</definedName>
    <definedName name="템플리트모듈3" localSheetId="13">#REF!</definedName>
    <definedName name="템플리트모듈3" localSheetId="15">#REF!</definedName>
    <definedName name="템플리트모듈3">#REF!</definedName>
    <definedName name="템플리트모듈4" localSheetId="11">#REF!</definedName>
    <definedName name="템플리트모듈4" localSheetId="13">#REF!</definedName>
    <definedName name="템플리트모듈4" localSheetId="15">#REF!</definedName>
    <definedName name="템플리트모듈4">#REF!</definedName>
    <definedName name="템플리트모듈5" localSheetId="11">#REF!</definedName>
    <definedName name="템플리트모듈5" localSheetId="13">#REF!</definedName>
    <definedName name="템플리트모듈5" localSheetId="15">#REF!</definedName>
    <definedName name="템플리트모듈5">#REF!</definedName>
    <definedName name="템플리트모듈6" localSheetId="11">Dlog_Show</definedName>
    <definedName name="템플리트모듈6" localSheetId="13">Dlog_Show</definedName>
    <definedName name="템플리트모듈6" localSheetId="15">Dlog_Show</definedName>
    <definedName name="템플리트모듈6" localSheetId="28">Dlog_Show</definedName>
    <definedName name="템플리트모듈6" localSheetId="24">Dlog_Show</definedName>
    <definedName name="템플리트모듈6" localSheetId="26">Dlog_Show</definedName>
    <definedName name="템플리트모듈6" localSheetId="27">Dlog_Show</definedName>
    <definedName name="템플리트모듈6">Dlog_Show</definedName>
    <definedName name="토">#REF!</definedName>
    <definedName name="토간접">#REF!</definedName>
    <definedName name="토경비">#REF!</definedName>
    <definedName name="토공" hidden="1">{#N/A,#N/A,FALSE,"포장2"}</definedName>
    <definedName name="토공_규준틀___개소당">#REF!</definedName>
    <definedName name="토공1" hidden="1">{#N/A,#N/A,FALSE,"토공2"}</definedName>
    <definedName name="토공2" hidden="1">{#N/A,#N/A,FALSE,"구조1"}</definedName>
    <definedName name="토공222" hidden="1">{#N/A,#N/A,FALSE,"토공2"}</definedName>
    <definedName name="토공2222333" hidden="1">#REF!</definedName>
    <definedName name="토공A25">#REF!</definedName>
    <definedName name="토공간지" localSheetId="28">BlankMacro1</definedName>
    <definedName name="토공간지" localSheetId="24">BlankMacro1</definedName>
    <definedName name="토공간지" localSheetId="26">BlankMacro1</definedName>
    <definedName name="토공간지" localSheetId="27">BlankMacro1</definedName>
    <definedName name="토공간지">BlankMacro1</definedName>
    <definedName name="토공도급">#REF!</definedName>
    <definedName name="토공사2">#REF!</definedName>
    <definedName name="토공수량단면">#REF!</definedName>
    <definedName name="토공실행">#REF!</definedName>
    <definedName name="토공집계">#REF!</definedName>
    <definedName name="토관리">#REF!</definedName>
    <definedName name="토량계산" localSheetId="0" hidden="1">{#N/A,#N/A,FALSE,"포장단가"}</definedName>
    <definedName name="토량계산" hidden="1">{#N/A,#N/A,FALSE,"포장단가"}</definedName>
    <definedName name="토목" localSheetId="0" hidden="1">{#N/A,#N/A,TRUE,"토적및재료집계";#N/A,#N/A,TRUE,"토적및재료집계";#N/A,#N/A,TRUE,"단위량"}</definedName>
    <definedName name="토목" hidden="1">{#N/A,#N/A,TRUE,"토적및재료집계";#N/A,#N/A,TRUE,"토적및재료집계";#N/A,#N/A,TRUE,"단위량"}</definedName>
    <definedName name="토목1">#REF!</definedName>
    <definedName name="토목설계" hidden="1">{#N/A,#N/A,FALSE,"골재소요량";#N/A,#N/A,FALSE,"골재소요량"}</definedName>
    <definedName name="토목자재대">#REF!</definedName>
    <definedName name="토보험">#REF!</definedName>
    <definedName name="토부가">#REF!</definedName>
    <definedName name="토사">#REF!</definedName>
    <definedName name="토사_깍기_도쟈_19_TON__㎥_당">#REF!</definedName>
    <definedName name="토사1">#REF!</definedName>
    <definedName name="토사2">#REF!</definedName>
    <definedName name="토사3">#REF!</definedName>
    <definedName name="토사운반__덤__프_15Ton____㎥당">#REF!</definedName>
    <definedName name="토사천공개소">#REF!</definedName>
    <definedName name="토안전">#REF!</definedName>
    <definedName name="토양">#REF!</definedName>
    <definedName name="토양경비">#REF!</definedName>
    <definedName name="토양노무">#REF!</definedName>
    <definedName name="토양재료">#REF!</definedName>
    <definedName name="토양질">#REF!</definedName>
    <definedName name="토이윤">#REF!</definedName>
    <definedName name="토적" localSheetId="19">#REF!</definedName>
    <definedName name="토적" localSheetId="21">#REF!</definedName>
    <definedName name="토적" localSheetId="23">#REF!</definedName>
    <definedName name="토적" localSheetId="3">#REF!</definedName>
    <definedName name="토적" localSheetId="5">#REF!</definedName>
    <definedName name="토적" localSheetId="7">#REF!</definedName>
    <definedName name="토적" localSheetId="9">#REF!</definedName>
    <definedName name="토적" localSheetId="11">#REF!</definedName>
    <definedName name="토적" localSheetId="13">#REF!</definedName>
    <definedName name="토적" localSheetId="15">#REF!</definedName>
    <definedName name="토적" localSheetId="17">#REF!</definedName>
    <definedName name="토적" localSheetId="0">#REF!</definedName>
    <definedName name="토적">#REF!</definedName>
    <definedName name="토적1">[0]!토적1</definedName>
    <definedName name="토적1공구">#REF!</definedName>
    <definedName name="토적2공구">#REF!</definedName>
    <definedName name="토적보조기층">#REF!</definedName>
    <definedName name="토적아스팔트포장">#REF!</definedName>
    <definedName name="토적집계">#REF!</definedName>
    <definedName name="토적표" localSheetId="19">#REF!</definedName>
    <definedName name="토적표" localSheetId="21">#REF!</definedName>
    <definedName name="토적표" localSheetId="23">#REF!</definedName>
    <definedName name="토적표" localSheetId="3">#REF!</definedName>
    <definedName name="토적표" localSheetId="5">#REF!</definedName>
    <definedName name="토적표" localSheetId="7">#REF!</definedName>
    <definedName name="토적표" localSheetId="9">#REF!</definedName>
    <definedName name="토적표" localSheetId="11">#REF!</definedName>
    <definedName name="토적표" localSheetId="13">#REF!</definedName>
    <definedName name="토적표" localSheetId="15">#REF!</definedName>
    <definedName name="토적표" localSheetId="17">#REF!</definedName>
    <definedName name="토적표">#REF!</definedName>
    <definedName name="토적표01" hidden="1">#REF!</definedName>
    <definedName name="토적표2">#REF!</definedName>
    <definedName name="토지경비">#REF!</definedName>
    <definedName name="토지노무">#REF!</definedName>
    <definedName name="토지이용">#REF!</definedName>
    <definedName name="토지재료">#REF!</definedName>
    <definedName name="토출조" hidden="1">{"'중기작업1'!$A$1:$V$18"}</definedName>
    <definedName name="토취장복구경비">#REF!</definedName>
    <definedName name="토취장복구노무비">#REF!</definedName>
    <definedName name="토취장복구재료비">#REF!</definedName>
    <definedName name="토피">#REF!</definedName>
    <definedName name="톤콘">#REF!</definedName>
    <definedName name="톱">#REF!</definedName>
    <definedName name="톱밥퇴비">#REF!</definedName>
    <definedName name="통2">#REF!</definedName>
    <definedName name="통계_경비">#REF!</definedName>
    <definedName name="통계_노무비">#REF!</definedName>
    <definedName name="통신" localSheetId="28">BlankMacro1</definedName>
    <definedName name="통신" localSheetId="24">BlankMacro1</definedName>
    <definedName name="통신" localSheetId="26">BlankMacro1</definedName>
    <definedName name="통신" localSheetId="27">BlankMacro1</definedName>
    <definedName name="통신">BlankMacro1</definedName>
    <definedName name="통신갑지" localSheetId="28">BlankMacro1</definedName>
    <definedName name="통신갑지" localSheetId="24">BlankMacro1</definedName>
    <definedName name="통신갑지" localSheetId="26">BlankMacro1</definedName>
    <definedName name="통신갑지" localSheetId="27">BlankMacro1</definedName>
    <definedName name="통신갑지">BlankMacro1</definedName>
    <definedName name="통신관련기능사">#REF!</definedName>
    <definedName name="통신관련기능사_통신기능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#REF!</definedName>
    <definedName name="통신관련기사_통신기사1급">#REF!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구조일수">#REF!</definedName>
    <definedName name="통신기사1급">#REF!</definedName>
    <definedName name="통신기사2급">#REF!</definedName>
    <definedName name="통신내선공" localSheetId="2">#REF!</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산업기사">#REF!</definedName>
    <definedName name="통신설비공" localSheetId="2">#REF!</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 localSheetId="2">#REF!</definedName>
    <definedName name="통신외선공">#REF!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일위대가" localSheetId="28">BlankMacro1</definedName>
    <definedName name="통신일위대가" localSheetId="24">BlankMacro1</definedName>
    <definedName name="통신일위대가" localSheetId="26">BlankMacro1</definedName>
    <definedName name="통신일위대가" localSheetId="27">BlankMacro1</definedName>
    <definedName name="통신일위대가">BlankMacro1</definedName>
    <definedName name="통신일위목록">#REF!</definedName>
    <definedName name="통신전력재구조일수">#REF!</definedName>
    <definedName name="통신전력재구조화비율">#REF!</definedName>
    <definedName name="통신정위치작업일수">#REF!</definedName>
    <definedName name="통신조사연장">#REF!</definedName>
    <definedName name="통신집계" localSheetId="28">BlankMacro1</definedName>
    <definedName name="통신집계" localSheetId="24">BlankMacro1</definedName>
    <definedName name="통신집계" localSheetId="26">BlankMacro1</definedName>
    <definedName name="통신집계" localSheetId="27">BlankMacro1</definedName>
    <definedName name="통신집계">BlankMacro1</definedName>
    <definedName name="통신케이블공" localSheetId="2">#REF!</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신케이블전공">#REF!</definedName>
    <definedName name="통신탐사연장">#REF!</definedName>
    <definedName name="통영수량">#REF!</definedName>
    <definedName name="통합">#N/A</definedName>
    <definedName name="통합갑지총계">#REF!</definedName>
    <definedName name="통합시행청">#REF!</definedName>
    <definedName name="통합표지">#REF!</definedName>
    <definedName name="통합품목">#REF!</definedName>
    <definedName name="통합헤드커텐1">#REF!</definedName>
    <definedName name="통합현수막">#REF!</definedName>
    <definedName name="톹" localSheetId="28">BlankMacro1</definedName>
    <definedName name="톹" localSheetId="24">BlankMacro1</definedName>
    <definedName name="톹" localSheetId="26">BlankMacro1</definedName>
    <definedName name="톹" localSheetId="27">BlankMacro1</definedName>
    <definedName name="톹">BlankMacro1</definedName>
    <definedName name="퇴직공제부금비">#REF!</definedName>
    <definedName name="퇴직공제부금비율">#REF!</definedName>
    <definedName name="퇴직부금비">#REF!</definedName>
    <definedName name="퇴직부금비_산식">#REF!</definedName>
    <definedName name="퇴직세">#REF!</definedName>
    <definedName name="퇴직주민세">#REF!</definedName>
    <definedName name="투간접노무비">#REF!</definedName>
    <definedName name="투경비">#REF!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수콘">#REF!</definedName>
    <definedName name="투수콘크리트갈색">#REF!</definedName>
    <definedName name="투수콘크리트녹색">#REF!</definedName>
    <definedName name="투수콘크리트적색">#REF!</definedName>
    <definedName name="투수콘크리트청색">#REF!</definedName>
    <definedName name="투순공사원가">#REF!</definedName>
    <definedName name="투스콘녹색">#REF!</definedName>
    <definedName name="투스콘암갈색">#REF!</definedName>
    <definedName name="투스콘회적황색">#REF!</definedName>
    <definedName name="투스콘흙색">#REF!</definedName>
    <definedName name="투안전관리비">#REF!</definedName>
    <definedName name="투이윤">#REF!</definedName>
    <definedName name="투일반관리비">#REF!</definedName>
    <definedName name="투재료비">#REF!</definedName>
    <definedName name="투찰" hidden="1">{#N/A,#N/A,FALSE,"단가표지"}</definedName>
    <definedName name="트레일러20경">#REF!</definedName>
    <definedName name="트레일러20노">#REF!</definedName>
    <definedName name="트레일러20재">#REF!</definedName>
    <definedName name="특">#REF!</definedName>
    <definedName name="특1">#REF!</definedName>
    <definedName name="특1호_맨홀">#REF!</definedName>
    <definedName name="특1호_부관">#REF!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급">#REF!,#REF!,#REF!,#REF!,#REF!,#REF!</definedName>
    <definedName name="특급2">#REF!</definedName>
    <definedName name="특급기">#REF!</definedName>
    <definedName name="특급기술자">#REF!</definedName>
    <definedName name="특급기술자_측량">#REF!</definedName>
    <definedName name="특급달">#REF!</definedName>
    <definedName name="특급엔지니어링">#REF!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전체">#REF!</definedName>
    <definedName name="특기">#REF!</definedName>
    <definedName name="특별">#REF!</definedName>
    <definedName name="특별인부" localSheetId="2">#REF!</definedName>
    <definedName name="특별인부">#REF!</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술">#REF!</definedName>
    <definedName name="특인부">#REF!</definedName>
    <definedName name="특케" localSheetId="2">#REF!</definedName>
    <definedName name="특케">#REF!</definedName>
    <definedName name="티형관25">#REF!</definedName>
    <definedName name="티형관50">#REF!</definedName>
    <definedName name="티형관75">#REF!</definedName>
    <definedName name="ㅍ" localSheetId="0" hidden="1">{#N/A,#N/A,FALSE,"2~8번"}</definedName>
    <definedName name="ㅍ" hidden="1">{#N/A,#N/A,FALSE,"2~8번"}</definedName>
    <definedName name="ㅍ_1" localSheetId="0" hidden="1">{#N/A,#N/A,FALSE,"2~8번"}</definedName>
    <definedName name="ㅍ_1" hidden="1">{#N/A,#N/A,FALSE,"2~8번"}</definedName>
    <definedName name="ㅍ49">#REF!</definedName>
    <definedName name="ㅍㄴㅇㄹ" hidden="1">#REF!</definedName>
    <definedName name="ㅍㄴㅇㅀㅇ">#REF!</definedName>
    <definedName name="ㅍ춫" hidden="1">{#N/A,#N/A,FALSE,"골재소요량";#N/A,#N/A,FALSE,"골재소요량"}</definedName>
    <definedName name="ㅍ츝" hidden="1">{#N/A,#N/A,FALSE,"표지목차"}</definedName>
    <definedName name="ㅍ큪ㅊㅋ" hidden="1">#REF!</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ㅁㄴㅍㅍㄴ">[0]!ㅍㅍㅁㄴㅍㅍㄴ</definedName>
    <definedName name="ㅍㅍㅍㅍ" localSheetId="0" hidden="1">{#N/A,#N/A,FALSE,"P.C.B"}</definedName>
    <definedName name="ㅍㅍㅍㅍ" hidden="1">{#N/A,#N/A,FALSE,"P.C.B"}</definedName>
    <definedName name="ㅍㅍㅍㅍㅍㅍㅍㅍ" localSheetId="0" hidden="1">{#N/A,#N/A,FALSE,"P.C.B"}</definedName>
    <definedName name="ㅍㅍㅍㅍㅍㅍㅍㅍ" hidden="1">{#N/A,#N/A,FALSE,"P.C.B"}</definedName>
    <definedName name="ㅍㅍㅍㅍㅍㅍㅍㅍㅍㅍㅍㅍㅍㅍ">#REF!</definedName>
    <definedName name="ㅍㅍㅍㅍㅍㅍㅍㅍㅍㅍㅍㅍㅍㅍㅍㅍㅍㅍㅍㅍㅍ">#REF!</definedName>
    <definedName name="파고라노">#REF!</definedName>
    <definedName name="파고라재">#REF!</definedName>
    <definedName name="파우더룸" localSheetId="0" hidden="1">{"'Sheet1'!$A$1:$E$59"}</definedName>
    <definedName name="파우더룸" hidden="1">{"'Sheet1'!$A$1:$E$59"}</definedName>
    <definedName name="파이1">#REF!</definedName>
    <definedName name="파이2">#REF!</definedName>
    <definedName name="파이프펜던트">#REF!</definedName>
    <definedName name="파일" localSheetId="19" hidden="1">#REF!</definedName>
    <definedName name="파일" localSheetId="21" hidden="1">#REF!</definedName>
    <definedName name="파일" localSheetId="23" hidden="1">#REF!</definedName>
    <definedName name="파일" localSheetId="3" hidden="1">#REF!</definedName>
    <definedName name="파일" localSheetId="5" hidden="1">#REF!</definedName>
    <definedName name="파일" localSheetId="7" hidden="1">#REF!</definedName>
    <definedName name="파일" localSheetId="9" hidden="1">#REF!</definedName>
    <definedName name="파일" localSheetId="11" hidden="1">#REF!</definedName>
    <definedName name="파일" localSheetId="13" hidden="1">#REF!</definedName>
    <definedName name="파일" localSheetId="15" hidden="1">#REF!</definedName>
    <definedName name="파일" localSheetId="17" hidden="1">#REF!</definedName>
    <definedName name="파일" localSheetId="0" hidden="1">#REF!</definedName>
    <definedName name="파일" hidden="1">#REF!</definedName>
    <definedName name="파일길이">#REF!</definedName>
    <definedName name="파일수량2" localSheetId="11">#REF!,#REF!</definedName>
    <definedName name="파일수량2" localSheetId="13">#REF!,#REF!</definedName>
    <definedName name="파일수량2" localSheetId="15">#REF!,#REF!</definedName>
    <definedName name="파일수량2">#REF!,#REF!</definedName>
    <definedName name="파일종갯수">#REF!</definedName>
    <definedName name="파일횡갯수">#REF!</definedName>
    <definedName name="파형강관토공">#REF!</definedName>
    <definedName name="파형강관표준시공도">#REF!</definedName>
    <definedName name="판넬일위목록">#REF!</definedName>
    <definedName name="판넬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석노">#REF!</definedName>
    <definedName name="판석재">#REF!</definedName>
    <definedName name="판재">#REF!</definedName>
    <definedName name="팔" localSheetId="19" hidden="1">#REF!</definedName>
    <definedName name="팔" localSheetId="21" hidden="1">#REF!</definedName>
    <definedName name="팔" localSheetId="23" hidden="1">#REF!</definedName>
    <definedName name="팔" localSheetId="3" hidden="1">#REF!</definedName>
    <definedName name="팔" localSheetId="5" hidden="1">#REF!</definedName>
    <definedName name="팔" localSheetId="7" hidden="1">#REF!</definedName>
    <definedName name="팔" localSheetId="9" hidden="1">#REF!</definedName>
    <definedName name="팔" localSheetId="11" hidden="1">#REF!</definedName>
    <definedName name="팔" localSheetId="13" hidden="1">#REF!</definedName>
    <definedName name="팔" localSheetId="15" hidden="1">#REF!</definedName>
    <definedName name="팔" localSheetId="17" hidden="1">#REF!</definedName>
    <definedName name="팔" hidden="1">#REF!</definedName>
    <definedName name="팔십">#REF!</definedName>
    <definedName name="팔호표">#REF!</definedName>
    <definedName name="팥배나무H3.0">#REF!</definedName>
    <definedName name="패널조립공">#REF!</definedName>
    <definedName name="팽">#REF!</definedName>
    <definedName name="팽나무H4.0">#REF!</definedName>
    <definedName name="퍼티">#REF!</definedName>
    <definedName name="펌프구경">#REF!</definedName>
    <definedName name="펌프카경">#REF!</definedName>
    <definedName name="펌프카노">#REF!</definedName>
    <definedName name="펌프카재">#REF!</definedName>
    <definedName name="페기갑지" hidden="1">#REF!</definedName>
    <definedName name="페인트갈색1급">#REF!</definedName>
    <definedName name="페인트갈색2급">#REF!</definedName>
    <definedName name="페인트백색1급">#REF!</definedName>
    <definedName name="페인트백색2급">#REF!</definedName>
    <definedName name="페인트황색1급">#REF!</definedName>
    <definedName name="페인트황색2급">#REF!</definedName>
    <definedName name="편락관100_80">#REF!</definedName>
    <definedName name="편락관150_100">#REF!</definedName>
    <definedName name="편락관150_80">#REF!</definedName>
    <definedName name="편락관200_100">#REF!</definedName>
    <definedName name="편락관200_150">#REF!</definedName>
    <definedName name="편락관200_80">#REF!</definedName>
    <definedName name="편락관300_100">#REF!</definedName>
    <definedName name="편락관300_150">#REF!</definedName>
    <definedName name="편락관300_200">#REF!</definedName>
    <definedName name="편락관400_150">#REF!</definedName>
    <definedName name="편락관400_200">#REF!</definedName>
    <definedName name="편락관400_300">#REF!</definedName>
    <definedName name="편락관500_200">#REF!</definedName>
    <definedName name="편락관500_300">#REF!</definedName>
    <definedName name="편락관500_400">#REF!</definedName>
    <definedName name="평">#REF!</definedName>
    <definedName name="평가대상지역">#REF!</definedName>
    <definedName name="평가항목">#REF!</definedName>
    <definedName name="평갈경비">#REF!</definedName>
    <definedName name="평갈노무">#REF!</definedName>
    <definedName name="평갈재료">#REF!</definedName>
    <definedName name="평균">#REF!</definedName>
    <definedName name="평균H">#REF!</definedName>
    <definedName name="평균H1">#REF!</definedName>
    <definedName name="평균H2">#REF!</definedName>
    <definedName name="평균높이">#REF!</definedName>
    <definedName name="평당">#REF!</definedName>
    <definedName name="평떼">#REF!</definedName>
    <definedName name="평면">#REF!</definedName>
    <definedName name="평면부표">#REF!</definedName>
    <definedName name="평면선형">#REF!</definedName>
    <definedName name="평면작업계수">#REF!</definedName>
    <definedName name="평면작업량증감계수">#REF!</definedName>
    <definedName name="평면지형계수">#REF!</definedName>
    <definedName name="평면지형증감계수">#REF!</definedName>
    <definedName name="평야부">#REF!</definedName>
    <definedName name="평의자노">#REF!</definedName>
    <definedName name="평의자재">#REF!</definedName>
    <definedName name="평판측량">#REF!</definedName>
    <definedName name="폐기" hidden="1">#REF!</definedName>
    <definedName name="폐기갑지용" hidden="1">#REF!</definedName>
    <definedName name="폐기량산출">[0]!폐기량산출</definedName>
    <definedName name="폐기물">#REF!</definedName>
    <definedName name="폐기물공">#REF!</definedName>
    <definedName name="폐기물내역서" localSheetId="28">'수량(구매품)'!템플리트모듈6</definedName>
    <definedName name="폐기물내역서" localSheetId="24">'수량(구조보강)'!템플리트모듈6</definedName>
    <definedName name="폐기물내역서" localSheetId="26">'수량(내부1층)'!템플리트모듈6</definedName>
    <definedName name="폐기물내역서" localSheetId="27">'수량(내부2층)'!템플리트모듈6</definedName>
    <definedName name="폐기물내역서">템플리트모듈6</definedName>
    <definedName name="폐기물수수료">#REF!</definedName>
    <definedName name="폐기물운반">#REF!</definedName>
    <definedName name="폐기물적재">#REF!</definedName>
    <definedName name="폐기물집계표">[0]!집</definedName>
    <definedName name="폐추니아">#REF!</definedName>
    <definedName name="포설">#REF!</definedName>
    <definedName name="포설공">#REF!</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설단산">#REF!</definedName>
    <definedName name="포시멘트">#REF!</definedName>
    <definedName name="포장">#REF!</definedName>
    <definedName name="포장1" hidden="1">{#N/A,#N/A,FALSE,"포장2"}</definedName>
    <definedName name="포장T">#REF!</definedName>
    <definedName name="포장거푸집조서" localSheetId="0" hidden="1">{#N/A,#N/A,FALSE,"포장단가"}</definedName>
    <definedName name="포장거푸집조서" hidden="1">{#N/A,#N/A,FALSE,"포장단가"}</definedName>
    <definedName name="포장경비">#REF!</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A985">#REF!</definedName>
    <definedName name="포장공내역">#REF!</definedName>
    <definedName name="포장공내역서적용수량">#REF!</definedName>
    <definedName name="포장공수량집계표">#REF!</definedName>
    <definedName name="포장깨기__아스팔트____㎡당">#REF!</definedName>
    <definedName name="포장깨기__콘크리트____㎡당">#REF!</definedName>
    <definedName name="포장노무">#REF!</definedName>
    <definedName name="포장복구">#REF!</definedName>
    <definedName name="포장일위2">#REF!</definedName>
    <definedName name="포장재료">#REF!</definedName>
    <definedName name="포장절단__ASPHALT_포장____M당">#REF!</definedName>
    <definedName name="포장절단__콘크리트_포장____M당">#REF!</definedName>
    <definedName name="포천석노">#REF!</definedName>
    <definedName name="포천석재">#REF!</definedName>
    <definedName name="포항내역서">#REF!</definedName>
    <definedName name="포화">#REF!</definedName>
    <definedName name="폭">#REF!</definedName>
    <definedName name="표">#REF!</definedName>
    <definedName name="표고작업량증감계수">#REF!</definedName>
    <definedName name="표고지형증감계수">#REF!</definedName>
    <definedName name="표면보호경비">#REF!</definedName>
    <definedName name="표면보호노무비">#REF!</definedName>
    <definedName name="표면보호재료비">#REF!</definedName>
    <definedName name="표석">#REF!</definedName>
    <definedName name="표석경비">#REF!</definedName>
    <definedName name="표석노무">#REF!</definedName>
    <definedName name="표석재료">#REF!</definedName>
    <definedName name="표오고지형증감계수">#REF!</definedName>
    <definedName name="표준공수">#REF!</definedName>
    <definedName name="표준양식">#REF!</definedName>
    <definedName name="표지" localSheetId="0" hidden="1">{#N/A,#N/A,FALSE,"포장단가"}</definedName>
    <definedName name="표지" hidden="1">{#N/A,#N/A,FALSE,"포장단가"}</definedName>
    <definedName name="표지1">#REF!</definedName>
    <definedName name="표지2" localSheetId="11">BlankMacro1</definedName>
    <definedName name="표지2" localSheetId="13">BlankMacro1</definedName>
    <definedName name="표지2" localSheetId="15">BlankMacro1</definedName>
    <definedName name="표지2" localSheetId="28">BlankMacro1</definedName>
    <definedName name="표지2" localSheetId="24">BlankMacro1</definedName>
    <definedName name="표지2" localSheetId="26">BlankMacro1</definedName>
    <definedName name="표지2" localSheetId="27">BlankMacro1</definedName>
    <definedName name="표지2">BlankMacro1</definedName>
    <definedName name="표지3" hidden="1">{"'관경확장'!$A$79:$M$98","'관경확장'!$A$54:$M$78"}</definedName>
    <definedName name="표지다">#REF!</definedName>
    <definedName name="표지터파기" localSheetId="0">#REF!</definedName>
    <definedName name="표지터파기">#REF!</definedName>
    <definedName name="표지판" localSheetId="0">#REF!</definedName>
    <definedName name="표지판">#REF!</definedName>
    <definedName name="표층t">#REF!</definedName>
    <definedName name="표층다짐1">#REF!</definedName>
    <definedName name="표층다짐2">#REF!</definedName>
    <definedName name="표층다짐3">#REF!</definedName>
    <definedName name="표층운반">#REF!</definedName>
    <definedName name="표층포설">#REF!</definedName>
    <definedName name="표표표표">#REF!</definedName>
    <definedName name="푸" hidden="1">{#N/A,#N/A,FALSE,"토공2"}</definedName>
    <definedName name="품">#REF!</definedName>
    <definedName name="품_______">#N/A</definedName>
    <definedName name="품_________명">#REF!</definedName>
    <definedName name="품____명">#REF!</definedName>
    <definedName name="품명">#REF!</definedName>
    <definedName name="품목">#REF!</definedName>
    <definedName name="품목별수주출하현황" hidden="1">60</definedName>
    <definedName name="품목집계" hidden="1">20</definedName>
    <definedName name="품셈">#REF!</definedName>
    <definedName name="품셈2">#REF!</definedName>
    <definedName name="품셈공종">#REF!</definedName>
    <definedName name="품셈근거">#REF!</definedName>
    <definedName name="품셈단가">#REF!</definedName>
    <definedName name="품셈표" hidden="1">#REF!</definedName>
    <definedName name="품신">#REF!</definedName>
    <definedName name="품위내역서" localSheetId="28">BlankMacro1</definedName>
    <definedName name="품위내역서" localSheetId="24">BlankMacro1</definedName>
    <definedName name="품위내역서" localSheetId="26">BlankMacro1</definedName>
    <definedName name="품위내역서" localSheetId="27">BlankMacro1</definedName>
    <definedName name="품위내역서">BlankMacro1</definedName>
    <definedName name="품품품셈셈">#REF!</definedName>
    <definedName name="풍화암">#REF!</definedName>
    <definedName name="풍화토">#REF!</definedName>
    <definedName name="픃옿옿ㅎㅎㅎ허">#REF!</definedName>
    <definedName name="프라이드">#REF!</definedName>
    <definedName name="프라이머">#REF!</definedName>
    <definedName name="프라임코트">#REF!</definedName>
    <definedName name="프로그램_경비">#REF!</definedName>
    <definedName name="프로그램작성">#REF!</definedName>
    <definedName name="프로판가스">#REF!</definedName>
    <definedName name="픅구공">#REF!</definedName>
    <definedName name="플라타너스B8">#REF!</definedName>
    <definedName name="플랜지단관100">#REF!</definedName>
    <definedName name="플랜지단관150">#REF!</definedName>
    <definedName name="플랜지단관200">#REF!</definedName>
    <definedName name="플랜지단관300">#REF!</definedName>
    <definedName name="플랜지단관400">#REF!</definedName>
    <definedName name="플랜지단관500">#REF!</definedName>
    <definedName name="플랜지단관600">#REF!</definedName>
    <definedName name="플랜지단관700">#REF!</definedName>
    <definedName name="플랜지단관80">#REF!</definedName>
    <definedName name="플랜지단관800">#REF!</definedName>
    <definedName name="플랜지폭">#REF!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 localSheetId="2">#REF!</definedName>
    <definedName name="플랜트전공">#REF!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로터상각">#REF!</definedName>
    <definedName name="플로터정비">#REF!</definedName>
    <definedName name="플륨관1000">#REF!</definedName>
    <definedName name="플륨관300">#REF!</definedName>
    <definedName name="플륨관400">#REF!</definedName>
    <definedName name="플륨관500">#REF!</definedName>
    <definedName name="플륨관600">#REF!</definedName>
    <definedName name="플륨관700">#REF!</definedName>
    <definedName name="플륨관800">#REF!</definedName>
    <definedName name="플륨관900">#REF!</definedName>
    <definedName name="피간접">#REF!</definedName>
    <definedName name="피경비">#REF!</definedName>
    <definedName name="피관리">#REF!</definedName>
    <definedName name="피니셔경">#REF!</definedName>
    <definedName name="피니셔노">#REF!</definedName>
    <definedName name="피니셔재">#REF!</definedName>
    <definedName name="피라칸사스H1.5">#REF!</definedName>
    <definedName name="피보험">#REF!</definedName>
    <definedName name="피복두께">#REF!</definedName>
    <definedName name="피부가">#REF!</definedName>
    <definedName name="피스표">#REF!</definedName>
    <definedName name="피안전">#REF!</definedName>
    <definedName name="피이소켓16">#REF!</definedName>
    <definedName name="피이소켓20">#REF!</definedName>
    <definedName name="피이소켓25">#REF!</definedName>
    <definedName name="피이소켓40">#REF!</definedName>
    <definedName name="피이소켓50">#REF!</definedName>
    <definedName name="피이소켓75">#REF!</definedName>
    <definedName name="피이윤">#REF!</definedName>
    <definedName name="피이직관100">#REF!</definedName>
    <definedName name="피이직관150">#REF!</definedName>
    <definedName name="피이직관16">#REF!</definedName>
    <definedName name="피이직관20">#REF!</definedName>
    <definedName name="피이직관200">#REF!</definedName>
    <definedName name="피이직관25">#REF!</definedName>
    <definedName name="피이직관30">#REF!</definedName>
    <definedName name="피이직관40">#REF!</definedName>
    <definedName name="피이직관50">#REF!</definedName>
    <definedName name="피이직관75">#REF!</definedName>
    <definedName name="필지수">#REF!</definedName>
    <definedName name="ㅎ">#REF!</definedName>
    <definedName name="ㅎ314">#REF!</definedName>
    <definedName name="ㅎ384">#REF!</definedName>
    <definedName name="ㅎ5" localSheetId="0" hidden="1">{#N/A,#N/A,FALSE,"골재소요량";#N/A,#N/A,FALSE,"골재소요량"}</definedName>
    <definedName name="ㅎ5" hidden="1">{#N/A,#N/A,FALSE,"골재소요량";#N/A,#N/A,FALSE,"골재소요량"}</definedName>
    <definedName name="ㅎ5_1" localSheetId="0" hidden="1">{#N/A,#N/A,FALSE,"골재소요량";#N/A,#N/A,FALSE,"골재소요량"}</definedName>
    <definedName name="ㅎ5_1" hidden="1">{#N/A,#N/A,FALSE,"골재소요량";#N/A,#N/A,FALSE,"골재소요량"}</definedName>
    <definedName name="ㅎㄱㄷ">#REF!</definedName>
    <definedName name="ㅎㄴ" hidden="1">{#N/A,#N/A,FALSE,"단가표지"}</definedName>
    <definedName name="ㅎㄴㅁㄹㅇㄹㄴ" hidden="1">{#N/A,"수불부",FALSE,"사급자재수불서";#N/A,"수불부",FALSE,"사급자재수불서"}</definedName>
    <definedName name="ㅎㄴㅇㅀ" localSheetId="28">BlankMacro1</definedName>
    <definedName name="ㅎㄴㅇㅀ" localSheetId="24">BlankMacro1</definedName>
    <definedName name="ㅎㄴㅇㅀ" localSheetId="26">BlankMacro1</definedName>
    <definedName name="ㅎㄴㅇㅀ" localSheetId="27">BlankMacro1</definedName>
    <definedName name="ㅎㄴㅇㅀ">BlankMacro1</definedName>
    <definedName name="ㅎㄴㅇㅀㅈ" localSheetId="28">BlankMacro1</definedName>
    <definedName name="ㅎㄴㅇㅀㅈ" localSheetId="24">BlankMacro1</definedName>
    <definedName name="ㅎㄴㅇㅀㅈ" localSheetId="26">BlankMacro1</definedName>
    <definedName name="ㅎㄴㅇㅀㅈ" localSheetId="27">BlankMacro1</definedName>
    <definedName name="ㅎㄴㅇㅀㅈ">BlankMacro1</definedName>
    <definedName name="ㅎㄷ">#REF!</definedName>
    <definedName name="ㅎㄷㄱ" localSheetId="28">BlankMacro1</definedName>
    <definedName name="ㅎㄷㄱ" localSheetId="24">BlankMacro1</definedName>
    <definedName name="ㅎㄷㄱ" localSheetId="26">BlankMacro1</definedName>
    <definedName name="ㅎㄷㄱ" localSheetId="27">BlankMacro1</definedName>
    <definedName name="ㅎㄷㄱ">BlankMacro1</definedName>
    <definedName name="ㅎㄷㄴㄱㅎ" localSheetId="28">BlankMacro1</definedName>
    <definedName name="ㅎㄷㄴㄱㅎ" localSheetId="24">BlankMacro1</definedName>
    <definedName name="ㅎㄷㄴㄱㅎ" localSheetId="26">BlankMacro1</definedName>
    <definedName name="ㅎㄷㄴㄱㅎ" localSheetId="27">BlankMacro1</definedName>
    <definedName name="ㅎㄷㄴㄱㅎ">BlankMacro1</definedName>
    <definedName name="ㅎㄹ" hidden="1">#REF!</definedName>
    <definedName name="ㅎㄹㄴㅇ" hidden="1">{#N/A,#N/A,FALSE,"단가표지"}</definedName>
    <definedName name="ㅎㄹㅇㄴ" hidden="1">{#N/A,#N/A,FALSE,"골재소요량";#N/A,#N/A,FALSE,"골재소요량"}</definedName>
    <definedName name="ㅎㄹㅇㄶㄷㄱ" localSheetId="28">BlankMacro1</definedName>
    <definedName name="ㅎㄹㅇㄶㄷㄱ" localSheetId="24">BlankMacro1</definedName>
    <definedName name="ㅎㄹㅇㄶㄷㄱ" localSheetId="26">BlankMacro1</definedName>
    <definedName name="ㅎㄹㅇㄶㄷㄱ" localSheetId="27">BlankMacro1</definedName>
    <definedName name="ㅎㄹㅇㄶㄷㄱ">BlankMacro1</definedName>
    <definedName name="ㅎㄹㅇㄶㄹㅇ" localSheetId="28">BlankMacro1</definedName>
    <definedName name="ㅎㄹㅇㄶㄹㅇ" localSheetId="24">BlankMacro1</definedName>
    <definedName name="ㅎㄹㅇㄶㄹㅇ" localSheetId="26">BlankMacro1</definedName>
    <definedName name="ㅎㄹㅇㄶㄹㅇ" localSheetId="27">BlankMacro1</definedName>
    <definedName name="ㅎㄹㅇㄶㄹㅇ">BlankMacro1</definedName>
    <definedName name="ㅎㄹㅇㄶㄹㅇㄴㅁㅈ" localSheetId="28">BlankMacro1</definedName>
    <definedName name="ㅎㄹㅇㄶㄹㅇㄴㅁㅈ" localSheetId="24">BlankMacro1</definedName>
    <definedName name="ㅎㄹㅇㄶㄹㅇㄴㅁㅈ" localSheetId="26">BlankMacro1</definedName>
    <definedName name="ㅎㄹㅇㄶㄹㅇㄴㅁㅈ" localSheetId="27">BlankMacro1</definedName>
    <definedName name="ㅎㄹㅇㄶㄹㅇㄴㅁㅈ">BlankMacro1</definedName>
    <definedName name="ㅎㄹㅇㄶㅇㅀ">#REF!</definedName>
    <definedName name="ㅎㄹㅇㅁㅁㅎ" hidden="1">{#N/A,#N/A,FALSE,"조골재"}</definedName>
    <definedName name="ㅎㄹㅇㅁㅎㅁ" hidden="1">{#N/A,#N/A,FALSE,"표지목차"}</definedName>
    <definedName name="ㅎㄹㅇㅎ" hidden="1">{#N/A,#N/A,FALSE,"단가표지"}</definedName>
    <definedName name="ㅎㄹㅇㅎㅇㅁㅎ" hidden="1">{#N/A,#N/A,FALSE,"운반시간"}</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ㄴ허ㅓ">#REF!</definedName>
    <definedName name="ㅎ로ㅓ허" localSheetId="28">BlankMacro1</definedName>
    <definedName name="ㅎ로ㅓ허" localSheetId="24">BlankMacro1</definedName>
    <definedName name="ㅎ로ㅓ허" localSheetId="26">BlankMacro1</definedName>
    <definedName name="ㅎ로ㅓ허" localSheetId="27">BlankMacro1</definedName>
    <definedName name="ㅎ로ㅓ허">BlankMacro1</definedName>
    <definedName name="ㅎ륜ㅇㄹ" hidden="1">{#N/A,#N/A,FALSE,"2~8번"}</definedName>
    <definedName name="ㅎ르ㅓㅗㅓ" hidden="1">{#N/A,#N/A,FALSE,"골재소요량";#N/A,#N/A,FALSE,"골재소요량"}</definedName>
    <definedName name="ㅎㄺ">#REF!</definedName>
    <definedName name="ㅎㄻㄹㅇㅎㅇㅁ" hidden="1">{#N/A,#N/A,FALSE,"혼합골재"}</definedName>
    <definedName name="ㅎㄻㅇㅎㅁㅇㅎㅁㅇㅎ" hidden="1">{#N/A,#N/A,FALSE,"골재소요량";#N/A,#N/A,FALSE,"골재소요량"}</definedName>
    <definedName name="ㅎㄻㅇㅎㅇㅁㅎㅎㅎㅎㅎ">#REF!</definedName>
    <definedName name="ㅎㅀㄹ" localSheetId="0" hidden="1">{#N/A,#N/A,FALSE,"운반시간"}</definedName>
    <definedName name="ㅎㅀㄹ" hidden="1">{#N/A,#N/A,FALSE,"운반시간"}</definedName>
    <definedName name="ㅎㅁㅇㅀㅁㅇ" hidden="1">{#N/A,#N/A,FALSE,"단가표지"}</definedName>
    <definedName name="ㅎㅁㅇㅀㅁㅇㅎㅁ" hidden="1">{#N/A,#N/A,FALSE,"단가표지"}</definedName>
    <definedName name="ㅎㅁㅎㄻㄴㅇ" hidden="1">{#N/A,#N/A,FALSE,"단가표지"}</definedName>
    <definedName name="ㅎㅂㄷㄱ">#REF!</definedName>
    <definedName name="ㅎㅇ" hidden="1">{"'용역비'!$A$4:$C$8"}</definedName>
    <definedName name="ㅎㅇㄴ" hidden="1">{#N/A,#N/A,FALSE,"단가표지"}</definedName>
    <definedName name="ㅎㅇㄴㅀ" localSheetId="28">BlankMacro1</definedName>
    <definedName name="ㅎㅇㄴㅀ" localSheetId="24">BlankMacro1</definedName>
    <definedName name="ㅎㅇㄴㅀ" localSheetId="26">BlankMacro1</definedName>
    <definedName name="ㅎㅇㄴㅀ" localSheetId="27">BlankMacro1</definedName>
    <definedName name="ㅎㅇㄴㅀ">BlankMacro1</definedName>
    <definedName name="ㅎㅇㄶㄷㄱ" hidden="1">#REF!</definedName>
    <definedName name="ㅎㅇㄹ홍ㄴ로" hidden="1">{#N/A,#N/A,FALSE,"단가표지"}</definedName>
    <definedName name="ㅎㅇㄻㅎㅁㅇ" hidden="1">{#N/A,#N/A,FALSE,"혼합골재"}</definedName>
    <definedName name="ㅎㅇㄻㅎㅁㅎㅁㅇ" hidden="1">{#N/A,#N/A,FALSE,"운반시간"}</definedName>
    <definedName name="ㅎㅇㅀ" hidden="1">{#N/A,#N/A,FALSE,"단가표지"}</definedName>
    <definedName name="ㅎㅇㅀㄴ" hidden="1">{#N/A,#N/A,FALSE,"골재소요량";#N/A,#N/A,FALSE,"골재소요량"}</definedName>
    <definedName name="ㅎㅇㅀㅁㅇㅎㅁㅇ" hidden="1">{#N/A,#N/A,FALSE,"단가표지"}</definedName>
    <definedName name="ㅎㅇㅀㅇㅀ" hidden="1">{#N/A,#N/A,FALSE,"표지목차"}</definedName>
    <definedName name="ㅎㅇㅀㅇㅀㅇ" hidden="1">{#N/A,#N/A,FALSE,"표지목차"}</definedName>
    <definedName name="ㅎㅇㅁㄴㄹ" hidden="1">{#N/A,#N/A,FALSE,"운반시간"}</definedName>
    <definedName name="ㅎㅇㅁㅀㅁㅇ" hidden="1">{#N/A,#N/A,FALSE,"단가표지"}</definedName>
    <definedName name="ㅎ오" hidden="1">{"'용역비'!$A$4:$C$8"}</definedName>
    <definedName name="ㅎ이동">#REF!</definedName>
    <definedName name="ㅎㅈㄷㄱ" localSheetId="28">BlankMacro1</definedName>
    <definedName name="ㅎㅈㄷㄱ" localSheetId="24">BlankMacro1</definedName>
    <definedName name="ㅎㅈㄷㄱ" localSheetId="26">BlankMacro1</definedName>
    <definedName name="ㅎㅈㄷㄱ" localSheetId="27">BlankMacro1</definedName>
    <definedName name="ㅎㅈㄷㄱ">BlankMacro1</definedName>
    <definedName name="ㅎㅍ">#REF!</definedName>
    <definedName name="ㅎㅎ">#N/A</definedName>
    <definedName name="ㅎㅎㄷㅁㅂ">#REF!</definedName>
    <definedName name="ㅎㅎㅇㅎㅇ">#REF!</definedName>
    <definedName name="ㅎㅎㅎ" localSheetId="0" hidden="1">{#N/A,#N/A,FALSE,"P.C.B"}</definedName>
    <definedName name="ㅎㅎㅎ" hidden="1">{#N/A,#N/A,FALSE,"P.C.B"}</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0" hidden="1">{#N/A,#N/A,TRUE,"토적및재료집계";#N/A,#N/A,TRUE,"토적및재료집계";#N/A,#N/A,TRUE,"단위량"}</definedName>
    <definedName name="ㅎㅎㅎㅎ" hidden="1">{#N/A,#N/A,TRUE,"토적및재료집계";#N/A,#N/A,TRUE,"토적및재료집계";#N/A,#N/A,TRUE,"단위량"}</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 localSheetId="0" hidden="1">{"'정산내역서'!$A$1:$I$35","'정산서(절.성토부)'!$A$1:$Q$17","'정산서(교량부)'!$A$1:$Q$84","'총괄표'!$A$1:$M$12","'시행현황'!$A$1:$G$12","'표지'!$A$1:$N$27","'정산서(절.성토부)'!$A$3:$Q$7"}</definedName>
    <definedName name="하" hidden="1">{"'정산내역서'!$A$1:$I$35","'정산서(절.성토부)'!$A$1:$Q$17","'정산서(교량부)'!$A$1:$Q$84","'총괄표'!$A$1:$M$12","'시행현황'!$A$1:$G$12","'표지'!$A$1:$N$27","'정산서(절.성토부)'!$A$3:$Q$7"}</definedName>
    <definedName name="하나">#REF!</definedName>
    <definedName name="하도경비">#REF!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사항">#REF!</definedName>
    <definedName name="하도급통보내역" hidden="1">{#N/A,#N/A,FALSE,"신청통보";#N/A,#N/A,FALSE,"기성확인서";#N/A,#N/A,FALSE,"기성내역서"}</definedName>
    <definedName name="하도내역">#REF!</definedName>
    <definedName name="하도노무">#REF!</definedName>
    <definedName name="하도대상" hidden="1">{#N/A,#N/A,FALSE,"골재소요량";#N/A,#N/A,FALSE,"골재소요량"}</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항">#REF!</definedName>
    <definedName name="하도재료">#REF!</definedName>
    <definedName name="하동대비표" hidden="1">{#N/A,#N/A,FALSE,"증감대비표";#N/A,#N/A,FALSE,"결의서";#N/A,#N/A,FALSE,"내역서";#N/A,#N/A,FALSE,"도급예상"}</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드웨어">#REF!</definedName>
    <definedName name="하변">#REF!</definedName>
    <definedName name="하부">#REF!</definedName>
    <definedName name="하부슬라브">#REF!</definedName>
    <definedName name="하부플랜지두께">#REF!</definedName>
    <definedName name="하상경비">#REF!</definedName>
    <definedName name="하상노무">#REF!</definedName>
    <definedName name="하상재료">#REF!</definedName>
    <definedName name="하수" localSheetId="11">BlankMacro1</definedName>
    <definedName name="하수" localSheetId="13">BlankMacro1</definedName>
    <definedName name="하수" localSheetId="15">BlankMacro1</definedName>
    <definedName name="하수" localSheetId="28">BlankMacro1</definedName>
    <definedName name="하수" localSheetId="24">BlankMacro1</definedName>
    <definedName name="하수" localSheetId="26">BlankMacro1</definedName>
    <definedName name="하수" localSheetId="27">BlankMacro1</definedName>
    <definedName name="하수">BlankMacro1</definedName>
    <definedName name="하수SW">#REF!</definedName>
    <definedName name="하수구조일수">#REF!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소프트">#REF!</definedName>
    <definedName name="하수암거" hidden="1">{#N/A,#N/A,FALSE,"포장단가"}</definedName>
    <definedName name="하수연장">#REF!</definedName>
    <definedName name="하수적용율">#REF!</definedName>
    <definedName name="하수조사율">#REF!</definedName>
    <definedName name="하수지형계수">#REF!</definedName>
    <definedName name="하양읍">#REF!</definedName>
    <definedName name="하중">#REF!</definedName>
    <definedName name="하진이보" localSheetId="28">BlankMacro1</definedName>
    <definedName name="하진이보" localSheetId="24">BlankMacro1</definedName>
    <definedName name="하진이보" localSheetId="26">BlankMacro1</definedName>
    <definedName name="하진이보" localSheetId="27">BlankMacro1</definedName>
    <definedName name="하진이보">BlankMacro1</definedName>
    <definedName name="하차비">#REF!</definedName>
    <definedName name="하천">#REF!</definedName>
    <definedName name="하천경비">#REF!</definedName>
    <definedName name="하천노무">#REF!</definedName>
    <definedName name="하천시스템개발" localSheetId="11">BlankMacro1</definedName>
    <definedName name="하천시스템개발" localSheetId="13">BlankMacro1</definedName>
    <definedName name="하천시스템개발" localSheetId="15">BlankMacro1</definedName>
    <definedName name="하천시스템개발" localSheetId="28">BlankMacro1</definedName>
    <definedName name="하천시스템개발" localSheetId="24">BlankMacro1</definedName>
    <definedName name="하천시스템개발" localSheetId="26">BlankMacro1</definedName>
    <definedName name="하천시스템개발" localSheetId="27">BlankMacro1</definedName>
    <definedName name="하천시스템개발">BlankMacro1</definedName>
    <definedName name="하천재료">#REF!</definedName>
    <definedName name="하천환경비">#REF!</definedName>
    <definedName name="하천환노무">#REF!</definedName>
    <definedName name="하천환재료">#REF!</definedName>
    <definedName name="하하">#REF!</definedName>
    <definedName name="하하하" hidden="1">{#N/A,#N/A,FALSE,"명세표"}</definedName>
    <definedName name="학교">#REF!</definedName>
    <definedName name="학교2">#REF!</definedName>
    <definedName name="한" hidden="1">{#N/A,#N/A,FALSE,"운반시간"}</definedName>
    <definedName name="한교1호">#REF!</definedName>
    <definedName name="한교2호">#REF!</definedName>
    <definedName name="한교3호">#REF!</definedName>
    <definedName name="한글노무비">#REF!</definedName>
    <definedName name="한식목공">#REF!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울" localSheetId="19" hidden="1">#REF!</definedName>
    <definedName name="한울" localSheetId="21" hidden="1">#REF!</definedName>
    <definedName name="한울" localSheetId="23" hidden="1">#REF!</definedName>
    <definedName name="한울" localSheetId="3" hidden="1">#REF!</definedName>
    <definedName name="한울" localSheetId="5" hidden="1">#REF!</definedName>
    <definedName name="한울" localSheetId="7" hidden="1">#REF!</definedName>
    <definedName name="한울" localSheetId="9" hidden="1">#REF!</definedName>
    <definedName name="한울" localSheetId="11" hidden="1">#REF!</definedName>
    <definedName name="한울" localSheetId="13" hidden="1">#REF!</definedName>
    <definedName name="한울" localSheetId="15" hidden="1">#REF!</definedName>
    <definedName name="한울" localSheetId="17" hidden="1">#REF!</definedName>
    <definedName name="한울" hidden="1">#REF!</definedName>
    <definedName name="한울11" localSheetId="19" hidden="1">#REF!</definedName>
    <definedName name="한울11" localSheetId="21" hidden="1">#REF!</definedName>
    <definedName name="한울11" localSheetId="23" hidden="1">#REF!</definedName>
    <definedName name="한울11" localSheetId="3" hidden="1">#REF!</definedName>
    <definedName name="한울11" localSheetId="5" hidden="1">#REF!</definedName>
    <definedName name="한울11" localSheetId="7" hidden="1">#REF!</definedName>
    <definedName name="한울11" localSheetId="9" hidden="1">#REF!</definedName>
    <definedName name="한울11" localSheetId="11" hidden="1">#REF!</definedName>
    <definedName name="한울11" localSheetId="13" hidden="1">#REF!</definedName>
    <definedName name="한울11" localSheetId="15" hidden="1">#REF!</definedName>
    <definedName name="한울11" localSheetId="17" hidden="1">#REF!</definedName>
    <definedName name="한울11" hidden="1">#REF!</definedName>
    <definedName name="한일건설" localSheetId="0" hidden="1">{#N/A,#N/A,FALSE,"현장 NCR 분석";#N/A,#N/A,FALSE,"현장품질감사";#N/A,#N/A,FALSE,"현장품질감사"}</definedName>
    <definedName name="한일건설" hidden="1">{#N/A,#N/A,FALSE,"현장 NCR 분석";#N/A,#N/A,FALSE,"현장품질감사";#N/A,#N/A,FALSE,"현장품질감사"}</definedName>
    <definedName name="한전수" hidden="1">{#N/A,#N/A,FALSE,"명세표"}</definedName>
    <definedName name="한전수탁비">#REF!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증">#REF!</definedName>
    <definedName name="할증소요일">#REF!</definedName>
    <definedName name="할증율">#REF!</definedName>
    <definedName name="함">#REF!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판3">#REF!</definedName>
    <definedName name="합_______계">#REF!</definedName>
    <definedName name="합_____계">#REF!</definedName>
    <definedName name="합계">#REF!</definedName>
    <definedName name="합계1">#REF!</definedName>
    <definedName name="합계2">#REF!</definedName>
    <definedName name="합계3">#REF!</definedName>
    <definedName name="합계전류">#REF!</definedName>
    <definedName name="합계전류1">#REF!</definedName>
    <definedName name="합계전류2">#REF!</definedName>
    <definedName name="합계전류종">#REF!</definedName>
    <definedName name="합성강성3Span">#REF!</definedName>
    <definedName name="합성단면적3Span">#REF!</definedName>
    <definedName name="합의갑지">#REF!</definedName>
    <definedName name="합판">#REF!</definedName>
    <definedName name="합판12">#REF!</definedName>
    <definedName name="합판15">#REF!</definedName>
    <definedName name="합판3">#REF!</definedName>
    <definedName name="합판3노">#REF!</definedName>
    <definedName name="합판3재">#REF!</definedName>
    <definedName name="합판4">#REF!</definedName>
    <definedName name="합판4.8">#REF!</definedName>
    <definedName name="합판4회">#REF!</definedName>
    <definedName name="합판6">#REF!</definedName>
    <definedName name="합판6회">#REF!</definedName>
    <definedName name="합판거푸집">#REF!</definedName>
    <definedName name="합판노">#REF!</definedName>
    <definedName name="합판재">#REF!</definedName>
    <definedName name="항__목">#REF!</definedName>
    <definedName name="항공">#REF!</definedName>
    <definedName name="항공경비">#REF!</definedName>
    <definedName name="항공노무">#REF!</definedName>
    <definedName name="항공사">#REF!</definedName>
    <definedName name="항공사진">#REF!</definedName>
    <definedName name="항공사진_중급">#REF!</definedName>
    <definedName name="항공사진고급">#REF!</definedName>
    <definedName name="항공사진중급">#REF!</definedName>
    <definedName name="항공사진초급">#REF!</definedName>
    <definedName name="항공재료">#REF!</definedName>
    <definedName name="항공정비사">#REF!</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#REF!</definedName>
    <definedName name="항목20">#REF!</definedName>
    <definedName name="항목3">#REF!</definedName>
    <definedName name="항목4">#REF!</definedName>
    <definedName name="항목5">#REF!</definedName>
    <definedName name="항목55">#REF!</definedName>
    <definedName name="항목6">#REF!</definedName>
    <definedName name="항목7">#REF!</definedName>
    <definedName name="항목77">#REF!</definedName>
    <definedName name="항목8">#REF!</definedName>
    <definedName name="항목9">#REF!</definedName>
    <definedName name="항목조경">#REF!</definedName>
    <definedName name="항법">#REF!</definedName>
    <definedName name="항법사">#REF!</definedName>
    <definedName name="항측_연장">#REF!</definedName>
    <definedName name="항타길이_경사">#REF!</definedName>
    <definedName name="항타길이_수직">#REF!</definedName>
    <definedName name="해석" localSheetId="11">BlankMacro1</definedName>
    <definedName name="해석" localSheetId="13">BlankMacro1</definedName>
    <definedName name="해석" localSheetId="15">BlankMacro1</definedName>
    <definedName name="해석" localSheetId="28">BlankMacro1</definedName>
    <definedName name="해석" localSheetId="24">BlankMacro1</definedName>
    <definedName name="해석" localSheetId="26">BlankMacro1</definedName>
    <definedName name="해석" localSheetId="27">BlankMacro1</definedName>
    <definedName name="해석">BlankMacro1</definedName>
    <definedName name="해송">#REF!</definedName>
    <definedName name="해송1.2">#REF!</definedName>
    <definedName name="해송H3.0xW1.2xR10">#REF!</definedName>
    <definedName name="해송H3.5xW1.5xR12">#REF!</definedName>
    <definedName name="행삭제">#REF!</definedName>
    <definedName name="허">#REF!</definedName>
    <definedName name="허균">#REF!</definedName>
    <definedName name="허ㅏ" hidden="1">{#N/A,#N/A,FALSE,"단가표지"}</definedName>
    <definedName name="허ㅏㅇ아와ㅏㅇ">#REF!</definedName>
    <definedName name="허ㅗ러" localSheetId="28">BlankMacro1</definedName>
    <definedName name="허ㅗ러" localSheetId="24">BlankMacro1</definedName>
    <definedName name="허ㅗ러" localSheetId="26">BlankMacro1</definedName>
    <definedName name="허ㅗ러" localSheetId="27">BlankMacro1</definedName>
    <definedName name="허ㅗ러">BlankMacro1</definedName>
    <definedName name="허ㅗㅓㅏㅛ">#REF!</definedName>
    <definedName name="헌" localSheetId="28">BlankMacro1</definedName>
    <definedName name="헌" localSheetId="24">BlankMacro1</definedName>
    <definedName name="헌" localSheetId="26">BlankMacro1</definedName>
    <definedName name="헌" localSheetId="27">BlankMacro1</definedName>
    <definedName name="헌">BlankMacro1</definedName>
    <definedName name="헌치1">#REF!</definedName>
    <definedName name="헌치2">#REF!</definedName>
    <definedName name="헌치H">#REF!</definedName>
    <definedName name="헌치V">#REF!</definedName>
    <definedName name="헐기경">#REF!</definedName>
    <definedName name="헐기노">#REF!</definedName>
    <definedName name="헐기재">#REF!</definedName>
    <definedName name="헐기총">#REF!</definedName>
    <definedName name="헤베">#REF!</definedName>
    <definedName name="현경">#REF!</definedName>
    <definedName name="현대건설" localSheetId="0" hidden="1">{#N/A,#N/A,FALSE,"현장 NCR 분석";#N/A,#N/A,FALSE,"현장품질감사";#N/A,#N/A,FALSE,"현장품질감사"}</definedName>
    <definedName name="현대건설" hidden="1">{#N/A,#N/A,FALSE,"현장 NCR 분석";#N/A,#N/A,FALSE,"현장품질감사";#N/A,#N/A,FALSE,"현장품질감사"}</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장">#REF!</definedName>
    <definedName name="현장명">#REF!</definedName>
    <definedName name="현장설명" hidden="1">{#N/A,#N/A,FALSE,"증감대비표";#N/A,#N/A,FALSE,"결의서";#N/A,#N/A,FALSE,"내역서";#N/A,#N/A,FALSE,"도급예상"}</definedName>
    <definedName name="현장정리">#REF!</definedName>
    <definedName name="현장지원">#REF!</definedName>
    <definedName name="현지교통비">#REF!</definedName>
    <definedName name="현지답사">#REF!</definedName>
    <definedName name="현지사무원급료">#REF!</definedName>
    <definedName name="현천기자재비">#REF!</definedName>
    <definedName name="현황" localSheetId="11">#REF!,#REF!</definedName>
    <definedName name="현황" localSheetId="13">#REF!,#REF!</definedName>
    <definedName name="현황" localSheetId="15">#REF!,#REF!</definedName>
    <definedName name="현황">#REF!,#REF!</definedName>
    <definedName name="현흥" localSheetId="28">BlankMacro1</definedName>
    <definedName name="현흥" localSheetId="24">BlankMacro1</definedName>
    <definedName name="현흥" localSheetId="26">BlankMacro1</definedName>
    <definedName name="현흥" localSheetId="27">BlankMacro1</definedName>
    <definedName name="현흥">BlankMacro1</definedName>
    <definedName name="현흥초" localSheetId="28">BlankMacro1</definedName>
    <definedName name="현흥초" localSheetId="24">BlankMacro1</definedName>
    <definedName name="현흥초" localSheetId="26">BlankMacro1</definedName>
    <definedName name="현흥초" localSheetId="27">BlankMacro1</definedName>
    <definedName name="현흥초">BlankMacro1</definedName>
    <definedName name="현흥초등" localSheetId="28">BlankMacro1</definedName>
    <definedName name="현흥초등" localSheetId="24">BlankMacro1</definedName>
    <definedName name="현흥초등" localSheetId="26">BlankMacro1</definedName>
    <definedName name="현흥초등" localSheetId="27">BlankMacro1</definedName>
    <definedName name="현흥초등">BlankMacro1</definedName>
    <definedName name="형광등32W_1">#REF!</definedName>
    <definedName name="형광등32W_2">#REF!</definedName>
    <definedName name="형광등40W_1">#REF!</definedName>
    <definedName name="형광등40W_2">#REF!</definedName>
    <definedName name="형목공">#REF!</definedName>
    <definedName name="형상">#REF!</definedName>
    <definedName name="형태계수">#REF!</definedName>
    <definedName name="형태별보정계수">#REF!</definedName>
    <definedName name="형틀">#REF!</definedName>
    <definedName name="형틀목공" localSheetId="2">#REF!</definedName>
    <definedName name="형틀목공">#REF!</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호">#REF!</definedName>
    <definedName name="호박노">#REF!</definedName>
    <definedName name="호박돌">#REF!</definedName>
    <definedName name="호박재">#REF!</definedName>
    <definedName name="호서" hidden="1">#REF!</definedName>
    <definedName name="호안공" hidden="1">{#N/A,#N/A,FALSE,"신청통보";#N/A,#N/A,FALSE,"기성확인서";#N/A,#N/A,FALSE,"기성내역서"}</definedName>
    <definedName name="호안공석축집계">#REF!</definedName>
    <definedName name="호옹ㅇㄷㅅㄷㅎ">#REF!</definedName>
    <definedName name="호우" hidden="1">{#N/A,#N/A,FALSE,"표지목차"}</definedName>
    <definedName name="호우ㅗ" hidden="1">{#N/A,#N/A,FALSE,"단가표지"}</definedName>
    <definedName name="호처리시험">#REF!</definedName>
    <definedName name="호호호" hidden="1">{#N/A,#N/A,FALSE,"명세표"}</definedName>
    <definedName name="호호호호">#REF!</definedName>
    <definedName name="호홋ㄷ">#REF!</definedName>
    <definedName name="호ㅓ" hidden="1">{"'용역비'!$A$4:$C$8"}</definedName>
    <definedName name="호ㅓㅎ" hidden="1">{#N/A,#N/A,FALSE,"표지목차"}</definedName>
    <definedName name="호ㅕㄷㅈ">#REF!</definedName>
    <definedName name="혼ㄹ" hidden="1">{#N/A,#N/A,FALSE,"운반시간"}</definedName>
    <definedName name="혼합골재">#REF!</definedName>
    <definedName name="홀ㄴㄺㅅ" hidden="1">{#N/A,#N/A,FALSE,"단가표지"}</definedName>
    <definedName name="홈ㅂㄷㄱ">#REF!</definedName>
    <definedName name="홈통받이수량">#REF!</definedName>
    <definedName name="홍">#REF!</definedName>
    <definedName name="홍단">#REF!</definedName>
    <definedName name="홍단풍H3.5xR12">#REF!</definedName>
    <definedName name="홍ㄹㄴㄷㄱ" hidden="1">#REF!</definedName>
    <definedName name="홍수경비">#REF!</definedName>
    <definedName name="홍수노무">#REF!</definedName>
    <definedName name="홍수위경비">#REF!</definedName>
    <definedName name="홍수위노무">#REF!</definedName>
    <definedName name="홍수위재료">#REF!</definedName>
    <definedName name="홍수재료">#REF!</definedName>
    <definedName name="홍수피경비">#REF!</definedName>
    <definedName name="홍수피노무">#REF!</definedName>
    <definedName name="홍수피재료">#REF!</definedName>
    <definedName name="홍ㅇ호" hidden="1">{"'용역비'!$A$4:$C$8"}</definedName>
    <definedName name="홓" localSheetId="0" hidden="1">{#N/A,#N/A,FALSE,"조골재"}</definedName>
    <definedName name="홓" hidden="1">{#N/A,#N/A,FALSE,"조골재"}</definedName>
    <definedName name="홓렁호ㅓ호" hidden="1">{#N/A,#N/A,FALSE,"단가표지"}</definedName>
    <definedName name="홓로" hidden="1">{#N/A,#N/A,FALSE,"단가표지"}</definedName>
    <definedName name="화" localSheetId="0" hidden="1">{"'Sheet1'!$A$1:$E$59"}</definedName>
    <definedName name="화" hidden="1">{"'Sheet1'!$A$1:$E$59"}</definedName>
    <definedName name="화강석경계석">#REF!</definedName>
    <definedName name="화강석경계석곡선120_150">#REF!</definedName>
    <definedName name="화강석경계석곡선150_150">#REF!</definedName>
    <definedName name="화강석경계석곡선180_200">#REF!</definedName>
    <definedName name="화강석경계석곡선200_250">#REF!</definedName>
    <definedName name="화강석경계석곡선200_300">#REF!</definedName>
    <definedName name="화강석경계석직선120_150">#REF!</definedName>
    <definedName name="화강석경계석직선150_150">#REF!</definedName>
    <definedName name="화강석경계석직선180_200">#REF!</definedName>
    <definedName name="화강석경계석직선200_250">#REF!</definedName>
    <definedName name="화강석경계석직선200_300">#REF!</definedName>
    <definedName name="화공">#REF!</definedName>
    <definedName name="화공001">#REF!</definedName>
    <definedName name="화공002">#REF!</definedName>
    <definedName name="화공011">#REF!</definedName>
    <definedName name="화공982">#REF!</definedName>
    <definedName name="화공991">#REF!</definedName>
    <definedName name="화공992">#REF!</definedName>
    <definedName name="화물6">#REF!</definedName>
    <definedName name="화살">#REF!</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장" localSheetId="28">BlankMacro1</definedName>
    <definedName name="화장" localSheetId="24">BlankMacro1</definedName>
    <definedName name="화장" localSheetId="26">BlankMacro1</definedName>
    <definedName name="화장" localSheetId="27">BlankMacro1</definedName>
    <definedName name="화장">BlankMacro1</definedName>
    <definedName name="화허호ㅓ" hidden="1">{#N/A,#N/A,FALSE,"조골재"}</definedName>
    <definedName name="확폭구간">#REF!</definedName>
    <definedName name="환">#REF!</definedName>
    <definedName name="환경개요">#REF!</definedName>
    <definedName name="환경경비">#REF!</definedName>
    <definedName name="환경규모">#REF!</definedName>
    <definedName name="환경노무">#REF!</definedName>
    <definedName name="환경보전비">0.2%</definedName>
    <definedName name="환경영향요소">#REF!</definedName>
    <definedName name="환경재료">#REF!</definedName>
    <definedName name="환률">#REF!</definedName>
    <definedName name="환율">#REF!</definedName>
    <definedName name="환토고">#REF!</definedName>
    <definedName name="환토상변">#REF!</definedName>
    <definedName name="활석공">#REF!</definedName>
    <definedName name="활석공011">#REF!</definedName>
    <definedName name="활하중">#REF!</definedName>
    <definedName name="활하중1">#REF!</definedName>
    <definedName name="활하중2">#REF!</definedName>
    <definedName name="황">#N/A</definedName>
    <definedName name="황매화">#REF!</definedName>
    <definedName name="회귀경비">#REF!</definedName>
    <definedName name="회귀노무">#REF!</definedName>
    <definedName name="회귀재료">#REF!</definedName>
    <definedName name="회시1호">#REF!</definedName>
    <definedName name="회시2호">#REF!</definedName>
    <definedName name="회양목">#REF!</definedName>
    <definedName name="회양목H0.3">#REF!</definedName>
    <definedName name="회화">#REF!</definedName>
    <definedName name="횟수">#REF!</definedName>
    <definedName name="횡계">#REF!</definedName>
    <definedName name="횡계보링">#REF!</definedName>
    <definedName name="횡단보도예고표시" hidden="1">{#N/A,#N/A,FALSE,"2~8번"}</definedName>
    <definedName name="횡단측량">#REF!</definedName>
    <definedName name="횡배수관연장산출">#REF!</definedName>
    <definedName name="횡배수관재료집계">#REF!</definedName>
    <definedName name="횡선">#REF!</definedName>
    <definedName name="후박나무H4.0">#REF!</definedName>
    <definedName name="후사모멘트">#REF!</definedName>
    <definedName name="후피향나무H1.8">#REF!</definedName>
    <definedName name="후활모멘트">#REF!</definedName>
    <definedName name="후활전단력">#REF!</definedName>
    <definedName name="훠">#REF!</definedName>
    <definedName name="휘니셔">750000</definedName>
    <definedName name="휘발유">#REF!</definedName>
    <definedName name="휴게실집게표" localSheetId="28">BlankMacro1</definedName>
    <definedName name="휴게실집게표" localSheetId="24">BlankMacro1</definedName>
    <definedName name="휴게실집게표" localSheetId="26">BlankMacro1</definedName>
    <definedName name="휴게실집게표" localSheetId="27">BlankMacro1</definedName>
    <definedName name="휴게실집게표">BlankMacro1</definedName>
    <definedName name="휴게실집계표" localSheetId="28">BlankMacro1</definedName>
    <definedName name="휴게실집계표" localSheetId="24">BlankMacro1</definedName>
    <definedName name="휴게실집계표" localSheetId="26">BlankMacro1</definedName>
    <definedName name="휴게실집계표" localSheetId="27">BlankMacro1</definedName>
    <definedName name="휴게실집계표">BlankMacro1</definedName>
    <definedName name="휴천수" hidden="1">{#N/A,#N/A,FALSE,"포장단가"}</definedName>
    <definedName name="흄______관">#REF!</definedName>
    <definedName name="흄관400">#REF!</definedName>
    <definedName name="흄관600">#REF!</definedName>
    <definedName name="흄관600집계">#REF!</definedName>
    <definedName name="흄관800">#REF!</definedName>
    <definedName name="흄관소켓1000">#REF!</definedName>
    <definedName name="흄관소켓300">#REF!</definedName>
    <definedName name="흄관소켓450">#REF!</definedName>
    <definedName name="흄관소켓500">#REF!</definedName>
    <definedName name="흄관소켓600">#REF!</definedName>
    <definedName name="흄관소켓700">#REF!</definedName>
    <definedName name="흄관소켓800">#REF!</definedName>
    <definedName name="흄관소켓900">#REF!</definedName>
    <definedName name="흄관운반" localSheetId="0" hidden="1">{#N/A,#N/A,FALSE,"포장단가"}</definedName>
    <definedName name="흄관운반" hidden="1">{#N/A,#N/A,FALSE,"포장단가"}</definedName>
    <definedName name="흄관집계">#REF!</definedName>
    <definedName name="흄관칼라1000">#REF!</definedName>
    <definedName name="흄관칼라300">#REF!</definedName>
    <definedName name="흄관칼라450">#REF!</definedName>
    <definedName name="흄관칼라500">#REF!</definedName>
    <definedName name="흄관칼라600">#REF!</definedName>
    <definedName name="흄관칼라700">#REF!</definedName>
    <definedName name="흄관칼라800">#REF!</definedName>
    <definedName name="흄관칼라900">#REF!</definedName>
    <definedName name="흙_운_반___토_사__불도저_19_Ton__㎥당">#REF!</definedName>
    <definedName name="흙막이">#REF!</definedName>
    <definedName name="흙빼기노무">#REF!</definedName>
    <definedName name="흙쌓기_및_다짐__노___상">#REF!</definedName>
    <definedName name="흙쌓기_및_다짐__노___체">#REF!</definedName>
    <definedName name="희선">#REF!,#REF!,#REF!,#REF!,#REF!,#REF!,#REF!,#REF!,#REF!,#REF!,#REF!,#REF!,#REF!,#REF!,#REF!,#REF!,#REF!,#REF!,#REF!</definedName>
    <definedName name="희성" hidden="1">{#N/A,#N/A,FALSE,"명세표"}</definedName>
    <definedName name="히"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말라야시다6노무">#REF!</definedName>
    <definedName name="히말라야시다6재료">#REF!</definedName>
    <definedName name="히말라야시다8노무">#REF!</definedName>
    <definedName name="히말라야시다8재료">#REF!</definedName>
    <definedName name="힌울" localSheetId="19" hidden="1">#REF!</definedName>
    <definedName name="힌울" localSheetId="21" hidden="1">#REF!</definedName>
    <definedName name="힌울" localSheetId="23" hidden="1">#REF!</definedName>
    <definedName name="힌울" localSheetId="3" hidden="1">#REF!</definedName>
    <definedName name="힌울" localSheetId="5" hidden="1">#REF!</definedName>
    <definedName name="힌울" localSheetId="7" hidden="1">#REF!</definedName>
    <definedName name="힌울" localSheetId="9" hidden="1">#REF!</definedName>
    <definedName name="힌울" localSheetId="11" hidden="1">#REF!</definedName>
    <definedName name="힌울" localSheetId="13" hidden="1">#REF!</definedName>
    <definedName name="힌울" localSheetId="15" hidden="1">#REF!</definedName>
    <definedName name="힌울" localSheetId="17" hidden="1">#REF!</definedName>
    <definedName name="힌울" hidden="1">#REF!</definedName>
    <definedName name="힌지">#REF!</definedName>
    <definedName name="ㅏ" localSheetId="0" hidden="1">{#N/A,#N/A,FALSE,"운반시간"}</definedName>
    <definedName name="ㅏ" hidden="1">{#N/A,#N/A,FALSE,"운반시간"}</definedName>
    <definedName name="ㅏ_1" localSheetId="0" hidden="1">{#N/A,#N/A,FALSE,"운반시간"}</definedName>
    <definedName name="ㅏ_1" hidden="1">{#N/A,#N/A,FALSE,"운반시간"}</definedName>
    <definedName name="ㅏ1">#REF!</definedName>
    <definedName name="ㅏ271">#REF!</definedName>
    <definedName name="ㅏ30">#REF!</definedName>
    <definedName name="ㅏ576">#REF!</definedName>
    <definedName name="ㅏK32">#REF!</definedName>
    <definedName name="ㅏ허화" hidden="1">{#N/A,#N/A,FALSE,"골재소요량";#N/A,#N/A,FALSE,"골재소요량"}</definedName>
    <definedName name="ㅏㅏ" localSheetId="0" hidden="1">{#N/A,#N/A,FALSE,"P.C.B"}</definedName>
    <definedName name="ㅏㅏ" hidden="1">{#N/A,#N/A,FALSE,"P.C.B"}</definedName>
    <definedName name="ㅏㅏㅇ라너">#REF!</definedName>
    <definedName name="ㅏㅏㅏ"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localSheetId="0" hidden="1">{#N/A,#N/A,FALSE,"P.C.B"}</definedName>
    <definedName name="ㅏㅏㅏㅏㅏ" hidden="1">{#N/A,#N/A,FALSE,"P.C.B"}</definedName>
    <definedName name="ㅏㅏㅏㅏㅏㅏ">#REF!</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ㅑ">#REF!</definedName>
    <definedName name="ㅏㅓ" localSheetId="0" hidden="1">{#N/A,#N/A,FALSE,"골재소요량";#N/A,#N/A,FALSE,"골재소요량"}</definedName>
    <definedName name="ㅏㅓ" hidden="1">{#N/A,#N/A,FALSE,"골재소요량";#N/A,#N/A,FALSE,"골재소요량"}</definedName>
    <definedName name="ㅏㅓ화호" hidden="1">{#N/A,#N/A,FALSE,"단가표지"}</definedName>
    <definedName name="ㅏㅓㅏ" localSheetId="0" hidden="1">{#N/A,#N/A,FALSE,"단가표지"}</definedName>
    <definedName name="ㅏㅓㅏ" hidden="1">{#N/A,#N/A,FALSE,"단가표지"}</definedName>
    <definedName name="ㅏㅓㅏㅓ" localSheetId="0" hidden="1">{#N/A,#N/A,FALSE,"2~8번"}</definedName>
    <definedName name="ㅏㅓㅏㅓ" hidden="1">{#N/A,#N/A,FALSE,"2~8번"}</definedName>
    <definedName name="ㅏㅓㅕㅓㅛ" localSheetId="28">BlankMacro1</definedName>
    <definedName name="ㅏㅓㅕㅓㅛ" localSheetId="24">BlankMacro1</definedName>
    <definedName name="ㅏㅓㅕㅓㅛ" localSheetId="26">BlankMacro1</definedName>
    <definedName name="ㅏㅓㅕㅓㅛ" localSheetId="27">BlankMacro1</definedName>
    <definedName name="ㅏㅓㅕㅓㅛ">BlankMacro1</definedName>
    <definedName name="ㅏㅓㅗ라" hidden="1">{#N/A,#N/A,FALSE,"골재소요량";#N/A,#N/A,FALSE,"골재소요량"}</definedName>
    <definedName name="ㅏㅓㅗㅎ" hidden="1">{#N/A,#N/A,FALSE,"운반시간"}</definedName>
    <definedName name="ㅏㅓㅗㅓ" hidden="1">{#N/A,#N/A,FALSE,"운반시간"}</definedName>
    <definedName name="ㅏㅓㅘ" localSheetId="28">BlankMacro1</definedName>
    <definedName name="ㅏㅓㅘ" localSheetId="24">BlankMacro1</definedName>
    <definedName name="ㅏㅓㅘ" localSheetId="26">BlankMacro1</definedName>
    <definedName name="ㅏㅓㅘ" localSheetId="27">BlankMacro1</definedName>
    <definedName name="ㅏㅓㅘ">BlankMacro1</definedName>
    <definedName name="ㅏㅓㅘ허호" hidden="1">{#N/A,#N/A,FALSE,"단가표지"}</definedName>
    <definedName name="ㅏㅗㅓㅏ화호" hidden="1">{#N/A,#N/A,FALSE,"표지목차"}</definedName>
    <definedName name="ㅏㅣ" hidden="1">{#N/A,#N/A,FALSE,"단가표지"}</definedName>
    <definedName name="ㅐ">#REF!</definedName>
    <definedName name="ㅐ98ㅛㅗ">#N/A</definedName>
    <definedName name="ㅐㅏ" localSheetId="0" hidden="1">{#N/A,#N/A,FALSE,"P.C.B"}</definedName>
    <definedName name="ㅐㅏ" hidden="1">{#N/A,#N/A,FALSE,"P.C.B"}</definedName>
    <definedName name="ㅐㅐ" localSheetId="28">BlankMacro1</definedName>
    <definedName name="ㅐㅐ" localSheetId="24">BlankMacro1</definedName>
    <definedName name="ㅐㅐ" localSheetId="26">BlankMacro1</definedName>
    <definedName name="ㅐㅐ" localSheetId="27">BlankMacro1</definedName>
    <definedName name="ㅐㅐ">BlankMacro1</definedName>
    <definedName name="ㅐㅐㅐ" hidden="1">{"'Sheet1'!$A$1:$H$49"}</definedName>
    <definedName name="ㅐㅐㅐㅐㅐ">#REF!</definedName>
    <definedName name="ㅑ" localSheetId="0" hidden="1">{#N/A,#N/A,FALSE,"조골재"}</definedName>
    <definedName name="ㅑ" hidden="1">{#N/A,#N/A,FALSE,"조골재"}</definedName>
    <definedName name="ㅑ_1" localSheetId="0" hidden="1">{#N/A,#N/A,FALSE,"조골재"}</definedName>
    <definedName name="ㅑ_1" hidden="1">{#N/A,#N/A,FALSE,"조골재"}</definedName>
    <definedName name="ㅑ547">#REF!</definedName>
    <definedName name="ㅑ722">#REF!</definedName>
    <definedName name="ㅑㅅ">#REF!</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#REF!</definedName>
    <definedName name="ㅑㅑㅑㅑㅑㅑ" hidden="1">{"'용역비'!$A$4:$C$8"}</definedName>
    <definedName name="ㅑㅕㅑ" hidden="1">{#N/A,#N/A,FALSE,"전력간선"}</definedName>
    <definedName name="ㅑㅕㅕ" hidden="1">{"'용역비'!$A$4:$C$8"}</definedName>
    <definedName name="ㅑㅕㅛㅏㅏㅓ" localSheetId="28">BlankMacro1</definedName>
    <definedName name="ㅑㅕㅛㅏㅏㅓ" localSheetId="24">BlankMacro1</definedName>
    <definedName name="ㅑㅕㅛㅏㅏㅓ" localSheetId="26">BlankMacro1</definedName>
    <definedName name="ㅑㅕㅛㅏㅏㅓ" localSheetId="27">BlankMacro1</definedName>
    <definedName name="ㅑㅕㅛㅏㅏㅓ">BlankMacro1</definedName>
    <definedName name="ㅑㅕㅛㅑ" localSheetId="28">BlankMacro1</definedName>
    <definedName name="ㅑㅕㅛㅑ" localSheetId="24">BlankMacro1</definedName>
    <definedName name="ㅑㅕㅛㅑ" localSheetId="26">BlankMacro1</definedName>
    <definedName name="ㅑㅕㅛㅑ" localSheetId="27">BlankMacro1</definedName>
    <definedName name="ㅑㅕㅛㅑ">BlankMacro1</definedName>
    <definedName name="ㅓ">#REF!</definedName>
    <definedName name="ㅓ1514">#REF!</definedName>
    <definedName name="ㅓ192">#REF!</definedName>
    <definedName name="ㅓ25">#REF!</definedName>
    <definedName name="ㅓ5">[0]!ㅓ5</definedName>
    <definedName name="ㅓ7" localSheetId="0" hidden="1">{#N/A,#N/A,FALSE,"단가표지"}</definedName>
    <definedName name="ㅓ7" hidden="1">{#N/A,#N/A,FALSE,"단가표지"}</definedName>
    <definedName name="ㅓ7_1" localSheetId="0" hidden="1">{#N/A,#N/A,FALSE,"단가표지"}</definedName>
    <definedName name="ㅓ7_1" hidden="1">{#N/A,#N/A,FALSE,"단가표지"}</definedName>
    <definedName name="ㅓ8">#REF!</definedName>
    <definedName name="ㅓ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ㅇ" localSheetId="28">BlankMacro1</definedName>
    <definedName name="ㅓㄴㅇ" localSheetId="24">BlankMacro1</definedName>
    <definedName name="ㅓㄴㅇ" localSheetId="26">BlankMacro1</definedName>
    <definedName name="ㅓㄴㅇ" localSheetId="27">BlankMacro1</definedName>
    <definedName name="ㅓㄴㅇ">BlankMacro1</definedName>
    <definedName name="ㅓㄴㅇ러" localSheetId="0" hidden="1">{#N/A,#N/A,FALSE,"골재소요량";#N/A,#N/A,FALSE,"골재소요량"}</definedName>
    <definedName name="ㅓㄴㅇ러" hidden="1">{#N/A,#N/A,FALSE,"골재소요량";#N/A,#N/A,FALSE,"골재소요량"}</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롤" hidden="1">{#N/A,#N/A,FALSE,"골재소요량";#N/A,#N/A,FALSE,"골재소요량"}</definedName>
    <definedName name="ㅓ쇼ㅓ" localSheetId="28">BlankMacro1</definedName>
    <definedName name="ㅓ쇼ㅓ" localSheetId="24">BlankMacro1</definedName>
    <definedName name="ㅓ쇼ㅓ" localSheetId="26">BlankMacro1</definedName>
    <definedName name="ㅓ쇼ㅓ" localSheetId="27">BlankMacro1</definedName>
    <definedName name="ㅓ쇼ㅓ">BlankMacro1</definedName>
    <definedName name="ㅓ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ㄴ" hidden="1">{#N/A,#N/A,FALSE,"단가표지"}</definedName>
    <definedName name="ㅓㅇ호ㅓㅇ호ㅓㅇ허" hidden="1">{#N/A,#N/A,FALSE,"표지목차"}</definedName>
    <definedName name="ㅓ아ㅣㅓ라어ㅏㅣ렁나ㅣ">[0]!ㅓ아ㅣㅓ라어ㅏㅣ렁나ㅣ</definedName>
    <definedName name="ㅓㅎ겨ㅓㅓㅗㅓ">#REF!</definedName>
    <definedName name="ㅓㅎ렁홍" hidden="1">{#N/A,#N/A,FALSE,"혼합골재"}</definedName>
    <definedName name="ㅓㅎ로ㅗㄴ" hidden="1">{#N/A,#N/A,FALSE,"단가표지"}</definedName>
    <definedName name="ㅓㅎㅇㅎ" hidden="1">{#N/A,#N/A,FALSE,"운반시간"}</definedName>
    <definedName name="ㅓ하아ㅗㄹㅇㅇㅇㅇㅎ">#REF!</definedName>
    <definedName name="ㅓ호ㅓ" hidden="1">{#N/A,#N/A,FALSE,"표지목차"}</definedName>
    <definedName name="ㅓ호ㅓㅗㄹ" hidden="1">{#N/A,#N/A,FALSE,"단가표지"}</definedName>
    <definedName name="ㅓㅏ" localSheetId="0" hidden="1">{#N/A,#N/A,FALSE,"골재소요량";#N/A,#N/A,FALSE,"골재소요량"}</definedName>
    <definedName name="ㅓㅏ" hidden="1">{#N/A,#N/A,FALSE,"골재소요량";#N/A,#N/A,FALSE,"골재소요량"}</definedName>
    <definedName name="ㅓㅏ호" hidden="1">{#N/A,#N/A,FALSE,"단가표지"}</definedName>
    <definedName name="ㅓㅏ호ㅓ" hidden="1">{#N/A,#N/A,FALSE,"단가표지"}</definedName>
    <definedName name="ㅓㅏㅏ" hidden="1">#REF!</definedName>
    <definedName name="ㅓㅏㅓ" localSheetId="0" hidden="1">{#N/A,#N/A,FALSE,"조골재"}</definedName>
    <definedName name="ㅓㅏㅓ" hidden="1">{#N/A,#N/A,FALSE,"조골재"}</definedName>
    <definedName name="ㅓㅏㅗ하ㅗㅓㅎ" hidden="1">{#N/A,#N/A,FALSE,"혼합골재"}</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#REF!</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ㅓ" localSheetId="0" hidden="1">{#N/A,#N/A,FALSE,"P.C.B"}</definedName>
    <definedName name="ㅓㅓㅓㅓㅓㅓㅓ" hidden="1">{#N/A,#N/A,FALSE,"P.C.B"}</definedName>
    <definedName name="ㅓㅓㅗ" localSheetId="0" hidden="1">{#N/A,#N/A,FALSE,"조골재"}</definedName>
    <definedName name="ㅓㅓㅗ" hidden="1">{#N/A,#N/A,FALSE,"조골재"}</definedName>
    <definedName name="ㅓㅓㅗㅓㅏ">#REF!</definedName>
    <definedName name="ㅓㅗ" hidden="1">{#N/A,#N/A,FALSE,"운반시간"}</definedName>
    <definedName name="ㅓㅗ럴허ㅓㅓㅓㅓㅓㅓㅓ">#REF!</definedName>
    <definedName name="ㅓㅗ쇼" localSheetId="28">BlankMacro1</definedName>
    <definedName name="ㅓㅗ쇼" localSheetId="24">BlankMacro1</definedName>
    <definedName name="ㅓㅗ쇼" localSheetId="26">BlankMacro1</definedName>
    <definedName name="ㅓㅗ쇼" localSheetId="27">BlankMacro1</definedName>
    <definedName name="ㅓㅗ쇼">BlankMacro1</definedName>
    <definedName name="ㅓㅗㅎㄹ" hidden="1">{#N/A,#N/A,FALSE,"조골재"}</definedName>
    <definedName name="ㅓㅗㅎ러ㅗㅎ러" hidden="1">{#N/A,#N/A,FALSE,"혼합골재"}</definedName>
    <definedName name="ㅓㅗㅎ러ㅗ호ㅓ" hidden="1">{#N/A,#N/A,FALSE,"단가표지"}</definedName>
    <definedName name="ㅓㅗ허" hidden="1">{#N/A,#N/A,FALSE,"조골재"}</definedName>
    <definedName name="ㅓㅗ허ㅗㄹ" hidden="1">{#N/A,#N/A,FALSE,"운반시간"}</definedName>
    <definedName name="ㅓㅗ허ㅗㅎ" localSheetId="28">BlankMacro1</definedName>
    <definedName name="ㅓㅗ허ㅗㅎ" localSheetId="24">BlankMacro1</definedName>
    <definedName name="ㅓㅗ허ㅗㅎ" localSheetId="26">BlankMacro1</definedName>
    <definedName name="ㅓㅗ허ㅗㅎ" localSheetId="27">BlankMacro1</definedName>
    <definedName name="ㅓㅗ허ㅗㅎ">BlankMacro1</definedName>
    <definedName name="ㅓㅗ허ㅗㅎㄹ" hidden="1">{#N/A,#N/A,FALSE,"골재소요량";#N/A,#N/A,FALSE,"골재소요량"}</definedName>
    <definedName name="ㅓㅗ허ㅗㅎ러" hidden="1">{#N/A,#N/A,FALSE,"운반시간"}</definedName>
    <definedName name="ㅓㅗ헝홍허" hidden="1">{#N/A,#N/A,FALSE,"골재소요량";#N/A,#N/A,FALSE,"골재소요량"}</definedName>
    <definedName name="ㅓㅗ헣ㄹ" hidden="1">{#N/A,#N/A,FALSE,"단가표지"}</definedName>
    <definedName name="ㅓㅗ헣러" hidden="1">{#N/A,#N/A,FALSE,"단가표지"}</definedName>
    <definedName name="ㅓㅗ헣로ㅓ" hidden="1">{#N/A,#N/A,FALSE,"조골재"}</definedName>
    <definedName name="ㅓㅗ헣호ㅓ" hidden="1">{#N/A,#N/A,FALSE,"조골재"}</definedName>
    <definedName name="ㅓㅗ호" hidden="1">{#N/A,#N/A,FALSE,"단가표지"}</definedName>
    <definedName name="ㅓㅗ호ㅓㅗ" hidden="1">{#N/A,#N/A,FALSE,"2~8번"}</definedName>
    <definedName name="ㅓㅗㅓ" localSheetId="0" hidden="1">{#N/A,#N/A,FALSE,"2~8번"}</definedName>
    <definedName name="ㅓㅗㅓ" hidden="1">{#N/A,#N/A,FALSE,"2~8번"}</definedName>
    <definedName name="ㅓㅗㅗ" hidden="1">{#N/A,#N/A,FALSE,"단가표지"}</definedName>
    <definedName name="ㅓㅗㅗㅗ" hidden="1">{#N/A,#N/A,FALSE,"골재소요량";#N/A,#N/A,FALSE,"골재소요량"}</definedName>
    <definedName name="ㅓㅘㅓㅘ" localSheetId="28">BlankMacro1</definedName>
    <definedName name="ㅓㅘㅓㅘ" localSheetId="24">BlankMacro1</definedName>
    <definedName name="ㅓㅘㅓㅘ" localSheetId="26">BlankMacro1</definedName>
    <definedName name="ㅓㅘㅓㅘ" localSheetId="27">BlankMacro1</definedName>
    <definedName name="ㅓㅘㅓㅘ">BlankMacro1</definedName>
    <definedName name="ㅓㅚㅣㅣㅗ">#REF!</definedName>
    <definedName name="ㅓㅛ" hidden="1">{#N/A,#N/A,FALSE,"토공2"}</definedName>
    <definedName name="ㅓㅛㅅ쇼">#REF!</definedName>
    <definedName name="ㅓㅛㅇ"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ㅎ료ㅓ" localSheetId="28">BlankMacro1</definedName>
    <definedName name="ㅓㅛㅎ료ㅓ" localSheetId="24">BlankMacro1</definedName>
    <definedName name="ㅓㅛㅎ료ㅓ" localSheetId="26">BlankMacro1</definedName>
    <definedName name="ㅓㅛㅎ료ㅓ" localSheetId="27">BlankMacro1</definedName>
    <definedName name="ㅓㅛㅎ료ㅓ">BlankMacro1</definedName>
    <definedName name="ㅓㅛㅗㅓ" localSheetId="28">BlankMacro1</definedName>
    <definedName name="ㅓㅛㅗㅓ" localSheetId="24">BlankMacro1</definedName>
    <definedName name="ㅓㅛㅗㅓ" localSheetId="26">BlankMacro1</definedName>
    <definedName name="ㅓㅛㅗㅓ" localSheetId="27">BlankMacro1</definedName>
    <definedName name="ㅓㅛㅗㅓ">BlankMacro1</definedName>
    <definedName name="ㅓㅜㅗ">#REF!</definedName>
    <definedName name="ㅔ" hidden="1">#REF!</definedName>
    <definedName name="ㅔ1">#REF!</definedName>
    <definedName name="ㅔ154">#REF!</definedName>
    <definedName name="ㅔ3" localSheetId="0" hidden="1">{#N/A,#N/A,FALSE,"배수1"}</definedName>
    <definedName name="ㅔ3" hidden="1">{#N/A,#N/A,FALSE,"배수1"}</definedName>
    <definedName name="ㅔ갸ㅜㅅ">#REF!</definedName>
    <definedName name="ㅔ갸ㅜㅅ_ㅅㅑ싣ㄴ">#REF!</definedName>
    <definedName name="ㅔㅐㅔ" hidden="1">{#N/A,"수불부",FALSE,"사급자재수불서";#N/A,"수불부",FALSE,"사급자재수불서"}</definedName>
    <definedName name="ㅔㅔ" hidden="1">#REF!</definedName>
    <definedName name="ㅔㅔㅔㅔ" hidden="1">#REF!</definedName>
    <definedName name="ㅔㅣ" hidden="1">{"'용역비'!$A$4:$C$8"}</definedName>
    <definedName name="ㅕ">#REF!</definedName>
    <definedName name="ㅕ168">#REF!</definedName>
    <definedName name="ㅕㅅ">#REF!</definedName>
    <definedName name="ㅕㅕ">#REF!</definedName>
    <definedName name="ㅕㅛㅅ" localSheetId="28">BlankMacro1</definedName>
    <definedName name="ㅕㅛㅅ" localSheetId="24">BlankMacro1</definedName>
    <definedName name="ㅕㅛㅅ" localSheetId="26">BlankMacro1</definedName>
    <definedName name="ㅕㅛㅅ" localSheetId="27">BlankMacro1</definedName>
    <definedName name="ㅕㅛㅅ">BlankMacro1</definedName>
    <definedName name="ㅕㅛㅏㅛㅅ" localSheetId="28">BlankMacro1</definedName>
    <definedName name="ㅕㅛㅏㅛㅅ" localSheetId="24">BlankMacro1</definedName>
    <definedName name="ㅕㅛㅏㅛㅅ" localSheetId="26">BlankMacro1</definedName>
    <definedName name="ㅕㅛㅏㅛㅅ" localSheetId="27">BlankMacro1</definedName>
    <definedName name="ㅕㅛㅏㅛㅅ">BlankMacro1</definedName>
    <definedName name="ㅕㅛㅏㅛㅕ">#REF!</definedName>
    <definedName name="ㅕㅛㅕㅛ" localSheetId="28">BlankMacro1</definedName>
    <definedName name="ㅕㅛㅕㅛ" localSheetId="24">BlankMacro1</definedName>
    <definedName name="ㅕㅛㅕㅛ" localSheetId="26">BlankMacro1</definedName>
    <definedName name="ㅕㅛㅕㅛ" localSheetId="27">BlankMacro1</definedName>
    <definedName name="ㅕㅛㅕㅛ">BlankMacro1</definedName>
    <definedName name="ㅕㅡㅜㅠㅜ" localSheetId="28">BlankMacro1</definedName>
    <definedName name="ㅕㅡㅜㅠㅜ" localSheetId="24">BlankMacro1</definedName>
    <definedName name="ㅕㅡㅜㅠㅜ" localSheetId="26">BlankMacro1</definedName>
    <definedName name="ㅕㅡㅜㅠㅜ" localSheetId="27">BlankMacro1</definedName>
    <definedName name="ㅕㅡㅜㅠㅜ">BlankMacro1</definedName>
    <definedName name="ㅗ">#REF!</definedName>
    <definedName name="ㅗ1019">#REF!</definedName>
    <definedName name="ㅗ2111">#REF!</definedName>
    <definedName name="ㅗ415">#REF!</definedName>
    <definedName name="ㅗ461">#REF!</definedName>
    <definedName name="ㅗ7254">#REF!</definedName>
    <definedName name="ㅗㄱㄱㄱ">#REF!</definedName>
    <definedName name="ㅗㄱ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ㄷㄱ">#REF!</definedName>
    <definedName name="ㅗㄹㄶ" hidden="1">{#N/A,#N/A,FALSE,"조골재"}</definedName>
    <definedName name="ㅗㄹㄹ" localSheetId="28">BlankMacro1</definedName>
    <definedName name="ㅗㄹㄹ" localSheetId="24">BlankMacro1</definedName>
    <definedName name="ㅗㄹㄹ" localSheetId="26">BlankMacro1</definedName>
    <definedName name="ㅗㄹㄹ" localSheetId="27">BlankMacro1</definedName>
    <definedName name="ㅗㄹㄹ">BlankMacro1</definedName>
    <definedName name="ㅗㅀ" localSheetId="28">BlankMacro1</definedName>
    <definedName name="ㅗㅀ" localSheetId="24">BlankMacro1</definedName>
    <definedName name="ㅗㅀ" localSheetId="26">BlankMacro1</definedName>
    <definedName name="ㅗㅀ" localSheetId="27">BlankMacro1</definedName>
    <definedName name="ㅗㅀ">BlankMacro1</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ㄱ" localSheetId="0" hidden="1">{#N/A,#N/A,TRUE,"토적및재료집계";#N/A,#N/A,TRUE,"토적및재료집계";#N/A,#N/A,TRUE,"단위량"}</definedName>
    <definedName name="ㅗㅅㄱ" hidden="1">{#N/A,#N/A,TRUE,"토적및재료집계";#N/A,#N/A,TRUE,"토적및재료집계";#N/A,#N/A,TRUE,"단위량"}</definedName>
    <definedName name="ㅗㅅ고" localSheetId="28">BlankMacro1</definedName>
    <definedName name="ㅗㅅ고" localSheetId="24">BlankMacro1</definedName>
    <definedName name="ㅗㅅ고" localSheetId="26">BlankMacro1</definedName>
    <definedName name="ㅗㅅ고" localSheetId="27">BlankMacro1</definedName>
    <definedName name="ㅗㅅ고">BlankMacro1</definedName>
    <definedName name="ㅗㅅㄴㄱ"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ㅎ" hidden="1">{#N/A,#N/A,FALSE,"운반시간"}</definedName>
    <definedName name="ㅗㅎㄴ" hidden="1">{#N/A,#N/A,FALSE,"골재소요량";#N/A,#N/A,FALSE,"골재소요량"}</definedName>
    <definedName name="ㅗㅎㄴㄷㄳㅁ">#REF!</definedName>
    <definedName name="ㅗㅎㄴㄹ" hidden="1">{#N/A,#N/A,FALSE,"단가표지"}</definedName>
    <definedName name="ㅗㅎㄹㄴㅁㅇ" localSheetId="28">BlankMacro1</definedName>
    <definedName name="ㅗㅎㄹㄴㅁㅇ" localSheetId="24">BlankMacro1</definedName>
    <definedName name="ㅗㅎㄹㄴㅁㅇ" localSheetId="26">BlankMacro1</definedName>
    <definedName name="ㅗㅎㄹㄴㅁㅇ" localSheetId="27">BlankMacro1</definedName>
    <definedName name="ㅗㅎㄹㄴㅁㅇ">BlankMacro1</definedName>
    <definedName name="ㅗㅎ로ㅜ" hidden="1">{#N/A,#N/A,FALSE,"운반시간"}</definedName>
    <definedName name="ㅗㅎ론ㄹ" hidden="1">{#N/A,#N/A,FALSE,"표지목차"}</definedName>
    <definedName name="ㅗㅎ롯홋ㄱ" hidden="1">{#N/A,#N/A,FALSE,"혼합골재"}</definedName>
    <definedName name="ㅗㅎㅇ라ㅓㅡ">#REF!</definedName>
    <definedName name="ㅗㅎㅇㅁㄹㅇㅎ" hidden="1">{#N/A,"수불부",FALSE,"사급자재수불서";#N/A,"수불부",FALSE,"사급자재수불서"}</definedName>
    <definedName name="ㅗ하ㅏㅣㄹㅇ라">#REF!</definedName>
    <definedName name="ㅗ하ㅓㅏㄹ허">#REF!</definedName>
    <definedName name="ㅗ허ㅏㅏㅏ">#REF!</definedName>
    <definedName name="ㅗ허ㅏㅗ">#REF!</definedName>
    <definedName name="ㅗ허ㅓㅗㅓㅓ">#REF!</definedName>
    <definedName name="ㅗ허ㅗ" hidden="1">{#N/A,#N/A,FALSE,"단가표지"}</definedName>
    <definedName name="ㅗ호" localSheetId="0" hidden="1">{#N/A,#N/A,FALSE,"조골재"}</definedName>
    <definedName name="ㅗ호" hidden="1">{#N/A,#N/A,FALSE,"조골재"}</definedName>
    <definedName name="ㅗ호롤">#REF!</definedName>
    <definedName name="ㅗㅓ" localSheetId="0" hidden="1">{#N/A,#N/A,FALSE,"조골재"}</definedName>
    <definedName name="ㅗㅓ" hidden="1">{#N/A,#N/A,FALSE,"조골재"}</definedName>
    <definedName name="ㅗㅓ롱노ㅓㅇ">#REF!</definedName>
    <definedName name="ㅗㅓ쇼ㅓㅕㄷ쇼ㅓㅕㄷㅅ" hidden="1">{#N/A,#N/A,FALSE,"단가표지"}</definedName>
    <definedName name="ㅗㅓㅎ로ㅓㅎㄹ" hidden="1">{#N/A,#N/A,FALSE,"표지목차"}</definedName>
    <definedName name="ㅗㅓ허ㅡ" localSheetId="28">BlankMacro1</definedName>
    <definedName name="ㅗㅓ허ㅡ" localSheetId="24">BlankMacro1</definedName>
    <definedName name="ㅗㅓ허ㅡ" localSheetId="26">BlankMacro1</definedName>
    <definedName name="ㅗㅓ허ㅡ" localSheetId="27">BlankMacro1</definedName>
    <definedName name="ㅗㅓ허ㅡ">BlankMacro1</definedName>
    <definedName name="ㅗㅓㅗ" localSheetId="0" hidden="1">{#N/A,#N/A,FALSE,"골재소요량";#N/A,#N/A,FALSE,"골재소요량"}</definedName>
    <definedName name="ㅗㅓㅗ" hidden="1">{#N/A,#N/A,FALSE,"골재소요량";#N/A,#N/A,FALSE,"골재소요량"}</definedName>
    <definedName name="ㅗㅗ" hidden="1">{#N/A,#N/A,TRUE,"토적및재료집계";#N/A,#N/A,TRUE,"토적및재료집계";#N/A,#N/A,TRUE,"단위량"}</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 hidden="1">#REF!</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ㅠㅍ" hidden="1">{#N/A,#N/A,FALSE,"혼합골재"}</definedName>
    <definedName name="ㅘ옹로">#REF!</definedName>
    <definedName name="ㅘㅓ" localSheetId="0" hidden="1">{#N/A,#N/A,FALSE,"운반시간"}</definedName>
    <definedName name="ㅘㅓ" hidden="1">{#N/A,#N/A,FALSE,"운반시간"}</definedName>
    <definedName name="ㅛ">#REF!</definedName>
    <definedName name="ㅛㅅ" hidden="1">{"'5국공정'!$A$1:$E$128"}</definedName>
    <definedName name="ㅛ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ㅕ하ㅓ" hidden="1">{#N/A,#N/A,FALSE,"포장2"}</definedName>
    <definedName name="ㅛㅗㅁ"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ㅛ" hidden="1">{"'용역비'!$A$4:$C$8"}</definedName>
    <definedName name="ㅛㅛㅛ" hidden="1">{"'용역비'!$A$4:$C$8"}</definedName>
    <definedName name="ㅜ" localSheetId="0" hidden="1">{#N/A,#N/A,FALSE,"조골재"}</definedName>
    <definedName name="ㅜ" hidden="1">{#N/A,#N/A,FALSE,"조골재"}</definedName>
    <definedName name="ㅜ_1" localSheetId="0" hidden="1">{#N/A,#N/A,FALSE,"조골재"}</definedName>
    <definedName name="ㅜ_1" hidden="1">{#N/A,#N/A,FALSE,"조골재"}</definedName>
    <definedName name="ㅜ1">#REF!</definedName>
    <definedName name="ㅜㄴㄱ" hidden="1">{#N/A,#N/A,FALSE,"운반시간"}</definedName>
    <definedName name="ㅜㄹ윤" hidden="1">{#N/A,#N/A,FALSE,"단가표지"}</definedName>
    <definedName name="ㅜㅁㄻ" hidden="1">#REF!</definedName>
    <definedName name="ㅜㅊㅍ" hidden="1">{#N/A,#N/A,FALSE,"표지목차"}</definedName>
    <definedName name="ㅜㅋㅊㅍ" hidden="1">{#N/A,#N/A,FALSE,"조골재"}</definedName>
    <definedName name="ㅜㅍ추ㅠ" hidden="1">{#N/A,#N/A,FALSE,"혼합골재"}</definedName>
    <definedName name="ㅜㅎㄴ" hidden="1">{#N/A,#N/A,FALSE,"골재소요량";#N/A,#N/A,FALSE,"골재소요량"}</definedName>
    <definedName name="ㅜㅎㅅㄱㄴ" hidden="1">{#N/A,#N/A,FALSE,"단가표지"}</definedName>
    <definedName name="ㅜㅗ" hidden="1">{#N/A,#N/A,FALSE,"이정표"}</definedName>
    <definedName name="ㅜㅗㅇㅎㅌ" hidden="1">{#N/A,#N/A,FALSE,"단가표지"}</definedName>
    <definedName name="ㅜㅗㅇ훟" hidden="1">{#N/A,#N/A,FALSE,"단가표지"}</definedName>
    <definedName name="ㅜㅗㅗㅗㅇㅎ" hidden="1">{#N/A,#N/A,FALSE,"운반시간"}</definedName>
    <definedName name="ㅜㅜ" localSheetId="28">BlankMacro1</definedName>
    <definedName name="ㅜㅜ" localSheetId="24">BlankMacro1</definedName>
    <definedName name="ㅜㅜ" localSheetId="26">BlankMacro1</definedName>
    <definedName name="ㅜㅜ" localSheetId="27">BlankMacro1</definedName>
    <definedName name="ㅜㅜ">BlankMacro1</definedName>
    <definedName name="ㅜㅜㅜㅜㅜㅜ">#REF!</definedName>
    <definedName name="ㅜㅠㅊ퓨ㅜ" hidden="1">#REF!</definedName>
    <definedName name="ㅜㅠ푸" hidden="1">{#N/A,#N/A,FALSE,"운반시간"}</definedName>
    <definedName name="ㅜㅠㅓ.허">#REF!</definedName>
    <definedName name="ㅜㅠㅠ" hidden="1">{#N/A,#N/A,FALSE,"골재소요량";#N/A,#N/A,FALSE,"골재소요량"}</definedName>
    <definedName name="ㅝㅎㄹ" hidden="1">{#N/A,#N/A,FALSE,"단가표지"}</definedName>
    <definedName name="ㅠ" hidden="1">{#N/A,#N/A,FALSE,"부대1"}</definedName>
    <definedName name="ㅠ61">#REF!</definedName>
    <definedName name="ㅠㄱ" hidden="1">{"'용역비'!$A$4:$C$8"}</definedName>
    <definedName name="ㅠㄴ" hidden="1">{#N/A,#N/A,FALSE,"조골재"}</definedName>
    <definedName name="ㅠㄹ" hidden="1">{#N/A,#N/A,FALSE,"속도"}</definedName>
    <definedName name="ㅠㄹㅇㄴㄴㄹㅇ" hidden="1">{#N/A,#N/A,FALSE,"단가표지"}</definedName>
    <definedName name="ㅠ뮤ㅐ" localSheetId="19" hidden="1">#REF!</definedName>
    <definedName name="ㅠ뮤ㅐ" localSheetId="21" hidden="1">#REF!</definedName>
    <definedName name="ㅠ뮤ㅐ" localSheetId="23" hidden="1">#REF!</definedName>
    <definedName name="ㅠ뮤ㅐ" localSheetId="3" hidden="1">#REF!</definedName>
    <definedName name="ㅠ뮤ㅐ" localSheetId="5" hidden="1">#REF!</definedName>
    <definedName name="ㅠ뮤ㅐ" localSheetId="7" hidden="1">#REF!</definedName>
    <definedName name="ㅠ뮤ㅐ" localSheetId="9" hidden="1">#REF!</definedName>
    <definedName name="ㅠ뮤ㅐ" localSheetId="11" hidden="1">#REF!</definedName>
    <definedName name="ㅠ뮤ㅐ" localSheetId="13" hidden="1">#REF!</definedName>
    <definedName name="ㅠ뮤ㅐ" localSheetId="15" hidden="1">#REF!</definedName>
    <definedName name="ㅠ뮤ㅐ" localSheetId="17" hidden="1">#REF!</definedName>
    <definedName name="ㅠ뮤ㅐ" localSheetId="0" hidden="1">#REF!</definedName>
    <definedName name="ㅠ뮤ㅐ" hidden="1">#REF!</definedName>
    <definedName name="ㅠㅊㅌ퓿ㅌ" hidden="1">{#N/A,#N/A,FALSE,"2~8번"}</definedName>
    <definedName name="ㅠㅊㅍㅌ" hidden="1">{#N/A,#N/A,FALSE,"단가표지"}</definedName>
    <definedName name="ㅠㅊㅍ튜" hidden="1">{#N/A,#N/A,FALSE,"단가표지"}</definedName>
    <definedName name="ㅠㅊㅍ튵ㅊ" hidden="1">{#N/A,#N/A,FALSE,"운반시간"}</definedName>
    <definedName name="ㅠㅊ픁츄" hidden="1">{#N/A,#N/A,FALSE,"단가표지"}</definedName>
    <definedName name="ㅠㅍ" hidden="1">{#N/A,#N/A,FALSE,"조골재"}</definedName>
    <definedName name="ㅠㅍㅊ" hidden="1">{#N/A,#N/A,FALSE,"단가표지"}</definedName>
    <definedName name="ㅠㅍㅊ튳" hidden="1">{#N/A,#N/A,FALSE,"표지목차"}</definedName>
    <definedName name="ㅠㅍㅊ튳ㅌㅍ" hidden="1">{#N/A,#N/A,FALSE,"조골재"}</definedName>
    <definedName name="ㅠㅍㅊ튵" hidden="1">{#N/A,#N/A,FALSE,"골재소요량";#N/A,#N/A,FALSE,"골재소요량"}</definedName>
    <definedName name="ㅠㅍㅊ튵ㅊ" hidden="1">{#N/A,#N/A,FALSE,"단가표지"}</definedName>
    <definedName name="ㅠㅍ츄ㅜ" hidden="1">{#N/A,#N/A,FALSE,"단가표지"}</definedName>
    <definedName name="ㅠㅍ츛ㅍ" hidden="1">{#N/A,#N/A,FALSE,"혼합골재"}</definedName>
    <definedName name="ㅠㅍ츜ㅊ" hidden="1">{#N/A,#N/A,FALSE,"2~8번"}</definedName>
    <definedName name="ㅠㅍ츜ㅍ" hidden="1">{#N/A,#N/A,FALSE,"조골재"}</definedName>
    <definedName name="ㅠㅍ츝" hidden="1">{#N/A,#N/A,FALSE,"운반시간"}</definedName>
    <definedName name="ㅠㅍ츝ㅊ" hidden="1">{#N/A,#N/A,FALSE,"단가표지"}</definedName>
    <definedName name="ㅠㅍㅋㅊㅍㅍ" hidden="1">{#N/A,#N/A,FALSE,"단가표지"}</definedName>
    <definedName name="ㅠ퓿큨ㅊ" hidden="1">{#N/A,#N/A,FALSE,"단가표지"}</definedName>
    <definedName name="ㅠ픀ㅊ" hidden="1">{#N/A,#N/A,FALSE,"단가표지"}</definedName>
    <definedName name="ㅠ픀ㅊㅍ" hidden="1">{#N/A,#N/A,FALSE,"표지목차"}</definedName>
    <definedName name="ㅠ픀ㅋㅊㅍ" hidden="1">{#N/A,#N/A,FALSE,"운반시간"}</definedName>
    <definedName name="ㅠㅎㅁ">#REF!</definedName>
    <definedName name="ㅠㅏㅇㄴ">[0]!ㅠㅏㅇㄴ</definedName>
    <definedName name="ㅠㅓㅗ" localSheetId="28">BlankMacro1</definedName>
    <definedName name="ㅠㅓㅗ" localSheetId="24">BlankMacro1</definedName>
    <definedName name="ㅠㅓㅗ" localSheetId="26">BlankMacro1</definedName>
    <definedName name="ㅠㅓㅗ" localSheetId="27">BlankMacro1</definedName>
    <definedName name="ㅠㅓㅗ">BlankMacro1</definedName>
    <definedName name="ㅠㅗㅁㅈㄷ">#REF!</definedName>
    <definedName name="ㅠㅗㅠㄷㄱㅁ">#REF!</definedName>
    <definedName name="ㅠㅠ">#REF!</definedName>
    <definedName name="ㅡ" localSheetId="0" hidden="1">{#N/A,#N/A,FALSE,"2~8번"}</definedName>
    <definedName name="ㅡ" hidden="1">{#N/A,#N/A,FALSE,"2~8번"}</definedName>
    <definedName name="ㅡ_1" localSheetId="0" hidden="1">{#N/A,#N/A,FALSE,"2~8번"}</definedName>
    <definedName name="ㅡ_1" hidden="1">{#N/A,#N/A,FALSE,"2~8번"}</definedName>
    <definedName name="ㅡ5">#REF!</definedName>
    <definedName name="ㅡㅁㅊ개14" localSheetId="11">#REF!</definedName>
    <definedName name="ㅡㅁㅊ개14" localSheetId="13">#REF!</definedName>
    <definedName name="ㅡㅁㅊ개14" localSheetId="15">#REF!</definedName>
    <definedName name="ㅡㅁㅊ개14">#REF!</definedName>
    <definedName name="ㅡㅏㅏ" localSheetId="0" hidden="1">{#N/A,#N/A,FALSE,"현장 NCR 분석";#N/A,#N/A,FALSE,"현장품질감사";#N/A,#N/A,FALSE,"현장품질감사"}</definedName>
    <definedName name="ㅡㅏㅏ" hidden="1">{#N/A,#N/A,FALSE,"현장 NCR 분석";#N/A,#N/A,FALSE,"현장품질감사";#N/A,#N/A,FALSE,"현장품질감사"}</definedName>
    <definedName name="ㅡㅏㅣ">#REF!</definedName>
    <definedName name="ㅡㅜㅗㄹ" localSheetId="28">BlankMacro1</definedName>
    <definedName name="ㅡㅜㅗㄹ" localSheetId="24">BlankMacro1</definedName>
    <definedName name="ㅡㅜㅗㄹ" localSheetId="26">BlankMacro1</definedName>
    <definedName name="ㅡㅜㅗㄹ" localSheetId="27">BlankMacro1</definedName>
    <definedName name="ㅡㅜㅗㄹ">BlankMacro1</definedName>
    <definedName name="ㅡㅡ">#REF!</definedName>
    <definedName name="ㅡㅡㅡ" localSheetId="0" hidden="1">{#N/A,#N/A,FALSE,"P.C.B"}</definedName>
    <definedName name="ㅡㅡㅡ" hidden="1">{#N/A,#N/A,FALSE,"P.C.B"}</definedName>
    <definedName name="ㅡㅡㅡㅡㅡ">#REF!</definedName>
    <definedName name="ㅡㅡㅡㅡㅡㅡㅡㅡㅡㅡㅡㅡㅡㅡㅡ" localSheetId="0" hidden="1">{#N/A,#N/A,FALSE,"P.C.B"}</definedName>
    <definedName name="ㅡㅡㅡㅡㅡㅡㅡㅡㅡㅡㅡㅡㅡㅡㅡ" hidden="1">{#N/A,#N/A,FALSE,"P.C.B"}</definedName>
    <definedName name="ㅣ">#REF!</definedName>
    <definedName name="ㅣ1517">#REF!</definedName>
    <definedName name="ㅣ1549">#REF!</definedName>
    <definedName name="ㅣ206">#REF!</definedName>
    <definedName name="ㅣ58">#REF!</definedName>
    <definedName name="ㅣ607">#REF!</definedName>
    <definedName name="ㅣ618">#REF!</definedName>
    <definedName name="ㅣㅎ"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허ㅏㅣ하" hidden="1">{#N/A,#N/A,FALSE,"혼합골재"}</definedName>
    <definedName name="ㅣ허ㅣ호ㅓㅏ" hidden="1">{#N/A,#N/A,FALSE,"조골재"}</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허ㅏ허ㅏ허ㅏ" hidden="1">{#N/A,#N/A,FALSE,"단가표지"}</definedName>
    <definedName name="ㅣㅏㅓ" localSheetId="0" hidden="1">{#N/A,#N/A,FALSE,"운반시간"}</definedName>
    <definedName name="ㅣㅏㅓ" hidden="1">{#N/A,#N/A,FALSE,"운반시간"}</definedName>
    <definedName name="ㅣㅏㅓㅎ" hidden="1">{#N/A,#N/A,FALSE,"단가표지"}</definedName>
    <definedName name="ㅣㅏㅓ허ㅏㅓㅎ" hidden="1">{#N/A,#N/A,FALSE,"표지목차"}</definedName>
    <definedName name="ㅣㅏㅓㅏㅓ">#N/A</definedName>
    <definedName name="ㅣㅏㅓㅣ허ㅏㅎ" hidden="1">{#N/A,#N/A,FALSE,"골재소요량";#N/A,#N/A,FALSE,"골재소요량"}</definedName>
    <definedName name="ㅣㅏㅓㅣ허ㅏㅏ허" hidden="1">{#N/A,#N/A,FALSE,"조골재"}</definedName>
    <definedName name="ㅣㅐ호ㅗㄷ">#REF!</definedName>
    <definedName name="ㅣㅑㅑ" hidden="1">{#N/A,#N/A,FALSE,"단가표지"}</definedName>
    <definedName name="ㅣㅑㅕㅗ" hidden="1">#REF!</definedName>
    <definedName name="ㅣㅑㅕㅣ" localSheetId="28">BlankMacro1</definedName>
    <definedName name="ㅣㅑㅕㅣ" localSheetId="24">BlankMacro1</definedName>
    <definedName name="ㅣㅑㅕㅣ" localSheetId="26">BlankMacro1</definedName>
    <definedName name="ㅣㅑㅕㅣ" localSheetId="27">BlankMacro1</definedName>
    <definedName name="ㅣㅑㅕㅣ">BlankMacro1</definedName>
    <definedName name="ㅣㅓㅏ허" hidden="1">{#N/A,#N/A,FALSE,"운반시간"}</definedName>
    <definedName name="ㅣㅓㅏ허ㅏㅣ허ㅏㅓ" hidden="1">{#N/A,#N/A,FALSE,"운반시간"}</definedName>
    <definedName name="ㅣㅓㅣㅏㅓㅣ">#REF!</definedName>
    <definedName name="ㅣㅚㅓㅏ" hidden="1">{#N/A,#N/A,FALSE,"단가표지"}</definedName>
    <definedName name="ㅣㅣㅣ">#REF!</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localSheetId="19" hidden="1">#REF!</definedName>
    <definedName name="ㅣㅣㅣㅣ" localSheetId="21" hidden="1">#REF!</definedName>
    <definedName name="ㅣㅣㅣㅣ" localSheetId="23" hidden="1">#REF!</definedName>
    <definedName name="ㅣㅣㅣㅣ" localSheetId="3" hidden="1">#REF!</definedName>
    <definedName name="ㅣㅣㅣㅣ" localSheetId="5" hidden="1">#REF!</definedName>
    <definedName name="ㅣㅣㅣㅣ" localSheetId="7" hidden="1">#REF!</definedName>
    <definedName name="ㅣㅣㅣㅣ" localSheetId="9" hidden="1">#REF!</definedName>
    <definedName name="ㅣㅣㅣㅣ" localSheetId="11" hidden="1">#REF!</definedName>
    <definedName name="ㅣㅣㅣㅣ" localSheetId="13" hidden="1">#REF!</definedName>
    <definedName name="ㅣㅣㅣㅣ" localSheetId="15" hidden="1">#REF!</definedName>
    <definedName name="ㅣㅣㅣㅣ" localSheetId="17" hidden="1">#REF!</definedName>
    <definedName name="ㅣㅣㅣㅣ" hidden="1">#REF!</definedName>
    <definedName name="ㅣㅣㅣㅣㅣ">#REF!</definedName>
    <definedName name="ㅣㅣㅣㅣㅣㅣ" localSheetId="19" hidden="1">#REF!</definedName>
    <definedName name="ㅣㅣㅣㅣㅣㅣ" localSheetId="21" hidden="1">#REF!</definedName>
    <definedName name="ㅣㅣㅣㅣㅣㅣ" localSheetId="23" hidden="1">#REF!</definedName>
    <definedName name="ㅣㅣㅣㅣㅣㅣ" localSheetId="3" hidden="1">#REF!</definedName>
    <definedName name="ㅣㅣㅣㅣㅣㅣ" localSheetId="5" hidden="1">#REF!</definedName>
    <definedName name="ㅣㅣㅣㅣㅣㅣ" localSheetId="7" hidden="1">#REF!</definedName>
    <definedName name="ㅣㅣㅣㅣㅣㅣ" localSheetId="9" hidden="1">#REF!</definedName>
    <definedName name="ㅣㅣㅣㅣㅣㅣ" localSheetId="11" hidden="1">#REF!</definedName>
    <definedName name="ㅣㅣㅣㅣㅣㅣ" localSheetId="13" hidden="1">#REF!</definedName>
    <definedName name="ㅣㅣㅣㅣㅣㅣ" localSheetId="15" hidden="1">#REF!</definedName>
    <definedName name="ㅣㅣㅣㅣㅣㅣ" localSheetId="17" hidden="1">#REF!</definedName>
    <definedName name="ㅣㅣㅣㅣㅣㅣ" hidden="1">#REF!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4" i="9" l="1"/>
  <c r="E341" i="33"/>
  <c r="E51" i="33"/>
  <c r="E769" i="33"/>
  <c r="E794" i="33"/>
  <c r="E622" i="33"/>
  <c r="E815" i="33"/>
  <c r="K815" i="33" s="1"/>
  <c r="E215" i="33"/>
  <c r="K215" i="33" s="1"/>
  <c r="E326" i="31"/>
  <c r="E327" i="31"/>
  <c r="E415" i="33"/>
  <c r="E337" i="31"/>
  <c r="E566" i="33"/>
  <c r="E567" i="33"/>
  <c r="E338" i="31"/>
  <c r="F338" i="31" s="1"/>
  <c r="E117" i="33"/>
  <c r="E5" i="33"/>
  <c r="E150" i="33"/>
  <c r="E166" i="33"/>
  <c r="K166" i="33" s="1"/>
  <c r="E182" i="33"/>
  <c r="E198" i="33"/>
  <c r="E167" i="33"/>
  <c r="E636" i="33"/>
  <c r="K636" i="33" s="1"/>
  <c r="E647" i="33"/>
  <c r="E658" i="33"/>
  <c r="E317" i="31"/>
  <c r="E697" i="33"/>
  <c r="E414" i="31"/>
  <c r="F414" i="31" s="1"/>
  <c r="E415" i="31"/>
  <c r="E739" i="33"/>
  <c r="E673" i="33"/>
  <c r="K673" i="33" s="1"/>
  <c r="E262" i="33"/>
  <c r="E809" i="33"/>
  <c r="E745" i="33"/>
  <c r="E389" i="31"/>
  <c r="F389" i="31" s="1"/>
  <c r="E390" i="31"/>
  <c r="F390" i="31" s="1"/>
  <c r="E400" i="31"/>
  <c r="E402" i="31"/>
  <c r="E408" i="31"/>
  <c r="E409" i="31"/>
  <c r="E410" i="31"/>
  <c r="E411" i="31"/>
  <c r="C23" i="43"/>
  <c r="C22" i="43"/>
  <c r="C21" i="43"/>
  <c r="C20" i="43"/>
  <c r="C19" i="43"/>
  <c r="C18" i="43"/>
  <c r="AG67" i="36"/>
  <c r="F67" i="36"/>
  <c r="G67" i="36" s="1"/>
  <c r="G68" i="36" s="1"/>
  <c r="AG65" i="36"/>
  <c r="F65" i="36"/>
  <c r="G65" i="36" s="1"/>
  <c r="G66" i="36" s="1"/>
  <c r="D65" i="36"/>
  <c r="AG54" i="36"/>
  <c r="F54" i="36"/>
  <c r="G54" i="36" s="1"/>
  <c r="G55" i="36" s="1"/>
  <c r="D54" i="36"/>
  <c r="AG47" i="36"/>
  <c r="F47" i="36"/>
  <c r="G47" i="36" s="1"/>
  <c r="G48" i="36" s="1"/>
  <c r="F6" i="35" s="1"/>
  <c r="G428" i="33" s="1"/>
  <c r="H428" i="33" s="1"/>
  <c r="AG44" i="36"/>
  <c r="F44" i="36"/>
  <c r="G44" i="36" s="1"/>
  <c r="G45" i="36" s="1"/>
  <c r="AG42" i="36"/>
  <c r="F42" i="36"/>
  <c r="D42" i="36"/>
  <c r="G42" i="36" s="1"/>
  <c r="G43" i="36" s="1"/>
  <c r="AG35" i="36"/>
  <c r="F35" i="36"/>
  <c r="G35" i="36" s="1"/>
  <c r="G36" i="36" s="1"/>
  <c r="AG32" i="36"/>
  <c r="F32" i="36"/>
  <c r="G32" i="36" s="1"/>
  <c r="AG30" i="36"/>
  <c r="G30" i="36"/>
  <c r="G31" i="36" s="1"/>
  <c r="G5" i="35" s="1"/>
  <c r="F30" i="36"/>
  <c r="D30" i="36"/>
  <c r="AG23" i="36"/>
  <c r="F23" i="36"/>
  <c r="G23" i="36" s="1"/>
  <c r="G24" i="36" s="1"/>
  <c r="F4" i="35" s="1"/>
  <c r="AG20" i="36"/>
  <c r="F20" i="36"/>
  <c r="G20" i="36" s="1"/>
  <c r="G21" i="36" s="1"/>
  <c r="G22" i="36" s="1"/>
  <c r="E4" i="35" s="1"/>
  <c r="AG18" i="36"/>
  <c r="F18" i="36"/>
  <c r="G18" i="36" s="1"/>
  <c r="G19" i="36" s="1"/>
  <c r="D18" i="36"/>
  <c r="AG11" i="36"/>
  <c r="F11" i="36"/>
  <c r="G11" i="36" s="1"/>
  <c r="G12" i="36" s="1"/>
  <c r="F3" i="35" s="1"/>
  <c r="G430" i="33" s="1"/>
  <c r="H430" i="33" s="1"/>
  <c r="AG8" i="36"/>
  <c r="F8" i="36"/>
  <c r="G8" i="36" s="1"/>
  <c r="AG6" i="36"/>
  <c r="F6" i="36"/>
  <c r="G6" i="36" s="1"/>
  <c r="G7" i="36" s="1"/>
  <c r="D6" i="36"/>
  <c r="O8" i="35"/>
  <c r="O7" i="35"/>
  <c r="O6" i="35"/>
  <c r="O5" i="35"/>
  <c r="F5" i="35"/>
  <c r="G96" i="31" s="1"/>
  <c r="O4" i="35"/>
  <c r="O3" i="35"/>
  <c r="BI912" i="33"/>
  <c r="G912" i="33"/>
  <c r="H912" i="33" s="1"/>
  <c r="L912" i="33" s="1"/>
  <c r="L911" i="33"/>
  <c r="K911" i="33"/>
  <c r="BI910" i="33"/>
  <c r="E910" i="33"/>
  <c r="BI909" i="33"/>
  <c r="E909" i="33"/>
  <c r="L908" i="33"/>
  <c r="K908" i="33"/>
  <c r="J907" i="33"/>
  <c r="H907" i="33"/>
  <c r="K905" i="33"/>
  <c r="BI904" i="33"/>
  <c r="G904" i="33"/>
  <c r="K904" i="33" s="1"/>
  <c r="BI903" i="33"/>
  <c r="G903" i="33"/>
  <c r="H903" i="33" s="1"/>
  <c r="F902" i="33"/>
  <c r="K900" i="33"/>
  <c r="BI899" i="33"/>
  <c r="G899" i="33"/>
  <c r="K899" i="33" s="1"/>
  <c r="BI898" i="33"/>
  <c r="G898" i="33"/>
  <c r="K898" i="33" s="1"/>
  <c r="BI897" i="33"/>
  <c r="E897" i="33"/>
  <c r="K897" i="33" s="1"/>
  <c r="K894" i="33"/>
  <c r="BI893" i="33"/>
  <c r="H893" i="33"/>
  <c r="L893" i="33" s="1"/>
  <c r="G893" i="33"/>
  <c r="K893" i="33" s="1"/>
  <c r="BI892" i="33"/>
  <c r="G892" i="33"/>
  <c r="K892" i="33" s="1"/>
  <c r="L891" i="33"/>
  <c r="K891" i="33"/>
  <c r="L890" i="33"/>
  <c r="K890" i="33"/>
  <c r="BI889" i="33"/>
  <c r="G889" i="33"/>
  <c r="K889" i="33" s="1"/>
  <c r="BI888" i="33"/>
  <c r="G888" i="33"/>
  <c r="H888" i="33" s="1"/>
  <c r="BI887" i="33"/>
  <c r="E887" i="33"/>
  <c r="K887" i="33" s="1"/>
  <c r="L886" i="33"/>
  <c r="K886" i="33"/>
  <c r="K883" i="33"/>
  <c r="BI882" i="33"/>
  <c r="G882" i="33"/>
  <c r="F881" i="33"/>
  <c r="K879" i="33"/>
  <c r="BI878" i="33"/>
  <c r="G878" i="33"/>
  <c r="H878" i="33" s="1"/>
  <c r="L878" i="33" s="1"/>
  <c r="BI877" i="33"/>
  <c r="G877" i="33"/>
  <c r="BI876" i="33"/>
  <c r="E876" i="33"/>
  <c r="K876" i="33" s="1"/>
  <c r="BI873" i="33"/>
  <c r="G873" i="33"/>
  <c r="H873" i="33" s="1"/>
  <c r="J872" i="33"/>
  <c r="F872" i="33"/>
  <c r="BI870" i="33"/>
  <c r="K867" i="33"/>
  <c r="BI866" i="33"/>
  <c r="G866" i="33"/>
  <c r="BI865" i="33"/>
  <c r="G865" i="33"/>
  <c r="K865" i="33" s="1"/>
  <c r="BI864" i="33"/>
  <c r="E864" i="33"/>
  <c r="F864" i="33" s="1"/>
  <c r="K861" i="33"/>
  <c r="BI860" i="33"/>
  <c r="G860" i="33"/>
  <c r="BI859" i="33"/>
  <c r="G859" i="33"/>
  <c r="K859" i="33" s="1"/>
  <c r="F858" i="33"/>
  <c r="K856" i="33"/>
  <c r="BI855" i="33"/>
  <c r="G855" i="33"/>
  <c r="K855" i="33" s="1"/>
  <c r="BI854" i="33"/>
  <c r="G854" i="33"/>
  <c r="BI853" i="33"/>
  <c r="E853" i="33"/>
  <c r="K853" i="33" s="1"/>
  <c r="K850" i="33"/>
  <c r="BI849" i="33"/>
  <c r="G849" i="33"/>
  <c r="K849" i="33" s="1"/>
  <c r="BI848" i="33"/>
  <c r="G848" i="33"/>
  <c r="L847" i="33"/>
  <c r="K847" i="33"/>
  <c r="L846" i="33"/>
  <c r="K846" i="33"/>
  <c r="BI845" i="33"/>
  <c r="G845" i="33"/>
  <c r="H845" i="33" s="1"/>
  <c r="L845" i="33" s="1"/>
  <c r="BI844" i="33"/>
  <c r="G844" i="33"/>
  <c r="K844" i="33" s="1"/>
  <c r="L843" i="33"/>
  <c r="K843" i="33"/>
  <c r="BI842" i="33"/>
  <c r="E842" i="33"/>
  <c r="F842" i="33" s="1"/>
  <c r="K839" i="33"/>
  <c r="BI838" i="33"/>
  <c r="G838" i="33"/>
  <c r="H838" i="33" s="1"/>
  <c r="L838" i="33" s="1"/>
  <c r="BI837" i="33"/>
  <c r="G837" i="33"/>
  <c r="H837" i="33" s="1"/>
  <c r="BI836" i="33"/>
  <c r="K833" i="33"/>
  <c r="BI832" i="33"/>
  <c r="K832" i="33"/>
  <c r="H832" i="33"/>
  <c r="G832" i="33"/>
  <c r="BI831" i="33"/>
  <c r="G831" i="33"/>
  <c r="K831" i="33" s="1"/>
  <c r="BI830" i="33"/>
  <c r="E830" i="33"/>
  <c r="F830" i="33" s="1"/>
  <c r="BI827" i="33"/>
  <c r="G827" i="33"/>
  <c r="K827" i="33" s="1"/>
  <c r="BI826" i="33"/>
  <c r="G826" i="33"/>
  <c r="H826" i="33" s="1"/>
  <c r="L826" i="33" s="1"/>
  <c r="L825" i="33"/>
  <c r="K825" i="33"/>
  <c r="BI824" i="33"/>
  <c r="L824" i="33"/>
  <c r="G824" i="33"/>
  <c r="H824" i="33" s="1"/>
  <c r="BI823" i="33"/>
  <c r="G823" i="33"/>
  <c r="K823" i="33" s="1"/>
  <c r="L822" i="33"/>
  <c r="K822" i="33"/>
  <c r="BI821" i="33"/>
  <c r="G821" i="33"/>
  <c r="K821" i="33" s="1"/>
  <c r="BI820" i="33"/>
  <c r="G820" i="33"/>
  <c r="K820" i="33" s="1"/>
  <c r="L819" i="33"/>
  <c r="K819" i="33"/>
  <c r="BI818" i="33"/>
  <c r="E818" i="33"/>
  <c r="F818" i="33" s="1"/>
  <c r="J817" i="33"/>
  <c r="BI815" i="33"/>
  <c r="BI814" i="33"/>
  <c r="BI813" i="33"/>
  <c r="E813" i="33"/>
  <c r="F813" i="33" s="1"/>
  <c r="BI810" i="33"/>
  <c r="BI809" i="33"/>
  <c r="BI808" i="33"/>
  <c r="BI807" i="33"/>
  <c r="BI806" i="33"/>
  <c r="E806" i="33"/>
  <c r="K806" i="33" s="1"/>
  <c r="K803" i="33"/>
  <c r="BI802" i="33"/>
  <c r="G802" i="33"/>
  <c r="K802" i="33" s="1"/>
  <c r="BI801" i="33"/>
  <c r="G801" i="33"/>
  <c r="K801" i="33" s="1"/>
  <c r="BI800" i="33"/>
  <c r="E800" i="33"/>
  <c r="K797" i="33"/>
  <c r="BI796" i="33"/>
  <c r="G796" i="33"/>
  <c r="K796" i="33" s="1"/>
  <c r="BI795" i="33"/>
  <c r="H795" i="33"/>
  <c r="G795" i="33"/>
  <c r="K795" i="33" s="1"/>
  <c r="BI794" i="33"/>
  <c r="K791" i="33"/>
  <c r="BI790" i="33"/>
  <c r="G790" i="33"/>
  <c r="K790" i="33" s="1"/>
  <c r="BI789" i="33"/>
  <c r="G789" i="33"/>
  <c r="K789" i="33" s="1"/>
  <c r="BI788" i="33"/>
  <c r="E788" i="33"/>
  <c r="K785" i="33"/>
  <c r="K784" i="33"/>
  <c r="BI783" i="33"/>
  <c r="G783" i="33"/>
  <c r="K783" i="33" s="1"/>
  <c r="BI782" i="33"/>
  <c r="G782" i="33"/>
  <c r="K782" i="33" s="1"/>
  <c r="BI781" i="33"/>
  <c r="E781" i="33"/>
  <c r="F781" i="33" s="1"/>
  <c r="AB784" i="33" s="1"/>
  <c r="AD784" i="33" s="1"/>
  <c r="K778" i="33"/>
  <c r="BI777" i="33"/>
  <c r="G777" i="33"/>
  <c r="K777" i="33" s="1"/>
  <c r="BI776" i="33"/>
  <c r="G776" i="33"/>
  <c r="K776" i="33" s="1"/>
  <c r="H775" i="33"/>
  <c r="F775" i="33"/>
  <c r="K773" i="33"/>
  <c r="K772" i="33"/>
  <c r="BI771" i="33"/>
  <c r="G771" i="33"/>
  <c r="K771" i="33" s="1"/>
  <c r="BI770" i="33"/>
  <c r="G770" i="33"/>
  <c r="H770" i="33" s="1"/>
  <c r="BI769" i="33"/>
  <c r="K766" i="33"/>
  <c r="K765" i="33"/>
  <c r="BI764" i="33"/>
  <c r="G764" i="33"/>
  <c r="K764" i="33" s="1"/>
  <c r="BI763" i="33"/>
  <c r="K763" i="33"/>
  <c r="H763" i="33"/>
  <c r="L763" i="33" s="1"/>
  <c r="G763" i="33"/>
  <c r="BI762" i="33"/>
  <c r="E762" i="33"/>
  <c r="F762" i="33" s="1"/>
  <c r="K759" i="33"/>
  <c r="BI758" i="33"/>
  <c r="G758" i="33"/>
  <c r="K758" i="33" s="1"/>
  <c r="BI757" i="33"/>
  <c r="K754" i="33"/>
  <c r="BI753" i="33"/>
  <c r="G753" i="33"/>
  <c r="K753" i="33" s="1"/>
  <c r="BI752" i="33"/>
  <c r="G752" i="33"/>
  <c r="H752" i="33" s="1"/>
  <c r="BI751" i="33"/>
  <c r="E751" i="33"/>
  <c r="K751" i="33" s="1"/>
  <c r="K748" i="33"/>
  <c r="BI747" i="33"/>
  <c r="G747" i="33"/>
  <c r="K747" i="33" s="1"/>
  <c r="BI746" i="33"/>
  <c r="G746" i="33"/>
  <c r="H746" i="33" s="1"/>
  <c r="BI745" i="33"/>
  <c r="K742" i="33"/>
  <c r="BI741" i="33"/>
  <c r="G741" i="33"/>
  <c r="K741" i="33" s="1"/>
  <c r="BI740" i="33"/>
  <c r="G740" i="33"/>
  <c r="BI739" i="33"/>
  <c r="K736" i="33"/>
  <c r="BI735" i="33"/>
  <c r="G735" i="33"/>
  <c r="K735" i="33" s="1"/>
  <c r="BI734" i="33"/>
  <c r="G734" i="33"/>
  <c r="K734" i="33" s="1"/>
  <c r="BI733" i="33"/>
  <c r="E733" i="33"/>
  <c r="K733" i="33" s="1"/>
  <c r="K730" i="33"/>
  <c r="BI729" i="33"/>
  <c r="H729" i="33"/>
  <c r="L729" i="33" s="1"/>
  <c r="G729" i="33"/>
  <c r="K729" i="33" s="1"/>
  <c r="BI728" i="33"/>
  <c r="G728" i="33"/>
  <c r="K728" i="33" s="1"/>
  <c r="BI727" i="33"/>
  <c r="E727" i="33"/>
  <c r="F727" i="33" s="1"/>
  <c r="K724" i="33"/>
  <c r="BI723" i="33"/>
  <c r="G723" i="33"/>
  <c r="K723" i="33" s="1"/>
  <c r="BI722" i="33"/>
  <c r="G722" i="33"/>
  <c r="K722" i="33" s="1"/>
  <c r="BI721" i="33"/>
  <c r="E721" i="33"/>
  <c r="K721" i="33" s="1"/>
  <c r="K718" i="33"/>
  <c r="BI717" i="33"/>
  <c r="G717" i="33"/>
  <c r="K717" i="33" s="1"/>
  <c r="BI716" i="33"/>
  <c r="G716" i="33"/>
  <c r="BI715" i="33"/>
  <c r="K712" i="33"/>
  <c r="BI711" i="33"/>
  <c r="H711" i="33"/>
  <c r="G711" i="33"/>
  <c r="K711" i="33" s="1"/>
  <c r="BI710" i="33"/>
  <c r="K710" i="33"/>
  <c r="H710" i="33"/>
  <c r="G710" i="33"/>
  <c r="BI709" i="33"/>
  <c r="E709" i="33"/>
  <c r="K709" i="33" s="1"/>
  <c r="K706" i="33"/>
  <c r="BI705" i="33"/>
  <c r="G705" i="33"/>
  <c r="K705" i="33" s="1"/>
  <c r="BI704" i="33"/>
  <c r="G704" i="33"/>
  <c r="BI703" i="33"/>
  <c r="E703" i="33"/>
  <c r="K703" i="33" s="1"/>
  <c r="K700" i="33"/>
  <c r="BI699" i="33"/>
  <c r="G699" i="33"/>
  <c r="K699" i="33" s="1"/>
  <c r="BI698" i="33"/>
  <c r="K698" i="33"/>
  <c r="G698" i="33"/>
  <c r="H698" i="33" s="1"/>
  <c r="BI697" i="33"/>
  <c r="K694" i="33"/>
  <c r="BI693" i="33"/>
  <c r="G693" i="33"/>
  <c r="K693" i="33" s="1"/>
  <c r="BI692" i="33"/>
  <c r="G692" i="33"/>
  <c r="K692" i="33" s="1"/>
  <c r="BI691" i="33"/>
  <c r="E691" i="33"/>
  <c r="K691" i="33" s="1"/>
  <c r="K688" i="33"/>
  <c r="BI687" i="33"/>
  <c r="G687" i="33"/>
  <c r="K687" i="33" s="1"/>
  <c r="BI686" i="33"/>
  <c r="G686" i="33"/>
  <c r="H686" i="33" s="1"/>
  <c r="F685" i="33"/>
  <c r="K683" i="33"/>
  <c r="BI682" i="33"/>
  <c r="G682" i="33"/>
  <c r="K682" i="33" s="1"/>
  <c r="BI681" i="33"/>
  <c r="G681" i="33"/>
  <c r="K681" i="33" s="1"/>
  <c r="F680" i="33"/>
  <c r="BI678" i="33"/>
  <c r="K678" i="33"/>
  <c r="H678" i="33"/>
  <c r="G678" i="33"/>
  <c r="BI677" i="33"/>
  <c r="E677" i="33"/>
  <c r="K677" i="33" s="1"/>
  <c r="J676" i="33"/>
  <c r="BI674" i="33"/>
  <c r="G674" i="33"/>
  <c r="BI673" i="33"/>
  <c r="J672" i="33"/>
  <c r="K670" i="33"/>
  <c r="BI669" i="33"/>
  <c r="G669" i="33"/>
  <c r="K669" i="33" s="1"/>
  <c r="F668" i="33"/>
  <c r="K666" i="33"/>
  <c r="BI665" i="33"/>
  <c r="G665" i="33"/>
  <c r="H665" i="33" s="1"/>
  <c r="L665" i="33" s="1"/>
  <c r="BI664" i="33"/>
  <c r="L664" i="33"/>
  <c r="K664" i="33"/>
  <c r="H664" i="33"/>
  <c r="G664" i="33"/>
  <c r="L663" i="33"/>
  <c r="K663" i="33"/>
  <c r="L662" i="33"/>
  <c r="K662" i="33"/>
  <c r="BI661" i="33"/>
  <c r="G661" i="33"/>
  <c r="K661" i="33" s="1"/>
  <c r="BI660" i="33"/>
  <c r="G660" i="33"/>
  <c r="L659" i="33"/>
  <c r="K659" i="33"/>
  <c r="BI658" i="33"/>
  <c r="K655" i="33"/>
  <c r="BI654" i="33"/>
  <c r="G654" i="33"/>
  <c r="K654" i="33" s="1"/>
  <c r="BI653" i="33"/>
  <c r="G653" i="33"/>
  <c r="L652" i="33"/>
  <c r="K652" i="33"/>
  <c r="L651" i="33"/>
  <c r="K651" i="33"/>
  <c r="BI650" i="33"/>
  <c r="G650" i="33"/>
  <c r="K650" i="33" s="1"/>
  <c r="BI649" i="33"/>
  <c r="G649" i="33"/>
  <c r="K649" i="33" s="1"/>
  <c r="L648" i="33"/>
  <c r="K648" i="33"/>
  <c r="BI647" i="33"/>
  <c r="K644" i="33"/>
  <c r="BI643" i="33"/>
  <c r="G643" i="33"/>
  <c r="K643" i="33" s="1"/>
  <c r="BI642" i="33"/>
  <c r="G642" i="33"/>
  <c r="K642" i="33" s="1"/>
  <c r="L641" i="33"/>
  <c r="K641" i="33"/>
  <c r="L640" i="33"/>
  <c r="K640" i="33"/>
  <c r="BI639" i="33"/>
  <c r="H639" i="33"/>
  <c r="L639" i="33" s="1"/>
  <c r="G639" i="33"/>
  <c r="K639" i="33" s="1"/>
  <c r="BI638" i="33"/>
  <c r="K638" i="33"/>
  <c r="H638" i="33"/>
  <c r="G638" i="33"/>
  <c r="L637" i="33"/>
  <c r="K637" i="33"/>
  <c r="BI636" i="33"/>
  <c r="BI633" i="33"/>
  <c r="BI632" i="33"/>
  <c r="BI631" i="33"/>
  <c r="BI630" i="33"/>
  <c r="BI629" i="33"/>
  <c r="BI628" i="33"/>
  <c r="E628" i="33"/>
  <c r="F628" i="33" s="1"/>
  <c r="K625" i="33"/>
  <c r="BI624" i="33"/>
  <c r="G624" i="33"/>
  <c r="K624" i="33" s="1"/>
  <c r="BI623" i="33"/>
  <c r="K623" i="33"/>
  <c r="H623" i="33"/>
  <c r="L623" i="33" s="1"/>
  <c r="G623" i="33"/>
  <c r="BI622" i="33"/>
  <c r="K619" i="33"/>
  <c r="BI618" i="33"/>
  <c r="G618" i="33"/>
  <c r="BI617" i="33"/>
  <c r="BI616" i="33"/>
  <c r="BI615" i="33"/>
  <c r="E615" i="33"/>
  <c r="K615" i="33" s="1"/>
  <c r="K612" i="33"/>
  <c r="BI611" i="33"/>
  <c r="G611" i="33"/>
  <c r="BI610" i="33"/>
  <c r="BI609" i="33"/>
  <c r="BI608" i="33"/>
  <c r="E608" i="33"/>
  <c r="K608" i="33" s="1"/>
  <c r="K605" i="33"/>
  <c r="K604" i="33"/>
  <c r="BI603" i="33"/>
  <c r="G603" i="33"/>
  <c r="H603" i="33" s="1"/>
  <c r="L603" i="33" s="1"/>
  <c r="BI602" i="33"/>
  <c r="G602" i="33"/>
  <c r="K602" i="33" s="1"/>
  <c r="BI601" i="33"/>
  <c r="E601" i="33"/>
  <c r="K598" i="33"/>
  <c r="K597" i="33"/>
  <c r="BI596" i="33"/>
  <c r="G596" i="33"/>
  <c r="H596" i="33" s="1"/>
  <c r="L596" i="33" s="1"/>
  <c r="BI595" i="33"/>
  <c r="G595" i="33"/>
  <c r="L594" i="33"/>
  <c r="K594" i="33"/>
  <c r="L593" i="33"/>
  <c r="K593" i="33"/>
  <c r="BI592" i="33"/>
  <c r="G592" i="33"/>
  <c r="K592" i="33" s="1"/>
  <c r="BI591" i="33"/>
  <c r="G591" i="33"/>
  <c r="K591" i="33" s="1"/>
  <c r="BI590" i="33"/>
  <c r="E590" i="33"/>
  <c r="K590" i="33" s="1"/>
  <c r="L589" i="33"/>
  <c r="K589" i="33"/>
  <c r="K586" i="33"/>
  <c r="K585" i="33"/>
  <c r="BI584" i="33"/>
  <c r="G584" i="33"/>
  <c r="K584" i="33" s="1"/>
  <c r="BI583" i="33"/>
  <c r="G583" i="33"/>
  <c r="K583" i="33" s="1"/>
  <c r="BI582" i="33"/>
  <c r="E582" i="33"/>
  <c r="K582" i="33" s="1"/>
  <c r="K579" i="33"/>
  <c r="BI578" i="33"/>
  <c r="K578" i="33"/>
  <c r="H578" i="33"/>
  <c r="L578" i="33" s="1"/>
  <c r="G578" i="33"/>
  <c r="BI577" i="33"/>
  <c r="G577" i="33"/>
  <c r="K577" i="33" s="1"/>
  <c r="J576" i="33"/>
  <c r="K574" i="33"/>
  <c r="BI573" i="33"/>
  <c r="G573" i="33"/>
  <c r="H573" i="33" s="1"/>
  <c r="BI572" i="33"/>
  <c r="G572" i="33"/>
  <c r="K572" i="33" s="1"/>
  <c r="L571" i="33"/>
  <c r="K571" i="33"/>
  <c r="L570" i="33"/>
  <c r="K570" i="33"/>
  <c r="BI569" i="33"/>
  <c r="E569" i="33"/>
  <c r="K569" i="33" s="1"/>
  <c r="BI568" i="33"/>
  <c r="BI567" i="33"/>
  <c r="BI566" i="33"/>
  <c r="BI565" i="33"/>
  <c r="BI564" i="33"/>
  <c r="E564" i="33"/>
  <c r="F564" i="33" s="1"/>
  <c r="L564" i="33" s="1"/>
  <c r="BI563" i="33"/>
  <c r="E563" i="33"/>
  <c r="K563" i="33" s="1"/>
  <c r="BI562" i="33"/>
  <c r="E562" i="33"/>
  <c r="K562" i="33" s="1"/>
  <c r="L561" i="33"/>
  <c r="K561" i="33"/>
  <c r="J560" i="33"/>
  <c r="K558" i="33"/>
  <c r="K557" i="33"/>
  <c r="BI556" i="33"/>
  <c r="G556" i="33"/>
  <c r="H556" i="33" s="1"/>
  <c r="BI555" i="33"/>
  <c r="G555" i="33"/>
  <c r="H555" i="33" s="1"/>
  <c r="AB556" i="33" s="1"/>
  <c r="AD556" i="33" s="1"/>
  <c r="BI554" i="33"/>
  <c r="E554" i="33"/>
  <c r="K554" i="33" s="1"/>
  <c r="K551" i="33"/>
  <c r="K550" i="33"/>
  <c r="BI549" i="33"/>
  <c r="L549" i="33"/>
  <c r="K549" i="33"/>
  <c r="H549" i="33"/>
  <c r="G549" i="33"/>
  <c r="BI548" i="33"/>
  <c r="G548" i="33"/>
  <c r="K548" i="33" s="1"/>
  <c r="F547" i="33"/>
  <c r="BI545" i="33"/>
  <c r="BI544" i="33"/>
  <c r="E544" i="33"/>
  <c r="F544" i="33" s="1"/>
  <c r="L544" i="33" s="1"/>
  <c r="BI543" i="33"/>
  <c r="BI540" i="33"/>
  <c r="BI539" i="33"/>
  <c r="E539" i="33"/>
  <c r="K539" i="33" s="1"/>
  <c r="BI538" i="33"/>
  <c r="BI535" i="33"/>
  <c r="BI534" i="33"/>
  <c r="E534" i="33"/>
  <c r="K534" i="33" s="1"/>
  <c r="BI531" i="33"/>
  <c r="BI530" i="33"/>
  <c r="E530" i="33"/>
  <c r="K530" i="33" s="1"/>
  <c r="BI527" i="33"/>
  <c r="BI526" i="33"/>
  <c r="E526" i="33"/>
  <c r="K526" i="33" s="1"/>
  <c r="BI523" i="33"/>
  <c r="BI522" i="33"/>
  <c r="BI521" i="33"/>
  <c r="BI520" i="33"/>
  <c r="BI519" i="33"/>
  <c r="E519" i="33"/>
  <c r="K519" i="33" s="1"/>
  <c r="BI516" i="33"/>
  <c r="BI515" i="33"/>
  <c r="BI514" i="33"/>
  <c r="E514" i="33"/>
  <c r="BI513" i="33"/>
  <c r="BI512" i="33"/>
  <c r="E512" i="33"/>
  <c r="BI509" i="33"/>
  <c r="BI508" i="33"/>
  <c r="E508" i="33"/>
  <c r="K508" i="33" s="1"/>
  <c r="BI507" i="33"/>
  <c r="BI506" i="33"/>
  <c r="BI505" i="33"/>
  <c r="E505" i="33"/>
  <c r="F505" i="33" s="1"/>
  <c r="L505" i="33" s="1"/>
  <c r="BI502" i="33"/>
  <c r="BI501" i="33"/>
  <c r="BI500" i="33"/>
  <c r="E500" i="33"/>
  <c r="K500" i="33" s="1"/>
  <c r="BI499" i="33"/>
  <c r="BI498" i="33"/>
  <c r="E498" i="33"/>
  <c r="K498" i="33" s="1"/>
  <c r="K495" i="33"/>
  <c r="BI494" i="33"/>
  <c r="G494" i="33"/>
  <c r="H494" i="33" s="1"/>
  <c r="L494" i="33" s="1"/>
  <c r="BI493" i="33"/>
  <c r="G493" i="33"/>
  <c r="H493" i="33" s="1"/>
  <c r="BI492" i="33"/>
  <c r="E492" i="33"/>
  <c r="F492" i="33" s="1"/>
  <c r="F491" i="33" s="1"/>
  <c r="BI489" i="33"/>
  <c r="BI488" i="33"/>
  <c r="BI487" i="33"/>
  <c r="BI486" i="33"/>
  <c r="BI483" i="33"/>
  <c r="E483" i="33"/>
  <c r="BI482" i="33"/>
  <c r="BI481" i="33"/>
  <c r="BI480" i="33"/>
  <c r="K477" i="33"/>
  <c r="BI476" i="33"/>
  <c r="G476" i="33"/>
  <c r="BI475" i="33"/>
  <c r="G475" i="33"/>
  <c r="K475" i="33" s="1"/>
  <c r="BI474" i="33"/>
  <c r="E474" i="33"/>
  <c r="K474" i="33" s="1"/>
  <c r="BI473" i="33"/>
  <c r="E473" i="33"/>
  <c r="K473" i="33" s="1"/>
  <c r="K470" i="33"/>
  <c r="BI469" i="33"/>
  <c r="G469" i="33"/>
  <c r="BI468" i="33"/>
  <c r="G468" i="33"/>
  <c r="BI467" i="33"/>
  <c r="E467" i="33"/>
  <c r="K467" i="33" s="1"/>
  <c r="K464" i="33"/>
  <c r="BI463" i="33"/>
  <c r="G463" i="33"/>
  <c r="K463" i="33" s="1"/>
  <c r="BI462" i="33"/>
  <c r="G462" i="33"/>
  <c r="K462" i="33" s="1"/>
  <c r="BI461" i="33"/>
  <c r="E461" i="33"/>
  <c r="K461" i="33" s="1"/>
  <c r="K458" i="33"/>
  <c r="BI457" i="33"/>
  <c r="G457" i="33"/>
  <c r="BI456" i="33"/>
  <c r="G456" i="33"/>
  <c r="H456" i="33" s="1"/>
  <c r="L456" i="33" s="1"/>
  <c r="F455" i="33"/>
  <c r="BI453" i="33"/>
  <c r="G453" i="33"/>
  <c r="J452" i="33"/>
  <c r="F452" i="33"/>
  <c r="BI450" i="33"/>
  <c r="G450" i="33"/>
  <c r="J449" i="33"/>
  <c r="F449" i="33"/>
  <c r="K447" i="33"/>
  <c r="BI446" i="33"/>
  <c r="K446" i="33"/>
  <c r="H446" i="33"/>
  <c r="L446" i="33" s="1"/>
  <c r="G446" i="33"/>
  <c r="BI445" i="33"/>
  <c r="G445" i="33"/>
  <c r="F444" i="33"/>
  <c r="K442" i="33"/>
  <c r="BI441" i="33"/>
  <c r="G441" i="33"/>
  <c r="K441" i="33" s="1"/>
  <c r="BI440" i="33"/>
  <c r="G440" i="33"/>
  <c r="K440" i="33" s="1"/>
  <c r="F439" i="33"/>
  <c r="K437" i="33"/>
  <c r="BI436" i="33"/>
  <c r="G436" i="33"/>
  <c r="H436" i="33" s="1"/>
  <c r="F436" i="33"/>
  <c r="E436" i="33"/>
  <c r="BI435" i="33"/>
  <c r="G435" i="33"/>
  <c r="K435" i="33" s="1"/>
  <c r="BI434" i="33"/>
  <c r="L434" i="33"/>
  <c r="H434" i="33"/>
  <c r="G434" i="33"/>
  <c r="K434" i="33" s="1"/>
  <c r="BI431" i="33"/>
  <c r="E431" i="33"/>
  <c r="BI430" i="33"/>
  <c r="BI429" i="33"/>
  <c r="G429" i="33"/>
  <c r="H429" i="33" s="1"/>
  <c r="BI428" i="33"/>
  <c r="BI427" i="33"/>
  <c r="G427" i="33"/>
  <c r="K427" i="33" s="1"/>
  <c r="BI426" i="33"/>
  <c r="G426" i="33"/>
  <c r="K426" i="33" s="1"/>
  <c r="K423" i="33"/>
  <c r="K422" i="33"/>
  <c r="BI421" i="33"/>
  <c r="G421" i="33"/>
  <c r="K421" i="33" s="1"/>
  <c r="BI420" i="33"/>
  <c r="G420" i="33"/>
  <c r="H420" i="33" s="1"/>
  <c r="L420" i="33" s="1"/>
  <c r="BI419" i="33"/>
  <c r="E419" i="33"/>
  <c r="BI418" i="33"/>
  <c r="E418" i="33"/>
  <c r="F418" i="33" s="1"/>
  <c r="L418" i="33" s="1"/>
  <c r="BI417" i="33"/>
  <c r="E417" i="33"/>
  <c r="K417" i="33" s="1"/>
  <c r="BI416" i="33"/>
  <c r="E416" i="33"/>
  <c r="K416" i="33" s="1"/>
  <c r="BI415" i="33"/>
  <c r="J414" i="33"/>
  <c r="BI412" i="33"/>
  <c r="G412" i="33"/>
  <c r="J411" i="33"/>
  <c r="F411" i="33"/>
  <c r="BI409" i="33"/>
  <c r="G409" i="33"/>
  <c r="K409" i="33" s="1"/>
  <c r="BI408" i="33"/>
  <c r="E408" i="33"/>
  <c r="K408" i="33" s="1"/>
  <c r="J407" i="33"/>
  <c r="BI405" i="33"/>
  <c r="G405" i="33"/>
  <c r="K405" i="33" s="1"/>
  <c r="J404" i="33"/>
  <c r="F404" i="33"/>
  <c r="BI402" i="33"/>
  <c r="G402" i="33"/>
  <c r="K402" i="33" s="1"/>
  <c r="J401" i="33"/>
  <c r="F401" i="33"/>
  <c r="K399" i="33"/>
  <c r="BI398" i="33"/>
  <c r="G398" i="33"/>
  <c r="K398" i="33" s="1"/>
  <c r="BI397" i="33"/>
  <c r="G397" i="33"/>
  <c r="F396" i="33"/>
  <c r="K394" i="33"/>
  <c r="BI393" i="33"/>
  <c r="G393" i="33"/>
  <c r="BI392" i="33"/>
  <c r="K392" i="33"/>
  <c r="H392" i="33"/>
  <c r="L392" i="33" s="1"/>
  <c r="G392" i="33"/>
  <c r="F391" i="33"/>
  <c r="K389" i="33"/>
  <c r="BI388" i="33"/>
  <c r="G388" i="33"/>
  <c r="K388" i="33" s="1"/>
  <c r="F387" i="33"/>
  <c r="K385" i="33"/>
  <c r="BI384" i="33"/>
  <c r="G384" i="33"/>
  <c r="BI383" i="33"/>
  <c r="G383" i="33"/>
  <c r="H383" i="33" s="1"/>
  <c r="L383" i="33" s="1"/>
  <c r="BI382" i="33"/>
  <c r="K379" i="33"/>
  <c r="BI378" i="33"/>
  <c r="K378" i="33"/>
  <c r="G378" i="33"/>
  <c r="H378" i="33" s="1"/>
  <c r="BI377" i="33"/>
  <c r="L377" i="33"/>
  <c r="K377" i="33"/>
  <c r="G377" i="33"/>
  <c r="H377" i="33" s="1"/>
  <c r="BI376" i="33"/>
  <c r="F376" i="33"/>
  <c r="L376" i="33" s="1"/>
  <c r="E376" i="33"/>
  <c r="K376" i="33" s="1"/>
  <c r="K373" i="33"/>
  <c r="BI372" i="33"/>
  <c r="G372" i="33"/>
  <c r="K372" i="33" s="1"/>
  <c r="BI371" i="33"/>
  <c r="G371" i="33"/>
  <c r="H371" i="33" s="1"/>
  <c r="L371" i="33" s="1"/>
  <c r="F370" i="33"/>
  <c r="K368" i="33"/>
  <c r="BI367" i="33"/>
  <c r="G367" i="33"/>
  <c r="K367" i="33" s="1"/>
  <c r="BI366" i="33"/>
  <c r="G366" i="33"/>
  <c r="F365" i="33"/>
  <c r="K363" i="33"/>
  <c r="BI362" i="33"/>
  <c r="G362" i="33"/>
  <c r="K362" i="33" s="1"/>
  <c r="BI361" i="33"/>
  <c r="K361" i="33"/>
  <c r="H361" i="33"/>
  <c r="G361" i="33"/>
  <c r="BI360" i="33"/>
  <c r="K357" i="33"/>
  <c r="K356" i="33"/>
  <c r="BI355" i="33"/>
  <c r="G355" i="33"/>
  <c r="K355" i="33" s="1"/>
  <c r="BI354" i="33"/>
  <c r="G354" i="33"/>
  <c r="H354" i="33" s="1"/>
  <c r="BI353" i="33"/>
  <c r="G353" i="33"/>
  <c r="K353" i="33" s="1"/>
  <c r="BI352" i="33"/>
  <c r="G352" i="33"/>
  <c r="K352" i="33" s="1"/>
  <c r="K349" i="33"/>
  <c r="BI348" i="33"/>
  <c r="G348" i="33"/>
  <c r="K348" i="33" s="1"/>
  <c r="BI347" i="33"/>
  <c r="G347" i="33"/>
  <c r="K347" i="33" s="1"/>
  <c r="F346" i="33"/>
  <c r="BI344" i="33"/>
  <c r="G344" i="33"/>
  <c r="K344" i="33" s="1"/>
  <c r="BI343" i="33"/>
  <c r="G343" i="33"/>
  <c r="K343" i="33" s="1"/>
  <c r="BI342" i="33"/>
  <c r="E342" i="33"/>
  <c r="F342" i="33" s="1"/>
  <c r="L342" i="33" s="1"/>
  <c r="BI341" i="33"/>
  <c r="J340" i="33"/>
  <c r="BI338" i="33"/>
  <c r="E338" i="33"/>
  <c r="K338" i="33" s="1"/>
  <c r="J337" i="33"/>
  <c r="H337" i="33"/>
  <c r="F64" i="32" s="1"/>
  <c r="K335" i="33"/>
  <c r="BI334" i="33"/>
  <c r="G334" i="33"/>
  <c r="K334" i="33" s="1"/>
  <c r="BI333" i="33"/>
  <c r="G333" i="33"/>
  <c r="H333" i="33" s="1"/>
  <c r="L333" i="33" s="1"/>
  <c r="F332" i="33"/>
  <c r="BI330" i="33"/>
  <c r="G330" i="33"/>
  <c r="K330" i="33" s="1"/>
  <c r="BI329" i="33"/>
  <c r="G329" i="33"/>
  <c r="J328" i="33"/>
  <c r="F328" i="33"/>
  <c r="K326" i="33"/>
  <c r="BI325" i="33"/>
  <c r="G325" i="33"/>
  <c r="H325" i="33" s="1"/>
  <c r="L325" i="33" s="1"/>
  <c r="BI324" i="33"/>
  <c r="G324" i="33"/>
  <c r="K324" i="33" s="1"/>
  <c r="BI323" i="33"/>
  <c r="G323" i="33"/>
  <c r="H323" i="33" s="1"/>
  <c r="L323" i="33" s="1"/>
  <c r="BI322" i="33"/>
  <c r="G322" i="33"/>
  <c r="H322" i="33" s="1"/>
  <c r="L322" i="33" s="1"/>
  <c r="J321" i="33"/>
  <c r="F321" i="33"/>
  <c r="K319" i="33"/>
  <c r="BI318" i="33"/>
  <c r="G318" i="33"/>
  <c r="K318" i="33" s="1"/>
  <c r="BI317" i="33"/>
  <c r="G317" i="33"/>
  <c r="H317" i="33" s="1"/>
  <c r="J316" i="33"/>
  <c r="F316" i="33"/>
  <c r="K314" i="33"/>
  <c r="BI313" i="33"/>
  <c r="G313" i="33"/>
  <c r="K313" i="33" s="1"/>
  <c r="BI312" i="33"/>
  <c r="L312" i="33"/>
  <c r="K312" i="33"/>
  <c r="G312" i="33"/>
  <c r="H312" i="33" s="1"/>
  <c r="J311" i="33"/>
  <c r="F311" i="33"/>
  <c r="K309" i="33"/>
  <c r="BI308" i="33"/>
  <c r="G308" i="33"/>
  <c r="K308" i="33" s="1"/>
  <c r="BI307" i="33"/>
  <c r="G307" i="33"/>
  <c r="K307" i="33" s="1"/>
  <c r="J306" i="33"/>
  <c r="F306" i="33"/>
  <c r="K304" i="33"/>
  <c r="BI303" i="33"/>
  <c r="G303" i="33"/>
  <c r="K303" i="33" s="1"/>
  <c r="BI302" i="33"/>
  <c r="K302" i="33"/>
  <c r="H302" i="33"/>
  <c r="L302" i="33" s="1"/>
  <c r="G302" i="33"/>
  <c r="J301" i="33"/>
  <c r="F301" i="33"/>
  <c r="K299" i="33"/>
  <c r="BI298" i="33"/>
  <c r="G298" i="33"/>
  <c r="K298" i="33" s="1"/>
  <c r="BI297" i="33"/>
  <c r="G297" i="33"/>
  <c r="J296" i="33"/>
  <c r="F296" i="33"/>
  <c r="K294" i="33"/>
  <c r="BI293" i="33"/>
  <c r="G293" i="33"/>
  <c r="K293" i="33" s="1"/>
  <c r="BI292" i="33"/>
  <c r="K292" i="33"/>
  <c r="H292" i="33"/>
  <c r="L292" i="33" s="1"/>
  <c r="G292" i="33"/>
  <c r="J291" i="33"/>
  <c r="F291" i="33"/>
  <c r="K289" i="33"/>
  <c r="BI288" i="33"/>
  <c r="H288" i="33"/>
  <c r="L288" i="33" s="1"/>
  <c r="G288" i="33"/>
  <c r="K288" i="33" s="1"/>
  <c r="BI287" i="33"/>
  <c r="G287" i="33"/>
  <c r="K287" i="33" s="1"/>
  <c r="J286" i="33"/>
  <c r="F286" i="33"/>
  <c r="K284" i="33"/>
  <c r="BI283" i="33"/>
  <c r="G283" i="33"/>
  <c r="K283" i="33" s="1"/>
  <c r="BI282" i="33"/>
  <c r="G282" i="33"/>
  <c r="H282" i="33" s="1"/>
  <c r="L282" i="33" s="1"/>
  <c r="J281" i="33"/>
  <c r="F281" i="33"/>
  <c r="I279" i="33"/>
  <c r="J279" i="33" s="1"/>
  <c r="H279" i="33"/>
  <c r="G279" i="33"/>
  <c r="E279" i="33"/>
  <c r="K279" i="33" s="1"/>
  <c r="J278" i="33"/>
  <c r="H278" i="33"/>
  <c r="I276" i="33"/>
  <c r="J276" i="33" s="1"/>
  <c r="J275" i="33" s="1"/>
  <c r="G276" i="33"/>
  <c r="H276" i="33" s="1"/>
  <c r="F276" i="33"/>
  <c r="E276" i="33"/>
  <c r="K276" i="33" s="1"/>
  <c r="H275" i="33"/>
  <c r="J273" i="33"/>
  <c r="J272" i="33" s="1"/>
  <c r="G50" i="32" s="1"/>
  <c r="I273" i="33"/>
  <c r="K273" i="33" s="1"/>
  <c r="H273" i="33"/>
  <c r="G273" i="33"/>
  <c r="E273" i="33"/>
  <c r="F273" i="33" s="1"/>
  <c r="F272" i="33" s="1"/>
  <c r="I270" i="33"/>
  <c r="J270" i="33" s="1"/>
  <c r="J269" i="33" s="1"/>
  <c r="G270" i="33"/>
  <c r="H270" i="33" s="1"/>
  <c r="F270" i="33"/>
  <c r="L270" i="33" s="1"/>
  <c r="E270" i="33"/>
  <c r="K270" i="33" s="1"/>
  <c r="H269" i="33"/>
  <c r="F269" i="33"/>
  <c r="BI267" i="33"/>
  <c r="BI266" i="33"/>
  <c r="E266" i="33"/>
  <c r="K266" i="33" s="1"/>
  <c r="BI263" i="33"/>
  <c r="BI262" i="33"/>
  <c r="BI261" i="33"/>
  <c r="F261" i="33"/>
  <c r="E261" i="33"/>
  <c r="BI260" i="33"/>
  <c r="E260" i="33"/>
  <c r="K260" i="33" s="1"/>
  <c r="BI259" i="33"/>
  <c r="BI258" i="33"/>
  <c r="BI257" i="33"/>
  <c r="BI256" i="33"/>
  <c r="BI255" i="33"/>
  <c r="E255" i="33"/>
  <c r="K255" i="33" s="1"/>
  <c r="BI254" i="33"/>
  <c r="BI253" i="33"/>
  <c r="E253" i="33"/>
  <c r="BI250" i="33"/>
  <c r="BI249" i="33"/>
  <c r="BI248" i="33"/>
  <c r="E248" i="33"/>
  <c r="BI247" i="33"/>
  <c r="E247" i="33"/>
  <c r="K247" i="33" s="1"/>
  <c r="BI246" i="33"/>
  <c r="BI245" i="33"/>
  <c r="BI244" i="33"/>
  <c r="BI243" i="33"/>
  <c r="BI242" i="33"/>
  <c r="E242" i="33"/>
  <c r="K242" i="33" s="1"/>
  <c r="BI241" i="33"/>
  <c r="BI240" i="33"/>
  <c r="BI239" i="33"/>
  <c r="BI238" i="33"/>
  <c r="E238" i="33"/>
  <c r="K238" i="33" s="1"/>
  <c r="BI237" i="33"/>
  <c r="E237" i="33"/>
  <c r="BI236" i="33"/>
  <c r="BI235" i="33"/>
  <c r="E235" i="33"/>
  <c r="BI232" i="33"/>
  <c r="BI231" i="33"/>
  <c r="BI230" i="33"/>
  <c r="E230" i="33"/>
  <c r="BI229" i="33"/>
  <c r="BI228" i="33"/>
  <c r="BI227" i="33"/>
  <c r="E227" i="33"/>
  <c r="K227" i="33" s="1"/>
  <c r="BI226" i="33"/>
  <c r="E226" i="33"/>
  <c r="K226" i="33" s="1"/>
  <c r="BI225" i="33"/>
  <c r="E225" i="33"/>
  <c r="F225" i="33" s="1"/>
  <c r="L225" i="33" s="1"/>
  <c r="BI224" i="33"/>
  <c r="BI223" i="33"/>
  <c r="BI222" i="33"/>
  <c r="E222" i="33"/>
  <c r="BI219" i="33"/>
  <c r="BI218" i="33"/>
  <c r="BI217" i="33"/>
  <c r="BI216" i="33"/>
  <c r="J216" i="33"/>
  <c r="I216" i="33"/>
  <c r="BI215" i="33"/>
  <c r="BI214" i="33"/>
  <c r="BI211" i="33"/>
  <c r="BI210" i="33"/>
  <c r="BI209" i="33"/>
  <c r="BI208" i="33"/>
  <c r="J208" i="33"/>
  <c r="I208" i="33"/>
  <c r="E208" i="33"/>
  <c r="BI207" i="33"/>
  <c r="E207" i="33"/>
  <c r="K207" i="33" s="1"/>
  <c r="BI206" i="33"/>
  <c r="BI203" i="33"/>
  <c r="BI202" i="33"/>
  <c r="BI201" i="33"/>
  <c r="BI200" i="33"/>
  <c r="I200" i="33"/>
  <c r="J200" i="33" s="1"/>
  <c r="BI199" i="33"/>
  <c r="BI198" i="33"/>
  <c r="BI195" i="33"/>
  <c r="BI194" i="33"/>
  <c r="I194" i="33"/>
  <c r="J194" i="33" s="1"/>
  <c r="BI193" i="33"/>
  <c r="BI192" i="33"/>
  <c r="J192" i="33"/>
  <c r="I192" i="33"/>
  <c r="BI191" i="33"/>
  <c r="E191" i="33"/>
  <c r="F191" i="33" s="1"/>
  <c r="L191" i="33" s="1"/>
  <c r="BI190" i="33"/>
  <c r="E190" i="33"/>
  <c r="K190" i="33" s="1"/>
  <c r="BI187" i="33"/>
  <c r="BI186" i="33"/>
  <c r="BI185" i="33"/>
  <c r="BI184" i="33"/>
  <c r="I184" i="33"/>
  <c r="J184" i="33" s="1"/>
  <c r="BI183" i="33"/>
  <c r="BI182" i="33"/>
  <c r="BI179" i="33"/>
  <c r="BI178" i="33"/>
  <c r="BI177" i="33"/>
  <c r="BI176" i="33"/>
  <c r="I176" i="33"/>
  <c r="J176" i="33" s="1"/>
  <c r="BI175" i="33"/>
  <c r="BI174" i="33"/>
  <c r="BI171" i="33"/>
  <c r="BI170" i="33"/>
  <c r="I170" i="33"/>
  <c r="J170" i="33" s="1"/>
  <c r="BI169" i="33"/>
  <c r="BI168" i="33"/>
  <c r="BI167" i="33"/>
  <c r="BI166" i="33"/>
  <c r="BI163" i="33"/>
  <c r="BI162" i="33"/>
  <c r="I162" i="33"/>
  <c r="J162" i="33" s="1"/>
  <c r="BI161" i="33"/>
  <c r="F161" i="33"/>
  <c r="E161" i="33"/>
  <c r="BI160" i="33"/>
  <c r="BI159" i="33"/>
  <c r="BI158" i="33"/>
  <c r="E158" i="33"/>
  <c r="K158" i="33" s="1"/>
  <c r="BI155" i="33"/>
  <c r="BI154" i="33"/>
  <c r="J154" i="33"/>
  <c r="I154" i="33"/>
  <c r="BI153" i="33"/>
  <c r="BI152" i="33"/>
  <c r="BI151" i="33"/>
  <c r="BI150" i="33"/>
  <c r="BI147" i="33"/>
  <c r="BI146" i="33"/>
  <c r="BI145" i="33"/>
  <c r="E145" i="33"/>
  <c r="BI144" i="33"/>
  <c r="BI143" i="33"/>
  <c r="BI142" i="33"/>
  <c r="E142" i="33"/>
  <c r="F142" i="33" s="1"/>
  <c r="L142" i="33" s="1"/>
  <c r="BI139" i="33"/>
  <c r="BI138" i="33"/>
  <c r="BI137" i="33"/>
  <c r="BI136" i="33"/>
  <c r="J136" i="33"/>
  <c r="I136" i="33"/>
  <c r="E136" i="33"/>
  <c r="BI135" i="33"/>
  <c r="BI134" i="33"/>
  <c r="E134" i="33"/>
  <c r="K134" i="33" s="1"/>
  <c r="BI131" i="33"/>
  <c r="I131" i="33"/>
  <c r="J131" i="33" s="1"/>
  <c r="BI130" i="33"/>
  <c r="BI129" i="33"/>
  <c r="BI128" i="33"/>
  <c r="E128" i="33"/>
  <c r="BI127" i="33"/>
  <c r="BI126" i="33"/>
  <c r="E126" i="33"/>
  <c r="K126" i="33" s="1"/>
  <c r="BI123" i="33"/>
  <c r="E123" i="33"/>
  <c r="K123" i="33" s="1"/>
  <c r="J122" i="33"/>
  <c r="H122" i="33"/>
  <c r="K120" i="33"/>
  <c r="BI119" i="33"/>
  <c r="G119" i="33"/>
  <c r="BI118" i="33"/>
  <c r="G118" i="33"/>
  <c r="BI117" i="33"/>
  <c r="J116" i="33"/>
  <c r="G31" i="32" s="1"/>
  <c r="K114" i="33"/>
  <c r="F114" i="33"/>
  <c r="L114" i="33" s="1"/>
  <c r="BI113" i="33"/>
  <c r="K113" i="33"/>
  <c r="H113" i="33"/>
  <c r="L113" i="33" s="1"/>
  <c r="G113" i="33"/>
  <c r="BI112" i="33"/>
  <c r="E112" i="33"/>
  <c r="J111" i="33"/>
  <c r="I109" i="33"/>
  <c r="J109" i="33" s="1"/>
  <c r="J108" i="33" s="1"/>
  <c r="G109" i="33"/>
  <c r="H109" i="33" s="1"/>
  <c r="H108" i="33" s="1"/>
  <c r="F29" i="32" s="1"/>
  <c r="G287" i="31" s="1"/>
  <c r="F109" i="33"/>
  <c r="E109" i="33"/>
  <c r="K106" i="33"/>
  <c r="BI105" i="33"/>
  <c r="G105" i="33"/>
  <c r="H105" i="33" s="1"/>
  <c r="L105" i="33" s="1"/>
  <c r="BI104" i="33"/>
  <c r="G104" i="33"/>
  <c r="K104" i="33" s="1"/>
  <c r="F103" i="33"/>
  <c r="K101" i="33"/>
  <c r="BI100" i="33"/>
  <c r="G100" i="33"/>
  <c r="K100" i="33" s="1"/>
  <c r="BI99" i="33"/>
  <c r="G99" i="33"/>
  <c r="F98" i="33"/>
  <c r="E27" i="32" s="1"/>
  <c r="BI96" i="33"/>
  <c r="F96" i="33"/>
  <c r="F95" i="33" s="1"/>
  <c r="E96" i="33"/>
  <c r="BI93" i="33"/>
  <c r="J92" i="33"/>
  <c r="G25" i="32" s="1"/>
  <c r="I67" i="31" s="1"/>
  <c r="J67" i="31" s="1"/>
  <c r="BI90" i="33"/>
  <c r="BI87" i="33"/>
  <c r="E87" i="33"/>
  <c r="F87" i="33" s="1"/>
  <c r="F86" i="33"/>
  <c r="BI84" i="33"/>
  <c r="BI81" i="33"/>
  <c r="J81" i="33"/>
  <c r="J80" i="33" s="1"/>
  <c r="I81" i="33"/>
  <c r="BI78" i="33"/>
  <c r="BI75" i="33"/>
  <c r="E75" i="33"/>
  <c r="BI72" i="33"/>
  <c r="E72" i="33"/>
  <c r="F72" i="33" s="1"/>
  <c r="F71" i="33" s="1"/>
  <c r="E18" i="32" s="1"/>
  <c r="E60" i="31" s="1"/>
  <c r="BI69" i="33"/>
  <c r="BI66" i="33"/>
  <c r="J65" i="33"/>
  <c r="G16" i="32" s="1"/>
  <c r="BI63" i="33"/>
  <c r="BI60" i="33"/>
  <c r="BI57" i="33"/>
  <c r="G57" i="33"/>
  <c r="K57" i="33" s="1"/>
  <c r="J56" i="33"/>
  <c r="G13" i="32" s="1"/>
  <c r="I53" i="31" s="1"/>
  <c r="J53" i="31" s="1"/>
  <c r="J52" i="31" s="1"/>
  <c r="F56" i="33"/>
  <c r="K54" i="33"/>
  <c r="BI53" i="33"/>
  <c r="G53" i="33"/>
  <c r="H53" i="33" s="1"/>
  <c r="BI52" i="33"/>
  <c r="G52" i="33"/>
  <c r="K52" i="33" s="1"/>
  <c r="BI51" i="33"/>
  <c r="K48" i="33"/>
  <c r="BI47" i="33"/>
  <c r="G47" i="33"/>
  <c r="BI46" i="33"/>
  <c r="K46" i="33"/>
  <c r="G46" i="33"/>
  <c r="H46" i="33" s="1"/>
  <c r="L46" i="33" s="1"/>
  <c r="BI45" i="33"/>
  <c r="E45" i="33"/>
  <c r="K45" i="33" s="1"/>
  <c r="K42" i="33"/>
  <c r="BI41" i="33"/>
  <c r="G41" i="33"/>
  <c r="K41" i="33" s="1"/>
  <c r="BI40" i="33"/>
  <c r="G40" i="33"/>
  <c r="K40" i="33" s="1"/>
  <c r="F39" i="33"/>
  <c r="K37" i="33"/>
  <c r="K36" i="33"/>
  <c r="BI35" i="33"/>
  <c r="G35" i="33"/>
  <c r="K35" i="33" s="1"/>
  <c r="BI34" i="33"/>
  <c r="G34" i="33"/>
  <c r="K34" i="33" s="1"/>
  <c r="BI33" i="33"/>
  <c r="G33" i="33"/>
  <c r="K33" i="33" s="1"/>
  <c r="BI32" i="33"/>
  <c r="G32" i="33"/>
  <c r="K32" i="33" s="1"/>
  <c r="K29" i="33"/>
  <c r="BI28" i="33"/>
  <c r="G28" i="33"/>
  <c r="K28" i="33" s="1"/>
  <c r="F27" i="33"/>
  <c r="K25" i="33"/>
  <c r="BI24" i="33"/>
  <c r="G24" i="33"/>
  <c r="H24" i="33" s="1"/>
  <c r="J23" i="33"/>
  <c r="BI21" i="33"/>
  <c r="E21" i="33"/>
  <c r="F21" i="33" s="1"/>
  <c r="L21" i="33" s="1"/>
  <c r="BI20" i="33"/>
  <c r="BI17" i="33"/>
  <c r="J16" i="33"/>
  <c r="H16" i="33"/>
  <c r="BI14" i="33"/>
  <c r="BI13" i="33"/>
  <c r="BI12" i="33"/>
  <c r="E12" i="33"/>
  <c r="BI11" i="33"/>
  <c r="BI10" i="33"/>
  <c r="BI9" i="33"/>
  <c r="E9" i="33"/>
  <c r="K9" i="33" s="1"/>
  <c r="BI8" i="33"/>
  <c r="BI5" i="33"/>
  <c r="J4" i="33"/>
  <c r="H4" i="33"/>
  <c r="AA157" i="32"/>
  <c r="G157" i="32"/>
  <c r="I870" i="33" s="1"/>
  <c r="J870" i="33" s="1"/>
  <c r="J869" i="33" s="1"/>
  <c r="G150" i="32" s="1"/>
  <c r="F157" i="32"/>
  <c r="G870" i="33" s="1"/>
  <c r="H870" i="33" s="1"/>
  <c r="H869" i="33" s="1"/>
  <c r="F150" i="32" s="1"/>
  <c r="AA156" i="32"/>
  <c r="E156" i="32"/>
  <c r="E814" i="33" s="1"/>
  <c r="F814" i="33" s="1"/>
  <c r="AA155" i="32"/>
  <c r="AA154" i="32"/>
  <c r="AA153" i="32"/>
  <c r="E153" i="32"/>
  <c r="AA152" i="32"/>
  <c r="AA151" i="32"/>
  <c r="G151" i="32"/>
  <c r="I483" i="33" s="1"/>
  <c r="J483" i="33" s="1"/>
  <c r="E151" i="32"/>
  <c r="E489" i="33" s="1"/>
  <c r="F489" i="33" s="1"/>
  <c r="AA150" i="32"/>
  <c r="AA149" i="32"/>
  <c r="AA148" i="32"/>
  <c r="E148" i="32"/>
  <c r="AA147" i="32"/>
  <c r="AA146" i="32"/>
  <c r="AA145" i="32"/>
  <c r="AA144" i="32"/>
  <c r="AA143" i="32"/>
  <c r="G143" i="32"/>
  <c r="AA142" i="32"/>
  <c r="AA141" i="32"/>
  <c r="AA140" i="32"/>
  <c r="AA139" i="32"/>
  <c r="AA138" i="32"/>
  <c r="AA137" i="32"/>
  <c r="AA136" i="32"/>
  <c r="F136" i="32"/>
  <c r="E136" i="32"/>
  <c r="AA135" i="32"/>
  <c r="AA134" i="32"/>
  <c r="AA133" i="32"/>
  <c r="AA132" i="32"/>
  <c r="AA131" i="32"/>
  <c r="AA130" i="32"/>
  <c r="AA129" i="32"/>
  <c r="AA128" i="32"/>
  <c r="AA127" i="32"/>
  <c r="AA126" i="32"/>
  <c r="AA125" i="32"/>
  <c r="AA124" i="32"/>
  <c r="AA123" i="32"/>
  <c r="AA122" i="32"/>
  <c r="AA121" i="32"/>
  <c r="E121" i="32"/>
  <c r="AA120" i="32"/>
  <c r="E120" i="32"/>
  <c r="AA119" i="32"/>
  <c r="G119" i="32"/>
  <c r="AA118" i="32"/>
  <c r="G118" i="32"/>
  <c r="AA117" i="32"/>
  <c r="E117" i="32"/>
  <c r="AA116" i="32"/>
  <c r="AA115" i="32"/>
  <c r="AA114" i="32"/>
  <c r="AA113" i="32"/>
  <c r="AA112" i="32"/>
  <c r="AA111" i="32"/>
  <c r="AA110" i="32"/>
  <c r="AA109" i="32"/>
  <c r="AA108" i="32"/>
  <c r="AA107" i="32"/>
  <c r="AA106" i="32"/>
  <c r="G106" i="32"/>
  <c r="AA105" i="32"/>
  <c r="G105" i="32"/>
  <c r="AA104" i="32"/>
  <c r="AA103" i="32"/>
  <c r="E103" i="32"/>
  <c r="AA102" i="32"/>
  <c r="AA101" i="32"/>
  <c r="AA100" i="32"/>
  <c r="AA99" i="32"/>
  <c r="AA98" i="32"/>
  <c r="AA97" i="32"/>
  <c r="AA96" i="32"/>
  <c r="AA95" i="32"/>
  <c r="AA94" i="32"/>
  <c r="AA93" i="32"/>
  <c r="AA92" i="32"/>
  <c r="AA91" i="32"/>
  <c r="AA90" i="32"/>
  <c r="AA89" i="32"/>
  <c r="AA88" i="32"/>
  <c r="AA87" i="32"/>
  <c r="E87" i="32"/>
  <c r="AA86" i="32"/>
  <c r="G86" i="32"/>
  <c r="E86" i="32"/>
  <c r="AA85" i="32"/>
  <c r="G85" i="32"/>
  <c r="E85" i="32"/>
  <c r="AA84" i="32"/>
  <c r="E84" i="32"/>
  <c r="AA83" i="32"/>
  <c r="E83" i="32"/>
  <c r="AA82" i="32"/>
  <c r="AA81" i="32"/>
  <c r="AA80" i="32"/>
  <c r="G80" i="32"/>
  <c r="AA79" i="32"/>
  <c r="G79" i="32"/>
  <c r="E79" i="32"/>
  <c r="AA78" i="32"/>
  <c r="G78" i="32"/>
  <c r="AA77" i="32"/>
  <c r="G77" i="32"/>
  <c r="E77" i="32"/>
  <c r="AA76" i="32"/>
  <c r="G76" i="32"/>
  <c r="E76" i="32"/>
  <c r="AA75" i="32"/>
  <c r="E75" i="32"/>
  <c r="AA74" i="32"/>
  <c r="E74" i="32"/>
  <c r="AA73" i="32"/>
  <c r="E73" i="32"/>
  <c r="AA72" i="32"/>
  <c r="AA71" i="32"/>
  <c r="AA70" i="32"/>
  <c r="E70" i="32"/>
  <c r="E258" i="33" s="1"/>
  <c r="AA69" i="32"/>
  <c r="E69" i="32"/>
  <c r="AA68" i="32"/>
  <c r="AA67" i="32"/>
  <c r="AA66" i="32"/>
  <c r="E66" i="32"/>
  <c r="AA65" i="32"/>
  <c r="G65" i="32"/>
  <c r="I203" i="33" s="1"/>
  <c r="J203" i="33" s="1"/>
  <c r="AA64" i="32"/>
  <c r="G64" i="32"/>
  <c r="I202" i="33" s="1"/>
  <c r="J202" i="33" s="1"/>
  <c r="AA63" i="32"/>
  <c r="E63" i="32"/>
  <c r="AA62" i="32"/>
  <c r="G62" i="32"/>
  <c r="E62" i="32"/>
  <c r="AA61" i="32"/>
  <c r="G61" i="32"/>
  <c r="I96" i="33" s="1"/>
  <c r="J96" i="33" s="1"/>
  <c r="J95" i="33" s="1"/>
  <c r="G26" i="32" s="1"/>
  <c r="E61" i="32"/>
  <c r="AA60" i="32"/>
  <c r="G60" i="32"/>
  <c r="I93" i="33" s="1"/>
  <c r="J93" i="33" s="1"/>
  <c r="E60" i="32"/>
  <c r="E93" i="33" s="1"/>
  <c r="AA59" i="32"/>
  <c r="G59" i="32"/>
  <c r="E59" i="32"/>
  <c r="E84" i="33" s="1"/>
  <c r="AA58" i="32"/>
  <c r="G58" i="32"/>
  <c r="I75" i="33" s="1"/>
  <c r="J75" i="33" s="1"/>
  <c r="J74" i="33" s="1"/>
  <c r="G19" i="32" s="1"/>
  <c r="E58" i="32"/>
  <c r="AA57" i="32"/>
  <c r="G57" i="32"/>
  <c r="E57" i="32"/>
  <c r="AA56" i="32"/>
  <c r="G56" i="32"/>
  <c r="I78" i="33" s="1"/>
  <c r="J78" i="33" s="1"/>
  <c r="J77" i="33" s="1"/>
  <c r="E56" i="32"/>
  <c r="AA55" i="32"/>
  <c r="G55" i="32"/>
  <c r="I66" i="33" s="1"/>
  <c r="J66" i="33" s="1"/>
  <c r="E55" i="32"/>
  <c r="AA54" i="32"/>
  <c r="G54" i="32"/>
  <c r="I63" i="33" s="1"/>
  <c r="J63" i="33" s="1"/>
  <c r="J62" i="33" s="1"/>
  <c r="G15" i="32" s="1"/>
  <c r="I57" i="31" s="1"/>
  <c r="J57" i="31" s="1"/>
  <c r="E54" i="32"/>
  <c r="E63" i="33" s="1"/>
  <c r="F63" i="33" s="1"/>
  <c r="AA53" i="32"/>
  <c r="G53" i="32"/>
  <c r="I60" i="33" s="1"/>
  <c r="J60" i="33" s="1"/>
  <c r="J59" i="33" s="1"/>
  <c r="E53" i="32"/>
  <c r="E60" i="33" s="1"/>
  <c r="AA52" i="32"/>
  <c r="G52" i="32"/>
  <c r="F52" i="32"/>
  <c r="AA51" i="32"/>
  <c r="G51" i="32"/>
  <c r="F51" i="32"/>
  <c r="AA50" i="32"/>
  <c r="E50" i="32"/>
  <c r="AA49" i="32"/>
  <c r="G49" i="32"/>
  <c r="F49" i="32"/>
  <c r="G356" i="31" s="1"/>
  <c r="AA48" i="32"/>
  <c r="AA47" i="32"/>
  <c r="AA46" i="32"/>
  <c r="AA45" i="32"/>
  <c r="AA44" i="32"/>
  <c r="AA43" i="32"/>
  <c r="AA42" i="32"/>
  <c r="AA41" i="32"/>
  <c r="AA40" i="32"/>
  <c r="AA39" i="32"/>
  <c r="AA38" i="32"/>
  <c r="AA37" i="32"/>
  <c r="AA36" i="32"/>
  <c r="AA35" i="32"/>
  <c r="AA34" i="32"/>
  <c r="AA33" i="32"/>
  <c r="AA32" i="32"/>
  <c r="G32" i="32"/>
  <c r="F32" i="32"/>
  <c r="AA31" i="32"/>
  <c r="AA30" i="32"/>
  <c r="G30" i="32"/>
  <c r="AA29" i="32"/>
  <c r="G29" i="32"/>
  <c r="AA28" i="32"/>
  <c r="E28" i="32"/>
  <c r="AA27" i="32"/>
  <c r="AA26" i="32"/>
  <c r="E26" i="32"/>
  <c r="AA25" i="32"/>
  <c r="AA24" i="32"/>
  <c r="AA23" i="32"/>
  <c r="E23" i="32"/>
  <c r="AA22" i="32"/>
  <c r="AA21" i="32"/>
  <c r="G21" i="32"/>
  <c r="AA20" i="32"/>
  <c r="G20" i="32"/>
  <c r="I62" i="31" s="1"/>
  <c r="J62" i="31" s="1"/>
  <c r="AA19" i="32"/>
  <c r="AA18" i="32"/>
  <c r="AA17" i="32"/>
  <c r="AA16" i="32"/>
  <c r="AA15" i="32"/>
  <c r="AA14" i="32"/>
  <c r="G14" i="32"/>
  <c r="AA13" i="32"/>
  <c r="AA12" i="32"/>
  <c r="AA11" i="32"/>
  <c r="AA10" i="32"/>
  <c r="E10" i="32"/>
  <c r="AA9" i="32"/>
  <c r="AA8" i="32"/>
  <c r="E8" i="32"/>
  <c r="AA7" i="32"/>
  <c r="G7" i="32"/>
  <c r="I8" i="33" s="1"/>
  <c r="J8" i="33" s="1"/>
  <c r="AA6" i="32"/>
  <c r="AA5" i="32"/>
  <c r="G5" i="32"/>
  <c r="F5" i="32"/>
  <c r="AA4" i="32"/>
  <c r="AA3" i="32"/>
  <c r="G3" i="32"/>
  <c r="I21" i="31" s="1"/>
  <c r="J21" i="31" s="1"/>
  <c r="F3" i="32"/>
  <c r="G21" i="31" s="1"/>
  <c r="H21" i="31" s="1"/>
  <c r="BJ420" i="31"/>
  <c r="E420" i="31"/>
  <c r="BJ419" i="31"/>
  <c r="E419" i="31"/>
  <c r="BJ418" i="31"/>
  <c r="E418" i="31"/>
  <c r="BJ417" i="31"/>
  <c r="E417" i="31"/>
  <c r="F417" i="31" s="1"/>
  <c r="BJ416" i="31"/>
  <c r="E416" i="31"/>
  <c r="BJ415" i="31"/>
  <c r="BJ414" i="31"/>
  <c r="G375" i="31"/>
  <c r="BJ411" i="31"/>
  <c r="BJ410" i="31"/>
  <c r="BJ409" i="31"/>
  <c r="BJ408" i="31"/>
  <c r="BJ407" i="31"/>
  <c r="E407" i="31"/>
  <c r="BJ406" i="31"/>
  <c r="E406" i="31"/>
  <c r="BJ405" i="31"/>
  <c r="E405" i="31"/>
  <c r="BJ404" i="31"/>
  <c r="E404" i="31"/>
  <c r="F404" i="31" s="1"/>
  <c r="BJ403" i="31"/>
  <c r="E403" i="31"/>
  <c r="F403" i="31" s="1"/>
  <c r="BJ402" i="31"/>
  <c r="BJ401" i="31"/>
  <c r="BJ400" i="31"/>
  <c r="BJ399" i="31"/>
  <c r="E399" i="31"/>
  <c r="BJ398" i="31"/>
  <c r="E398" i="31"/>
  <c r="BJ397" i="31"/>
  <c r="E397" i="31"/>
  <c r="G374" i="31"/>
  <c r="BJ394" i="31"/>
  <c r="E394" i="31"/>
  <c r="F394" i="31" s="1"/>
  <c r="BJ393" i="31"/>
  <c r="E393" i="31"/>
  <c r="BJ392" i="31"/>
  <c r="E392" i="31"/>
  <c r="BJ391" i="31"/>
  <c r="E391" i="31"/>
  <c r="F391" i="31" s="1"/>
  <c r="BJ390" i="31"/>
  <c r="BJ389" i="31"/>
  <c r="G373" i="31"/>
  <c r="BJ375" i="31"/>
  <c r="BJ374" i="31"/>
  <c r="BJ373" i="31"/>
  <c r="BJ359" i="31"/>
  <c r="G359" i="31"/>
  <c r="BJ358" i="31"/>
  <c r="BJ357" i="31"/>
  <c r="E357" i="31"/>
  <c r="BJ356" i="31"/>
  <c r="BJ353" i="31"/>
  <c r="E353" i="31"/>
  <c r="BJ352" i="31"/>
  <c r="E352" i="31"/>
  <c r="BJ351" i="31"/>
  <c r="E351" i="31"/>
  <c r="G266" i="31"/>
  <c r="BJ348" i="31"/>
  <c r="BJ347" i="31"/>
  <c r="BJ346" i="31"/>
  <c r="BJ345" i="31"/>
  <c r="BJ344" i="31"/>
  <c r="BJ343" i="31"/>
  <c r="BJ342" i="31"/>
  <c r="BJ341" i="31"/>
  <c r="E341" i="31"/>
  <c r="F341" i="31" s="1"/>
  <c r="BJ340" i="31"/>
  <c r="E340" i="31"/>
  <c r="F340" i="31" s="1"/>
  <c r="BJ339" i="31"/>
  <c r="E339" i="31"/>
  <c r="BJ338" i="31"/>
  <c r="BJ337" i="31"/>
  <c r="BJ336" i="31"/>
  <c r="BJ335" i="31"/>
  <c r="E335" i="31"/>
  <c r="F335" i="31" s="1"/>
  <c r="BJ334" i="31"/>
  <c r="E334" i="31"/>
  <c r="F334" i="31" s="1"/>
  <c r="BJ333" i="31"/>
  <c r="E333" i="31"/>
  <c r="F333" i="31" s="1"/>
  <c r="BJ332" i="31"/>
  <c r="E332" i="31"/>
  <c r="BJ331" i="31"/>
  <c r="BJ328" i="31"/>
  <c r="E328" i="31"/>
  <c r="F328" i="31" s="1"/>
  <c r="BJ327" i="31"/>
  <c r="BJ326" i="31"/>
  <c r="BJ325" i="31"/>
  <c r="E325" i="31"/>
  <c r="BJ324" i="31"/>
  <c r="BJ321" i="31"/>
  <c r="BJ320" i="31"/>
  <c r="BJ317" i="31"/>
  <c r="BJ316" i="31"/>
  <c r="BJ315" i="31"/>
  <c r="BJ314" i="31"/>
  <c r="BJ313" i="31"/>
  <c r="BJ312" i="31"/>
  <c r="BJ311" i="31"/>
  <c r="BJ310" i="31"/>
  <c r="BJ309" i="31"/>
  <c r="BJ308" i="31"/>
  <c r="BJ307" i="31"/>
  <c r="BJ306" i="31"/>
  <c r="BJ303" i="31"/>
  <c r="BJ302" i="31"/>
  <c r="BJ301" i="31"/>
  <c r="BJ300" i="31"/>
  <c r="BJ299" i="31"/>
  <c r="E299" i="31"/>
  <c r="BJ298" i="31"/>
  <c r="BJ297" i="31"/>
  <c r="E297" i="31"/>
  <c r="BJ296" i="31"/>
  <c r="BJ295" i="31"/>
  <c r="BJ294" i="31"/>
  <c r="E294" i="31"/>
  <c r="F294" i="31" s="1"/>
  <c r="BJ293" i="31"/>
  <c r="BJ292" i="31"/>
  <c r="E292" i="31"/>
  <c r="BJ291" i="31"/>
  <c r="BJ287" i="31"/>
  <c r="BJ286" i="31"/>
  <c r="G286" i="31"/>
  <c r="E286" i="31"/>
  <c r="F286" i="31" s="1"/>
  <c r="BJ285" i="31"/>
  <c r="BJ284" i="31"/>
  <c r="BJ281" i="31"/>
  <c r="BJ280" i="31"/>
  <c r="BJ279" i="31"/>
  <c r="BJ278" i="31"/>
  <c r="E278" i="31"/>
  <c r="F278" i="31" s="1"/>
  <c r="BJ277" i="31"/>
  <c r="BJ267" i="31"/>
  <c r="BJ266" i="31"/>
  <c r="BJ265" i="31"/>
  <c r="BJ264" i="31"/>
  <c r="BJ263" i="31"/>
  <c r="BJ262" i="31"/>
  <c r="BJ261" i="31"/>
  <c r="BJ259" i="31"/>
  <c r="G259" i="31"/>
  <c r="BJ258" i="31"/>
  <c r="BJ257" i="31"/>
  <c r="E257" i="31"/>
  <c r="F257" i="31" s="1"/>
  <c r="BJ256" i="31"/>
  <c r="G256" i="31"/>
  <c r="BJ253" i="31"/>
  <c r="E253" i="31"/>
  <c r="BJ252" i="31"/>
  <c r="E252" i="31"/>
  <c r="F252" i="31" s="1"/>
  <c r="BJ251" i="31"/>
  <c r="E251" i="31"/>
  <c r="F251" i="31" s="1"/>
  <c r="BJ250" i="31"/>
  <c r="E250" i="31"/>
  <c r="BJ249" i="31"/>
  <c r="E249" i="31"/>
  <c r="BJ248" i="31"/>
  <c r="E248" i="31"/>
  <c r="F248" i="31" s="1"/>
  <c r="BJ247" i="31"/>
  <c r="E247" i="31"/>
  <c r="BJ246" i="31"/>
  <c r="E246" i="31"/>
  <c r="BJ245" i="31"/>
  <c r="E245" i="31"/>
  <c r="BJ244" i="31"/>
  <c r="E244" i="31"/>
  <c r="BJ243" i="31"/>
  <c r="E243" i="31"/>
  <c r="F243" i="31" s="1"/>
  <c r="BJ242" i="31"/>
  <c r="E242" i="31"/>
  <c r="F242" i="31" s="1"/>
  <c r="BJ241" i="31"/>
  <c r="E241" i="31"/>
  <c r="BJ240" i="31"/>
  <c r="E240" i="31"/>
  <c r="G138" i="31"/>
  <c r="BJ237" i="31"/>
  <c r="BJ236" i="31"/>
  <c r="BJ235" i="31"/>
  <c r="E235" i="31"/>
  <c r="BJ234" i="31"/>
  <c r="BJ233" i="31"/>
  <c r="BJ232" i="31"/>
  <c r="BJ231" i="31"/>
  <c r="BJ230" i="31"/>
  <c r="BJ229" i="31"/>
  <c r="BJ228" i="31"/>
  <c r="BJ227" i="31"/>
  <c r="BJ226" i="31"/>
  <c r="BJ225" i="31"/>
  <c r="BJ224" i="31"/>
  <c r="BJ223" i="31"/>
  <c r="BJ222" i="31"/>
  <c r="E222" i="31"/>
  <c r="BJ221" i="31"/>
  <c r="E221" i="31"/>
  <c r="BJ220" i="31"/>
  <c r="E220" i="31"/>
  <c r="BJ219" i="31"/>
  <c r="BJ218" i="31"/>
  <c r="E218" i="31"/>
  <c r="BJ217" i="31"/>
  <c r="E217" i="31"/>
  <c r="F217" i="31" s="1"/>
  <c r="BJ216" i="31"/>
  <c r="E216" i="31"/>
  <c r="BJ215" i="31"/>
  <c r="E215" i="31"/>
  <c r="BJ214" i="31"/>
  <c r="E214" i="31"/>
  <c r="BJ213" i="31"/>
  <c r="E213" i="31"/>
  <c r="BJ212" i="31"/>
  <c r="BJ211" i="31"/>
  <c r="BJ208" i="31"/>
  <c r="E208" i="31"/>
  <c r="BJ207" i="31"/>
  <c r="BJ206" i="31"/>
  <c r="BJ205" i="31"/>
  <c r="BJ204" i="31"/>
  <c r="BJ203" i="31"/>
  <c r="BJ202" i="31"/>
  <c r="BJ199" i="31"/>
  <c r="BJ196" i="31"/>
  <c r="BJ195" i="31"/>
  <c r="BJ194" i="31"/>
  <c r="BJ193" i="31"/>
  <c r="BJ192" i="31"/>
  <c r="BJ191" i="31"/>
  <c r="BJ190" i="31"/>
  <c r="BJ189" i="31"/>
  <c r="BJ188" i="31"/>
  <c r="BJ187" i="31"/>
  <c r="BJ184" i="31"/>
  <c r="BJ183" i="31"/>
  <c r="BJ182" i="31"/>
  <c r="BJ181" i="31"/>
  <c r="BJ180" i="31"/>
  <c r="BJ179" i="31"/>
  <c r="BJ178" i="31"/>
  <c r="BJ177" i="31"/>
  <c r="BJ176" i="31"/>
  <c r="BJ175" i="31"/>
  <c r="BJ174" i="31"/>
  <c r="BJ173" i="31"/>
  <c r="BJ172" i="31"/>
  <c r="BJ171" i="31"/>
  <c r="BJ170" i="31"/>
  <c r="BJ169" i="31"/>
  <c r="BJ168" i="31"/>
  <c r="BJ167" i="31"/>
  <c r="E167" i="31"/>
  <c r="BJ166" i="31"/>
  <c r="BJ162" i="31"/>
  <c r="BJ161" i="31"/>
  <c r="E161" i="31"/>
  <c r="F161" i="31" s="1"/>
  <c r="BJ160" i="31"/>
  <c r="E160" i="31"/>
  <c r="F160" i="31" s="1"/>
  <c r="BJ159" i="31"/>
  <c r="BJ158" i="31"/>
  <c r="E158" i="31"/>
  <c r="BJ157" i="31"/>
  <c r="BJ156" i="31"/>
  <c r="BJ153" i="31"/>
  <c r="BJ152" i="31"/>
  <c r="E152" i="31"/>
  <c r="F152" i="31" s="1"/>
  <c r="BJ151" i="31"/>
  <c r="BJ150" i="31"/>
  <c r="E150" i="31"/>
  <c r="F150" i="31" s="1"/>
  <c r="BJ149" i="31"/>
  <c r="E149" i="31"/>
  <c r="F149" i="31" s="1"/>
  <c r="BJ139" i="31"/>
  <c r="BJ138" i="31"/>
  <c r="BJ137" i="31"/>
  <c r="BJ136" i="31"/>
  <c r="BJ135" i="31"/>
  <c r="BJ134" i="31"/>
  <c r="BJ133" i="31"/>
  <c r="BJ118" i="31"/>
  <c r="BJ117" i="31"/>
  <c r="BJ102" i="31"/>
  <c r="G102" i="31"/>
  <c r="BJ101" i="31"/>
  <c r="BJ100" i="31"/>
  <c r="E100" i="31"/>
  <c r="F100" i="31" s="1"/>
  <c r="BJ99" i="31"/>
  <c r="BJ96" i="31"/>
  <c r="BJ95" i="31"/>
  <c r="G95" i="31"/>
  <c r="BJ94" i="31"/>
  <c r="BJ93" i="31"/>
  <c r="BJ92" i="31"/>
  <c r="BJ91" i="31"/>
  <c r="BJ90" i="31"/>
  <c r="BJ89" i="31"/>
  <c r="BJ88" i="31"/>
  <c r="BJ87" i="31"/>
  <c r="BJ86" i="31"/>
  <c r="BJ85" i="31"/>
  <c r="BJ84" i="31"/>
  <c r="BJ83" i="31"/>
  <c r="BJ82" i="31"/>
  <c r="BJ81" i="31"/>
  <c r="BJ80" i="31"/>
  <c r="BJ79" i="31"/>
  <c r="BJ76" i="31"/>
  <c r="G76" i="31"/>
  <c r="BJ75" i="31"/>
  <c r="BJ74" i="31"/>
  <c r="BJ71" i="31"/>
  <c r="G71" i="31"/>
  <c r="BJ70" i="31"/>
  <c r="E70" i="31"/>
  <c r="BJ69" i="31"/>
  <c r="E69" i="31"/>
  <c r="F69" i="31" s="1"/>
  <c r="BJ68" i="31"/>
  <c r="BJ67" i="31"/>
  <c r="BJ66" i="31"/>
  <c r="BJ65" i="31"/>
  <c r="E65" i="31"/>
  <c r="BJ64" i="31"/>
  <c r="BJ63" i="31"/>
  <c r="I63" i="31"/>
  <c r="J63" i="31" s="1"/>
  <c r="BJ62" i="31"/>
  <c r="BJ61" i="31"/>
  <c r="I61" i="31"/>
  <c r="J61" i="31" s="1"/>
  <c r="BJ60" i="31"/>
  <c r="BJ59" i="31"/>
  <c r="BJ58" i="31"/>
  <c r="I58" i="31"/>
  <c r="J58" i="31" s="1"/>
  <c r="BJ57" i="31"/>
  <c r="BJ56" i="31"/>
  <c r="BJ53" i="31"/>
  <c r="BJ41" i="31"/>
  <c r="BJ40" i="31"/>
  <c r="BJ39" i="31"/>
  <c r="BJ38" i="31"/>
  <c r="BJ37" i="31"/>
  <c r="L25" i="31"/>
  <c r="K25" i="31"/>
  <c r="BJ24" i="31"/>
  <c r="BJ23" i="31"/>
  <c r="I23" i="31"/>
  <c r="J23" i="31" s="1"/>
  <c r="G23" i="31"/>
  <c r="H23" i="31" s="1"/>
  <c r="BJ22" i="31"/>
  <c r="BJ21" i="31"/>
  <c r="K19" i="31"/>
  <c r="L18" i="31"/>
  <c r="K18" i="31"/>
  <c r="L17" i="31"/>
  <c r="K17" i="31"/>
  <c r="L16" i="31"/>
  <c r="K16" i="31"/>
  <c r="L15" i="31"/>
  <c r="K15" i="31"/>
  <c r="L14" i="31"/>
  <c r="K14" i="31"/>
  <c r="L13" i="31"/>
  <c r="K13" i="31"/>
  <c r="L12" i="31"/>
  <c r="K12" i="31"/>
  <c r="L11" i="31"/>
  <c r="K11" i="31"/>
  <c r="L10" i="31"/>
  <c r="K10" i="31"/>
  <c r="L9" i="31"/>
  <c r="K9" i="31"/>
  <c r="BJ8" i="31"/>
  <c r="BJ7" i="31"/>
  <c r="BJ6" i="31"/>
  <c r="BJ5" i="31"/>
  <c r="K19" i="30"/>
  <c r="L18" i="30"/>
  <c r="I18" i="30"/>
  <c r="G18" i="30"/>
  <c r="E18" i="30"/>
  <c r="L17" i="30"/>
  <c r="I17" i="30"/>
  <c r="G17" i="30"/>
  <c r="E17" i="30"/>
  <c r="L16" i="30"/>
  <c r="I16" i="30"/>
  <c r="G16" i="30"/>
  <c r="E16" i="30"/>
  <c r="L15" i="30"/>
  <c r="I15" i="30"/>
  <c r="G15" i="30"/>
  <c r="E15" i="30"/>
  <c r="L14" i="30"/>
  <c r="I14" i="30"/>
  <c r="G14" i="30"/>
  <c r="E14" i="30"/>
  <c r="L13" i="30"/>
  <c r="I13" i="30"/>
  <c r="G13" i="30"/>
  <c r="E13" i="30"/>
  <c r="L12" i="30"/>
  <c r="I12" i="30"/>
  <c r="G12" i="30"/>
  <c r="E12" i="30"/>
  <c r="L11" i="30"/>
  <c r="I11" i="30"/>
  <c r="G11" i="30"/>
  <c r="E11" i="30"/>
  <c r="L10" i="30"/>
  <c r="I10" i="30"/>
  <c r="G10" i="30"/>
  <c r="E10" i="30"/>
  <c r="L9" i="30"/>
  <c r="I9" i="30"/>
  <c r="G9" i="30"/>
  <c r="E9" i="30"/>
  <c r="BJ8" i="30"/>
  <c r="BJ7" i="30"/>
  <c r="BJ6" i="30"/>
  <c r="BJ5" i="30"/>
  <c r="E157" i="26"/>
  <c r="I44" i="27"/>
  <c r="M57" i="27"/>
  <c r="E101" i="27"/>
  <c r="E100" i="27"/>
  <c r="E99" i="27"/>
  <c r="E123" i="26"/>
  <c r="E122" i="26"/>
  <c r="E121" i="26"/>
  <c r="E120" i="26"/>
  <c r="N100" i="26"/>
  <c r="M100" i="26"/>
  <c r="L100" i="26"/>
  <c r="K100" i="26"/>
  <c r="J100" i="26"/>
  <c r="I100" i="26"/>
  <c r="J92" i="26"/>
  <c r="J91" i="26"/>
  <c r="I92" i="26"/>
  <c r="I91" i="26"/>
  <c r="K82" i="26"/>
  <c r="K81" i="26"/>
  <c r="J82" i="26"/>
  <c r="J81" i="26"/>
  <c r="I82" i="26"/>
  <c r="I81" i="26"/>
  <c r="M78" i="26"/>
  <c r="M77" i="26"/>
  <c r="M76" i="26"/>
  <c r="L78" i="26"/>
  <c r="L77" i="26"/>
  <c r="L76" i="26"/>
  <c r="K78" i="26"/>
  <c r="K77" i="26"/>
  <c r="K76" i="26"/>
  <c r="M70" i="26"/>
  <c r="M71" i="26"/>
  <c r="M72" i="26"/>
  <c r="M73" i="26"/>
  <c r="D290" i="2"/>
  <c r="F289" i="2" s="1"/>
  <c r="F287" i="2"/>
  <c r="D284" i="2"/>
  <c r="F283" i="2" s="1"/>
  <c r="D280" i="2"/>
  <c r="D282" i="2" s="1"/>
  <c r="F281" i="2" s="1"/>
  <c r="D276" i="2"/>
  <c r="F293" i="2"/>
  <c r="F291" i="2"/>
  <c r="F285" i="2"/>
  <c r="A277" i="2"/>
  <c r="A279" i="2" s="1"/>
  <c r="F275" i="2"/>
  <c r="D278" i="2" s="1"/>
  <c r="F277" i="2" s="1"/>
  <c r="F270" i="2"/>
  <c r="F268" i="2"/>
  <c r="D263" i="2"/>
  <c r="F262" i="2" s="1"/>
  <c r="D259" i="2"/>
  <c r="D261" i="2" s="1"/>
  <c r="F260" i="2" s="1"/>
  <c r="A246" i="2"/>
  <c r="A248" i="2" s="1"/>
  <c r="A250" i="2" s="1"/>
  <c r="A252" i="2" s="1"/>
  <c r="A254" i="2" s="1"/>
  <c r="A256" i="2" s="1"/>
  <c r="A258" i="2" s="1"/>
  <c r="G248" i="2"/>
  <c r="D249" i="2"/>
  <c r="D253" i="2" s="1"/>
  <c r="D245" i="2"/>
  <c r="F244" i="2" s="1"/>
  <c r="D247" i="2" s="1"/>
  <c r="F246" i="2" s="1"/>
  <c r="D267" i="2"/>
  <c r="F266" i="2" s="1"/>
  <c r="F264" i="2"/>
  <c r="D240" i="2"/>
  <c r="F239" i="2" s="1"/>
  <c r="A239" i="2"/>
  <c r="D234" i="2"/>
  <c r="F233" i="2" s="1"/>
  <c r="F237" i="2"/>
  <c r="F235" i="2"/>
  <c r="D230" i="2"/>
  <c r="D232" i="2" s="1"/>
  <c r="F231" i="2" s="1"/>
  <c r="D228" i="2"/>
  <c r="F227" i="2" s="1"/>
  <c r="D226" i="2"/>
  <c r="D222" i="2"/>
  <c r="F221" i="2" s="1"/>
  <c r="D224" i="2" s="1"/>
  <c r="F223" i="2" s="1"/>
  <c r="A231" i="2"/>
  <c r="K94" i="1"/>
  <c r="F94" i="1" s="1"/>
  <c r="G94" i="1" s="1"/>
  <c r="A216" i="2"/>
  <c r="A201" i="2"/>
  <c r="A186" i="2"/>
  <c r="A171" i="2"/>
  <c r="A156" i="2"/>
  <c r="A141" i="2"/>
  <c r="A126" i="2"/>
  <c r="A111" i="2"/>
  <c r="A96" i="2"/>
  <c r="A81" i="2"/>
  <c r="A66" i="2"/>
  <c r="A51" i="2"/>
  <c r="D185" i="2"/>
  <c r="F184" i="2" s="1"/>
  <c r="F212" i="2"/>
  <c r="F206" i="2"/>
  <c r="F197" i="2"/>
  <c r="F191" i="2"/>
  <c r="F182" i="2"/>
  <c r="F176" i="2"/>
  <c r="D170" i="2"/>
  <c r="F169" i="2" s="1"/>
  <c r="F167" i="2"/>
  <c r="F161" i="2"/>
  <c r="F152" i="2"/>
  <c r="F146" i="2"/>
  <c r="F137" i="2"/>
  <c r="F131" i="2"/>
  <c r="F122" i="2"/>
  <c r="F116" i="2"/>
  <c r="F107" i="2"/>
  <c r="F101" i="2"/>
  <c r="F92" i="2"/>
  <c r="F86" i="2"/>
  <c r="F77" i="2"/>
  <c r="F71" i="2"/>
  <c r="F62" i="2"/>
  <c r="F56" i="2"/>
  <c r="D50" i="2"/>
  <c r="F49" i="2" s="1"/>
  <c r="H68" i="1"/>
  <c r="H67" i="1"/>
  <c r="H66" i="1"/>
  <c r="H65" i="1"/>
  <c r="H64" i="1"/>
  <c r="D215" i="2" s="1"/>
  <c r="H63" i="1"/>
  <c r="D200" i="2" s="1"/>
  <c r="F199" i="2" s="1"/>
  <c r="H62" i="1"/>
  <c r="H61" i="1"/>
  <c r="H60" i="1"/>
  <c r="D155" i="2" s="1"/>
  <c r="F154" i="2" s="1"/>
  <c r="H59" i="1"/>
  <c r="D140" i="2" s="1"/>
  <c r="F139" i="2" s="1"/>
  <c r="H58" i="1"/>
  <c r="D125" i="2" s="1"/>
  <c r="F124" i="2" s="1"/>
  <c r="H57" i="1"/>
  <c r="D110" i="2" s="1"/>
  <c r="F109" i="2" s="1"/>
  <c r="H56" i="1"/>
  <c r="D95" i="2" s="1"/>
  <c r="F94" i="2" s="1"/>
  <c r="H55" i="1"/>
  <c r="D80" i="2" s="1"/>
  <c r="F79" i="2" s="1"/>
  <c r="H54" i="1"/>
  <c r="D65" i="2" s="1"/>
  <c r="F64" i="2" s="1"/>
  <c r="H53" i="1"/>
  <c r="F47" i="2"/>
  <c r="F41" i="2"/>
  <c r="E273" i="2"/>
  <c r="C273" i="2"/>
  <c r="B273" i="2"/>
  <c r="E242" i="2"/>
  <c r="C242" i="2"/>
  <c r="B242" i="2"/>
  <c r="E219" i="2"/>
  <c r="C219" i="2"/>
  <c r="B219" i="2"/>
  <c r="E204" i="2"/>
  <c r="C204" i="2"/>
  <c r="C206" i="2" s="1"/>
  <c r="B204" i="2"/>
  <c r="B206" i="2" s="1"/>
  <c r="E189" i="2"/>
  <c r="C189" i="2"/>
  <c r="C191" i="2" s="1"/>
  <c r="B189" i="2"/>
  <c r="B191" i="2" s="1"/>
  <c r="E174" i="2"/>
  <c r="C174" i="2"/>
  <c r="C176" i="2" s="1"/>
  <c r="B174" i="2"/>
  <c r="B176" i="2" s="1"/>
  <c r="E159" i="2"/>
  <c r="C159" i="2"/>
  <c r="C161" i="2" s="1"/>
  <c r="B159" i="2"/>
  <c r="B161" i="2" s="1"/>
  <c r="E144" i="2"/>
  <c r="C144" i="2"/>
  <c r="C146" i="2" s="1"/>
  <c r="B144" i="2"/>
  <c r="B146" i="2" s="1"/>
  <c r="E129" i="2"/>
  <c r="C129" i="2"/>
  <c r="C131" i="2" s="1"/>
  <c r="B129" i="2"/>
  <c r="B131" i="2" s="1"/>
  <c r="E114" i="2"/>
  <c r="C114" i="2"/>
  <c r="C116" i="2" s="1"/>
  <c r="B114" i="2"/>
  <c r="B116" i="2" s="1"/>
  <c r="E99" i="2"/>
  <c r="C99" i="2"/>
  <c r="C101" i="2" s="1"/>
  <c r="B99" i="2"/>
  <c r="B101" i="2" s="1"/>
  <c r="E84" i="2"/>
  <c r="C84" i="2"/>
  <c r="C86" i="2" s="1"/>
  <c r="B84" i="2"/>
  <c r="B86" i="2" s="1"/>
  <c r="E69" i="2"/>
  <c r="C69" i="2"/>
  <c r="C71" i="2" s="1"/>
  <c r="B69" i="2"/>
  <c r="B71" i="2" s="1"/>
  <c r="E54" i="2"/>
  <c r="C54" i="2"/>
  <c r="C56" i="2" s="1"/>
  <c r="B54" i="2"/>
  <c r="B56" i="2" s="1"/>
  <c r="E39" i="2"/>
  <c r="C39" i="2"/>
  <c r="C41" i="2" s="1"/>
  <c r="B39" i="2"/>
  <c r="B41" i="2" s="1"/>
  <c r="D32" i="2"/>
  <c r="F31" i="2" s="1"/>
  <c r="D37" i="2"/>
  <c r="F36" i="2" s="1"/>
  <c r="D11" i="2"/>
  <c r="F10" i="2" s="1"/>
  <c r="A12" i="2"/>
  <c r="A18" i="2" s="1"/>
  <c r="A20" i="2" s="1"/>
  <c r="A22" i="2" s="1"/>
  <c r="A24" i="2" s="1"/>
  <c r="A26" i="2" s="1"/>
  <c r="D25" i="2"/>
  <c r="F24" i="2" s="1"/>
  <c r="D23" i="2"/>
  <c r="F22" i="2" s="1"/>
  <c r="D19" i="2"/>
  <c r="F18" i="2" s="1"/>
  <c r="F26" i="2"/>
  <c r="I12" i="2"/>
  <c r="G12" i="2"/>
  <c r="D13" i="2"/>
  <c r="D15" i="2" s="1"/>
  <c r="D17" i="2" s="1"/>
  <c r="D21" i="2" s="1"/>
  <c r="F20" i="2" s="1"/>
  <c r="D6" i="2"/>
  <c r="F5" i="2" s="1"/>
  <c r="E34" i="2"/>
  <c r="C34" i="2"/>
  <c r="B34" i="2"/>
  <c r="E29" i="2"/>
  <c r="C29" i="2"/>
  <c r="B29" i="2"/>
  <c r="E8" i="2"/>
  <c r="C8" i="2"/>
  <c r="B8" i="2"/>
  <c r="E3" i="2"/>
  <c r="C3" i="2"/>
  <c r="B3" i="2"/>
  <c r="A8" i="2"/>
  <c r="A29" i="2" s="1"/>
  <c r="A34" i="2" s="1"/>
  <c r="A39" i="2" s="1"/>
  <c r="A54" i="2" s="1"/>
  <c r="A69" i="2" s="1"/>
  <c r="A84" i="2" s="1"/>
  <c r="A99" i="2" s="1"/>
  <c r="A114" i="2" s="1"/>
  <c r="A129" i="2" s="1"/>
  <c r="A144" i="2" s="1"/>
  <c r="A159" i="2" s="1"/>
  <c r="A174" i="2" s="1"/>
  <c r="A189" i="2" s="1"/>
  <c r="A204" i="2" s="1"/>
  <c r="A219" i="2" s="1"/>
  <c r="A242" i="2" s="1"/>
  <c r="A273" i="2" s="1"/>
  <c r="E54" i="27"/>
  <c r="E67" i="26"/>
  <c r="K813" i="33" l="1"/>
  <c r="K864" i="33"/>
  <c r="K505" i="33"/>
  <c r="F876" i="33"/>
  <c r="L876" i="33" s="1"/>
  <c r="K492" i="33"/>
  <c r="F226" i="33"/>
  <c r="L226" i="33" s="1"/>
  <c r="K544" i="33"/>
  <c r="F785" i="33"/>
  <c r="L785" i="33" s="1"/>
  <c r="K842" i="33"/>
  <c r="F590" i="33"/>
  <c r="F887" i="33"/>
  <c r="L887" i="33" s="1"/>
  <c r="J557" i="33"/>
  <c r="L556" i="33"/>
  <c r="L24" i="33"/>
  <c r="H23" i="33"/>
  <c r="F7" i="32" s="1"/>
  <c r="F25" i="33"/>
  <c r="F23" i="33" s="1"/>
  <c r="AB24" i="33"/>
  <c r="AD24" i="33" s="1"/>
  <c r="H405" i="33"/>
  <c r="H577" i="33"/>
  <c r="H100" i="33"/>
  <c r="L100" i="33" s="1"/>
  <c r="AB113" i="33"/>
  <c r="AD113" i="33" s="1"/>
  <c r="H303" i="33"/>
  <c r="AB303" i="33" s="1"/>
  <c r="AD303" i="33" s="1"/>
  <c r="H313" i="33"/>
  <c r="L313" i="33" s="1"/>
  <c r="H362" i="33"/>
  <c r="L362" i="33" s="1"/>
  <c r="K420" i="33"/>
  <c r="K596" i="33"/>
  <c r="H693" i="33"/>
  <c r="L693" i="33" s="1"/>
  <c r="K746" i="33"/>
  <c r="H776" i="33"/>
  <c r="J778" i="33" s="1"/>
  <c r="H823" i="33"/>
  <c r="L823" i="33" s="1"/>
  <c r="H865" i="33"/>
  <c r="L865" i="33" s="1"/>
  <c r="K24" i="33"/>
  <c r="H649" i="33"/>
  <c r="L649" i="33" s="1"/>
  <c r="H790" i="33"/>
  <c r="L790" i="33" s="1"/>
  <c r="K325" i="33"/>
  <c r="H52" i="33"/>
  <c r="K494" i="33"/>
  <c r="K556" i="33"/>
  <c r="H572" i="33"/>
  <c r="L572" i="33" s="1"/>
  <c r="H33" i="33"/>
  <c r="L33" i="33" s="1"/>
  <c r="H352" i="33"/>
  <c r="J356" i="33" s="1"/>
  <c r="H681" i="33"/>
  <c r="J683" i="33" s="1"/>
  <c r="H747" i="33"/>
  <c r="L747" i="33" s="1"/>
  <c r="K837" i="33"/>
  <c r="H898" i="33"/>
  <c r="H896" i="33" s="1"/>
  <c r="F155" i="32" s="1"/>
  <c r="G633" i="33" s="1"/>
  <c r="H633" i="33" s="1"/>
  <c r="H777" i="33"/>
  <c r="L777" i="33" s="1"/>
  <c r="K824" i="33"/>
  <c r="K912" i="33"/>
  <c r="H34" i="33"/>
  <c r="L34" i="33" s="1"/>
  <c r="H353" i="33"/>
  <c r="L353" i="33" s="1"/>
  <c r="K555" i="33"/>
  <c r="H682" i="33"/>
  <c r="L682" i="33" s="1"/>
  <c r="H293" i="33"/>
  <c r="L293" i="33" s="1"/>
  <c r="H426" i="33"/>
  <c r="L426" i="33" s="1"/>
  <c r="H591" i="33"/>
  <c r="L591" i="33" s="1"/>
  <c r="K665" i="33"/>
  <c r="K317" i="33"/>
  <c r="H734" i="33"/>
  <c r="K354" i="33"/>
  <c r="H104" i="33"/>
  <c r="L104" i="33" s="1"/>
  <c r="H343" i="33"/>
  <c r="L343" i="33" s="1"/>
  <c r="H307" i="33"/>
  <c r="H764" i="33"/>
  <c r="L764" i="33" s="1"/>
  <c r="K282" i="33"/>
  <c r="H440" i="33"/>
  <c r="K383" i="33"/>
  <c r="K493" i="33"/>
  <c r="H654" i="33"/>
  <c r="L654" i="33" s="1"/>
  <c r="K752" i="33"/>
  <c r="K826" i="33"/>
  <c r="K903" i="33"/>
  <c r="H783" i="33"/>
  <c r="L783" i="33" s="1"/>
  <c r="K333" i="33"/>
  <c r="K686" i="33"/>
  <c r="H347" i="33"/>
  <c r="K371" i="33"/>
  <c r="H643" i="33"/>
  <c r="L643" i="33" s="1"/>
  <c r="H904" i="33"/>
  <c r="L904" i="33" s="1"/>
  <c r="H402" i="33"/>
  <c r="H40" i="33"/>
  <c r="AB41" i="33" s="1"/>
  <c r="AD41" i="33" s="1"/>
  <c r="K456" i="33"/>
  <c r="H705" i="33"/>
  <c r="L705" i="33" s="1"/>
  <c r="H287" i="33"/>
  <c r="K322" i="33"/>
  <c r="K573" i="33"/>
  <c r="H802" i="33"/>
  <c r="L802" i="33" s="1"/>
  <c r="H723" i="33"/>
  <c r="L723" i="33" s="1"/>
  <c r="H821" i="33"/>
  <c r="L821" i="33" s="1"/>
  <c r="H831" i="33"/>
  <c r="J833" i="33" s="1"/>
  <c r="K845" i="33"/>
  <c r="K878" i="33"/>
  <c r="H892" i="33"/>
  <c r="L892" i="33" s="1"/>
  <c r="H28" i="33"/>
  <c r="H348" i="33"/>
  <c r="H741" i="33"/>
  <c r="L741" i="33" s="1"/>
  <c r="H758" i="33"/>
  <c r="H756" i="33" s="1"/>
  <c r="F133" i="32" s="1"/>
  <c r="K603" i="33"/>
  <c r="H789" i="33"/>
  <c r="L789" i="33" s="1"/>
  <c r="K838" i="33"/>
  <c r="H899" i="33"/>
  <c r="L899" i="33" s="1"/>
  <c r="K888" i="33"/>
  <c r="H699" i="33"/>
  <c r="L699" i="33" s="1"/>
  <c r="H796" i="33"/>
  <c r="L796" i="33" s="1"/>
  <c r="H398" i="33"/>
  <c r="L398" i="33" s="1"/>
  <c r="H717" i="33"/>
  <c r="L717" i="33" s="1"/>
  <c r="K873" i="33"/>
  <c r="H35" i="33"/>
  <c r="L35" i="33" s="1"/>
  <c r="H624" i="33"/>
  <c r="J625" i="33" s="1"/>
  <c r="H889" i="33"/>
  <c r="L889" i="33" s="1"/>
  <c r="H308" i="33"/>
  <c r="L308" i="33" s="1"/>
  <c r="H592" i="33"/>
  <c r="L592" i="33" s="1"/>
  <c r="H735" i="33"/>
  <c r="L735" i="33" s="1"/>
  <c r="H441" i="33"/>
  <c r="L441" i="33" s="1"/>
  <c r="H583" i="33"/>
  <c r="AB584" i="33" s="1"/>
  <c r="AD584" i="33" s="1"/>
  <c r="H753" i="33"/>
  <c r="L753" i="33" s="1"/>
  <c r="K770" i="33"/>
  <c r="H801" i="33"/>
  <c r="AB802" i="33" s="1"/>
  <c r="AD802" i="33" s="1"/>
  <c r="H722" i="33"/>
  <c r="J724" i="33" s="1"/>
  <c r="H859" i="33"/>
  <c r="H334" i="33"/>
  <c r="L334" i="33" s="1"/>
  <c r="H584" i="33"/>
  <c r="L584" i="33" s="1"/>
  <c r="H687" i="33"/>
  <c r="AB687" i="33" s="1"/>
  <c r="AD687" i="33" s="1"/>
  <c r="H111" i="33"/>
  <c r="F30" i="32" s="1"/>
  <c r="G74" i="31" s="1"/>
  <c r="H771" i="33"/>
  <c r="L771" i="33" s="1"/>
  <c r="AB832" i="33"/>
  <c r="AD832" i="33" s="1"/>
  <c r="F279" i="2"/>
  <c r="K566" i="33"/>
  <c r="F566" i="33"/>
  <c r="L566" i="33" s="1"/>
  <c r="F415" i="33"/>
  <c r="L415" i="33" s="1"/>
  <c r="K415" i="33"/>
  <c r="K567" i="33"/>
  <c r="F567" i="33"/>
  <c r="L567" i="33" s="1"/>
  <c r="K150" i="33"/>
  <c r="F150" i="33"/>
  <c r="K739" i="33"/>
  <c r="F739" i="33"/>
  <c r="K167" i="33"/>
  <c r="F167" i="33"/>
  <c r="L167" i="33" s="1"/>
  <c r="K198" i="33"/>
  <c r="F198" i="33"/>
  <c r="L198" i="33" s="1"/>
  <c r="K647" i="33"/>
  <c r="F647" i="33"/>
  <c r="K51" i="33"/>
  <c r="F51" i="33"/>
  <c r="F761" i="33"/>
  <c r="E134" i="32" s="1"/>
  <c r="E236" i="31" s="1"/>
  <c r="F236" i="31" s="1"/>
  <c r="L762" i="33"/>
  <c r="K341" i="33"/>
  <c r="F341" i="33"/>
  <c r="F745" i="33"/>
  <c r="F744" i="33" s="1"/>
  <c r="K745" i="33"/>
  <c r="F262" i="33"/>
  <c r="L262" i="33" s="1"/>
  <c r="K262" i="33"/>
  <c r="F622" i="33"/>
  <c r="K622" i="33"/>
  <c r="F697" i="33"/>
  <c r="K697" i="33"/>
  <c r="F809" i="33"/>
  <c r="L809" i="33" s="1"/>
  <c r="K809" i="33"/>
  <c r="K762" i="33"/>
  <c r="F508" i="33"/>
  <c r="L508" i="33" s="1"/>
  <c r="F691" i="33"/>
  <c r="K564" i="33"/>
  <c r="F703" i="33"/>
  <c r="F702" i="33" s="1"/>
  <c r="E124" i="32" s="1"/>
  <c r="E225" i="31" s="1"/>
  <c r="F225" i="31" s="1"/>
  <c r="E206" i="33"/>
  <c r="K206" i="33" s="1"/>
  <c r="K191" i="33"/>
  <c r="F751" i="33"/>
  <c r="F750" i="33" s="1"/>
  <c r="E132" i="32" s="1"/>
  <c r="K830" i="33"/>
  <c r="E205" i="31"/>
  <c r="F158" i="33"/>
  <c r="L158" i="33" s="1"/>
  <c r="F260" i="33"/>
  <c r="L260" i="33" s="1"/>
  <c r="F500" i="33"/>
  <c r="L500" i="33" s="1"/>
  <c r="E17" i="33"/>
  <c r="E143" i="33"/>
  <c r="E175" i="33"/>
  <c r="K175" i="33" s="1"/>
  <c r="E515" i="33"/>
  <c r="F534" i="33"/>
  <c r="E565" i="33"/>
  <c r="E206" i="31"/>
  <c r="E159" i="33"/>
  <c r="K159" i="33" s="1"/>
  <c r="E382" i="33"/>
  <c r="F408" i="33"/>
  <c r="K628" i="33"/>
  <c r="E808" i="33"/>
  <c r="F808" i="33" s="1"/>
  <c r="L808" i="33" s="1"/>
  <c r="E219" i="31"/>
  <c r="E501" i="33"/>
  <c r="F677" i="33"/>
  <c r="F676" i="33" s="1"/>
  <c r="E119" i="32" s="1"/>
  <c r="E212" i="31" s="1"/>
  <c r="F212" i="31" s="1"/>
  <c r="K418" i="33"/>
  <c r="E174" i="33"/>
  <c r="K21" i="33"/>
  <c r="F338" i="33"/>
  <c r="E249" i="33"/>
  <c r="E521" i="33"/>
  <c r="E836" i="33"/>
  <c r="F562" i="33"/>
  <c r="E630" i="33"/>
  <c r="K727" i="33"/>
  <c r="E360" i="33"/>
  <c r="E135" i="33"/>
  <c r="E183" i="33"/>
  <c r="K183" i="33" s="1"/>
  <c r="E199" i="33"/>
  <c r="E757" i="33"/>
  <c r="K757" i="33" s="1"/>
  <c r="K142" i="33"/>
  <c r="E568" i="33"/>
  <c r="E715" i="33"/>
  <c r="K818" i="33"/>
  <c r="E127" i="33"/>
  <c r="E214" i="33"/>
  <c r="F134" i="33"/>
  <c r="L134" i="33" s="1"/>
  <c r="E401" i="31"/>
  <c r="F401" i="31" s="1"/>
  <c r="E522" i="33"/>
  <c r="E207" i="31"/>
  <c r="K781" i="33"/>
  <c r="E151" i="33"/>
  <c r="E507" i="33"/>
  <c r="K507" i="33" s="1"/>
  <c r="F526" i="33"/>
  <c r="L526" i="33" s="1"/>
  <c r="F408" i="31"/>
  <c r="F392" i="31"/>
  <c r="F415" i="31"/>
  <c r="K16" i="30"/>
  <c r="F399" i="31"/>
  <c r="F207" i="31"/>
  <c r="F218" i="31"/>
  <c r="F400" i="31"/>
  <c r="F416" i="31"/>
  <c r="F299" i="31"/>
  <c r="F410" i="31"/>
  <c r="F213" i="31"/>
  <c r="F246" i="31"/>
  <c r="F419" i="31"/>
  <c r="F253" i="31"/>
  <c r="F402" i="31"/>
  <c r="F339" i="31"/>
  <c r="F393" i="31"/>
  <c r="F247" i="31"/>
  <c r="F215" i="31"/>
  <c r="F317" i="31"/>
  <c r="F351" i="31"/>
  <c r="F397" i="31"/>
  <c r="F420" i="31"/>
  <c r="F297" i="31"/>
  <c r="F405" i="31"/>
  <c r="F398" i="31"/>
  <c r="F407" i="31"/>
  <c r="F325" i="31"/>
  <c r="F235" i="31"/>
  <c r="F216" i="31"/>
  <c r="F245" i="31"/>
  <c r="K12" i="30"/>
  <c r="K15" i="30"/>
  <c r="K17" i="30"/>
  <c r="G8" i="31"/>
  <c r="G8" i="30" s="1"/>
  <c r="H8" i="30" s="1"/>
  <c r="K11" i="30"/>
  <c r="K13" i="30"/>
  <c r="K18" i="30"/>
  <c r="K9" i="30"/>
  <c r="K10" i="30"/>
  <c r="K14" i="30"/>
  <c r="F222" i="31"/>
  <c r="F258" i="33"/>
  <c r="G482" i="33"/>
  <c r="H482" i="33" s="1"/>
  <c r="G488" i="33"/>
  <c r="H488" i="33" s="1"/>
  <c r="F60" i="31"/>
  <c r="F357" i="31"/>
  <c r="F406" i="31"/>
  <c r="L534" i="33"/>
  <c r="H50" i="33"/>
  <c r="L53" i="33"/>
  <c r="E159" i="31"/>
  <c r="E187" i="31"/>
  <c r="E306" i="31"/>
  <c r="G8" i="35"/>
  <c r="I429" i="33" s="1"/>
  <c r="J429" i="33" s="1"/>
  <c r="E68" i="31"/>
  <c r="G258" i="31"/>
  <c r="G101" i="31"/>
  <c r="G358" i="31"/>
  <c r="F250" i="31"/>
  <c r="F327" i="31"/>
  <c r="K105" i="33"/>
  <c r="L354" i="33"/>
  <c r="F65" i="31"/>
  <c r="K53" i="33"/>
  <c r="F75" i="33"/>
  <c r="L303" i="33"/>
  <c r="H367" i="33"/>
  <c r="L367" i="33" s="1"/>
  <c r="K117" i="33"/>
  <c r="F117" i="33"/>
  <c r="K323" i="33"/>
  <c r="H294" i="33"/>
  <c r="G194" i="33"/>
  <c r="H194" i="33" s="1"/>
  <c r="G186" i="33"/>
  <c r="H186" i="33" s="1"/>
  <c r="G202" i="33"/>
  <c r="H202" i="33" s="1"/>
  <c r="G210" i="33"/>
  <c r="H210" i="33" s="1"/>
  <c r="G130" i="33"/>
  <c r="H130" i="33" s="1"/>
  <c r="G138" i="33"/>
  <c r="H138" i="33" s="1"/>
  <c r="G146" i="33"/>
  <c r="H146" i="33" s="1"/>
  <c r="G257" i="33"/>
  <c r="H257" i="33" s="1"/>
  <c r="G218" i="33"/>
  <c r="H218" i="33" s="1"/>
  <c r="G170" i="33"/>
  <c r="H170" i="33" s="1"/>
  <c r="G178" i="33"/>
  <c r="H178" i="33" s="1"/>
  <c r="G162" i="33"/>
  <c r="H162" i="33" s="1"/>
  <c r="G154" i="33"/>
  <c r="H154" i="33" s="1"/>
  <c r="I8" i="31"/>
  <c r="G229" i="33"/>
  <c r="H229" i="33" s="1"/>
  <c r="K419" i="33"/>
  <c r="F419" i="33"/>
  <c r="L419" i="33" s="1"/>
  <c r="E13" i="32"/>
  <c r="F84" i="33"/>
  <c r="E280" i="31"/>
  <c r="F108" i="33"/>
  <c r="L109" i="33"/>
  <c r="G244" i="33"/>
  <c r="H244" i="33" s="1"/>
  <c r="L269" i="33"/>
  <c r="E49" i="32"/>
  <c r="K653" i="33"/>
  <c r="H653" i="33"/>
  <c r="L653" i="33" s="1"/>
  <c r="K457" i="33"/>
  <c r="H457" i="33"/>
  <c r="L457" i="33" s="1"/>
  <c r="J754" i="33"/>
  <c r="AB753" i="33"/>
  <c r="AD753" i="33" s="1"/>
  <c r="L752" i="33"/>
  <c r="L872" i="33"/>
  <c r="K118" i="33"/>
  <c r="H118" i="33"/>
  <c r="I90" i="33"/>
  <c r="J90" i="33" s="1"/>
  <c r="J89" i="33" s="1"/>
  <c r="G24" i="32" s="1"/>
  <c r="I66" i="31" s="1"/>
  <c r="J66" i="31" s="1"/>
  <c r="I84" i="33"/>
  <c r="J84" i="33" s="1"/>
  <c r="J83" i="33" s="1"/>
  <c r="G22" i="32" s="1"/>
  <c r="I64" i="31" s="1"/>
  <c r="J64" i="31" s="1"/>
  <c r="J48" i="33"/>
  <c r="AB47" i="33"/>
  <c r="AD47" i="33" s="1"/>
  <c r="H44" i="33"/>
  <c r="F11" i="32" s="1"/>
  <c r="G14" i="33" s="1"/>
  <c r="H14" i="33" s="1"/>
  <c r="K476" i="33"/>
  <c r="H476" i="33"/>
  <c r="L476" i="33" s="1"/>
  <c r="K877" i="33"/>
  <c r="H877" i="33"/>
  <c r="F62" i="33"/>
  <c r="H99" i="33"/>
  <c r="K99" i="33"/>
  <c r="E336" i="31"/>
  <c r="F145" i="33"/>
  <c r="K182" i="33"/>
  <c r="F182" i="33"/>
  <c r="F158" i="31"/>
  <c r="F167" i="31"/>
  <c r="F208" i="31"/>
  <c r="F214" i="31"/>
  <c r="H47" i="33"/>
  <c r="L47" i="33" s="1"/>
  <c r="K47" i="33"/>
  <c r="F136" i="33"/>
  <c r="F220" i="31"/>
  <c r="F240" i="31"/>
  <c r="F411" i="31"/>
  <c r="E807" i="33"/>
  <c r="E499" i="33"/>
  <c r="E506" i="33"/>
  <c r="E520" i="33"/>
  <c r="E267" i="33"/>
  <c r="E513" i="33"/>
  <c r="F208" i="33"/>
  <c r="L361" i="33"/>
  <c r="L698" i="33"/>
  <c r="L711" i="33"/>
  <c r="H708" i="33"/>
  <c r="F125" i="32" s="1"/>
  <c r="G226" i="31" s="1"/>
  <c r="G6" i="35"/>
  <c r="I428" i="33" s="1"/>
  <c r="J428" i="33" s="1"/>
  <c r="E93" i="32"/>
  <c r="L492" i="33"/>
  <c r="F70" i="31"/>
  <c r="G162" i="31"/>
  <c r="E66" i="33"/>
  <c r="K12" i="33"/>
  <c r="F12" i="33"/>
  <c r="L12" i="33" s="1"/>
  <c r="H272" i="33"/>
  <c r="F50" i="32" s="1"/>
  <c r="L273" i="33"/>
  <c r="L378" i="33"/>
  <c r="J379" i="33"/>
  <c r="E13" i="33"/>
  <c r="K237" i="33"/>
  <c r="F237" i="33"/>
  <c r="L237" i="33" s="1"/>
  <c r="L562" i="33"/>
  <c r="H50" i="32"/>
  <c r="Y50" i="32" s="1"/>
  <c r="E78" i="33"/>
  <c r="E81" i="33"/>
  <c r="F530" i="33"/>
  <c r="L770" i="33"/>
  <c r="E95" i="31"/>
  <c r="F221" i="31"/>
  <c r="F241" i="31"/>
  <c r="E10" i="33"/>
  <c r="E277" i="31"/>
  <c r="E69" i="33"/>
  <c r="E90" i="33"/>
  <c r="F128" i="33"/>
  <c r="K674" i="33"/>
  <c r="H674" i="33"/>
  <c r="G99" i="31"/>
  <c r="F332" i="31"/>
  <c r="J106" i="33"/>
  <c r="AB105" i="33"/>
  <c r="AD105" i="33" s="1"/>
  <c r="H103" i="33"/>
  <c r="F28" i="32" s="1"/>
  <c r="G70" i="31" s="1"/>
  <c r="F93" i="33"/>
  <c r="E177" i="33"/>
  <c r="E217" i="33"/>
  <c r="E201" i="33"/>
  <c r="E185" i="33"/>
  <c r="E209" i="33"/>
  <c r="E193" i="33"/>
  <c r="I482" i="33"/>
  <c r="J482" i="33" s="1"/>
  <c r="I488" i="33"/>
  <c r="J488" i="33" s="1"/>
  <c r="F352" i="31"/>
  <c r="K109" i="33"/>
  <c r="K297" i="33"/>
  <c r="H297" i="33"/>
  <c r="E176" i="33"/>
  <c r="E168" i="33"/>
  <c r="E256" i="33"/>
  <c r="E216" i="33"/>
  <c r="E144" i="33"/>
  <c r="E228" i="33"/>
  <c r="E152" i="33"/>
  <c r="E160" i="33"/>
  <c r="E192" i="33"/>
  <c r="E184" i="33"/>
  <c r="E243" i="33"/>
  <c r="I160" i="33"/>
  <c r="J160" i="33" s="1"/>
  <c r="I243" i="33"/>
  <c r="J243" i="33" s="1"/>
  <c r="I168" i="33"/>
  <c r="J168" i="33" s="1"/>
  <c r="I228" i="33"/>
  <c r="J228" i="33" s="1"/>
  <c r="I144" i="33"/>
  <c r="J144" i="33" s="1"/>
  <c r="I256" i="33"/>
  <c r="J256" i="33" s="1"/>
  <c r="I128" i="33"/>
  <c r="J128" i="33" s="1"/>
  <c r="I152" i="33"/>
  <c r="J152" i="33" s="1"/>
  <c r="F863" i="33"/>
  <c r="L864" i="33"/>
  <c r="F230" i="33"/>
  <c r="K445" i="33"/>
  <c r="H445" i="33"/>
  <c r="F292" i="31"/>
  <c r="F409" i="31"/>
  <c r="K222" i="33"/>
  <c r="F222" i="33"/>
  <c r="L276" i="33"/>
  <c r="F275" i="33"/>
  <c r="J621" i="33"/>
  <c r="G112" i="32" s="1"/>
  <c r="L625" i="33"/>
  <c r="F244" i="31"/>
  <c r="F249" i="31"/>
  <c r="F337" i="31"/>
  <c r="F9" i="33"/>
  <c r="L9" i="33" s="1"/>
  <c r="F126" i="33"/>
  <c r="L150" i="33"/>
  <c r="E200" i="33"/>
  <c r="L624" i="33"/>
  <c r="K800" i="33"/>
  <c r="F800" i="33"/>
  <c r="K512" i="33"/>
  <c r="F512" i="33"/>
  <c r="E137" i="33"/>
  <c r="E169" i="33"/>
  <c r="E129" i="33"/>
  <c r="K794" i="33"/>
  <c r="F794" i="33"/>
  <c r="G69" i="36"/>
  <c r="E8" i="35" s="1"/>
  <c r="K329" i="33"/>
  <c r="H329" i="33"/>
  <c r="J748" i="33"/>
  <c r="AB747" i="33"/>
  <c r="AD747" i="33" s="1"/>
  <c r="L746" i="33"/>
  <c r="H41" i="33"/>
  <c r="L41" i="33" s="1"/>
  <c r="H57" i="33"/>
  <c r="K225" i="33"/>
  <c r="H318" i="33"/>
  <c r="L318" i="33" s="1"/>
  <c r="E486" i="33"/>
  <c r="E480" i="33"/>
  <c r="I232" i="33"/>
  <c r="J232" i="33" s="1"/>
  <c r="F248" i="33"/>
  <c r="I186" i="33"/>
  <c r="J186" i="33" s="1"/>
  <c r="I178" i="33"/>
  <c r="J178" i="33" s="1"/>
  <c r="I210" i="33"/>
  <c r="J210" i="33" s="1"/>
  <c r="I130" i="33"/>
  <c r="J130" i="33" s="1"/>
  <c r="I138" i="33"/>
  <c r="J138" i="33" s="1"/>
  <c r="I146" i="33"/>
  <c r="J146" i="33" s="1"/>
  <c r="I218" i="33"/>
  <c r="J218" i="33" s="1"/>
  <c r="I257" i="33"/>
  <c r="J257" i="33" s="1"/>
  <c r="I244" i="33"/>
  <c r="J244" i="33" s="1"/>
  <c r="I229" i="33"/>
  <c r="J229" i="33" s="1"/>
  <c r="E509" i="33"/>
  <c r="E810" i="33"/>
  <c r="E516" i="33"/>
  <c r="E523" i="33"/>
  <c r="E502" i="33"/>
  <c r="K384" i="33"/>
  <c r="H384" i="33"/>
  <c r="K618" i="33"/>
  <c r="H618" i="33"/>
  <c r="K5" i="33"/>
  <c r="F5" i="33"/>
  <c r="L25" i="33"/>
  <c r="K788" i="33"/>
  <c r="F788" i="33"/>
  <c r="K882" i="33"/>
  <c r="H882" i="33"/>
  <c r="H835" i="33"/>
  <c r="F145" i="32" s="1"/>
  <c r="J839" i="33"/>
  <c r="AB838" i="33"/>
  <c r="AD838" i="33" s="1"/>
  <c r="K848" i="33"/>
  <c r="H848" i="33"/>
  <c r="L848" i="33" s="1"/>
  <c r="F418" i="31"/>
  <c r="I259" i="33"/>
  <c r="J259" i="33" s="1"/>
  <c r="I147" i="33"/>
  <c r="J147" i="33" s="1"/>
  <c r="I163" i="33"/>
  <c r="J163" i="33" s="1"/>
  <c r="I246" i="33"/>
  <c r="J246" i="33" s="1"/>
  <c r="I171" i="33"/>
  <c r="J171" i="33" s="1"/>
  <c r="I211" i="33"/>
  <c r="J211" i="33" s="1"/>
  <c r="I179" i="33"/>
  <c r="J179" i="33" s="1"/>
  <c r="I195" i="33"/>
  <c r="J195" i="33" s="1"/>
  <c r="I187" i="33"/>
  <c r="J187" i="33" s="1"/>
  <c r="I155" i="33"/>
  <c r="J155" i="33" s="1"/>
  <c r="K119" i="33"/>
  <c r="H119" i="33"/>
  <c r="L119" i="33" s="1"/>
  <c r="I139" i="33"/>
  <c r="J139" i="33" s="1"/>
  <c r="F166" i="33"/>
  <c r="H560" i="33"/>
  <c r="F105" i="32" s="1"/>
  <c r="F574" i="33"/>
  <c r="L574" i="33" s="1"/>
  <c r="AB573" i="33"/>
  <c r="AD573" i="33" s="1"/>
  <c r="L573" i="33"/>
  <c r="K909" i="33"/>
  <c r="F909" i="33"/>
  <c r="G9" i="36"/>
  <c r="G10" i="36" s="1"/>
  <c r="E3" i="35" s="1"/>
  <c r="I69" i="33"/>
  <c r="J69" i="33" s="1"/>
  <c r="J68" i="33" s="1"/>
  <c r="G17" i="32" s="1"/>
  <c r="I59" i="31" s="1"/>
  <c r="J59" i="31" s="1"/>
  <c r="E153" i="33"/>
  <c r="K412" i="33"/>
  <c r="H412" i="33"/>
  <c r="K514" i="33"/>
  <c r="F514" i="33"/>
  <c r="L514" i="33" s="1"/>
  <c r="L837" i="33"/>
  <c r="F326" i="31"/>
  <c r="F353" i="31"/>
  <c r="F60" i="33"/>
  <c r="E263" i="33"/>
  <c r="E250" i="33"/>
  <c r="K112" i="33"/>
  <c r="F112" i="33"/>
  <c r="H455" i="33"/>
  <c r="J458" i="33"/>
  <c r="AB457" i="33"/>
  <c r="AD457" i="33" s="1"/>
  <c r="F897" i="33"/>
  <c r="I72" i="33"/>
  <c r="J72" i="33" s="1"/>
  <c r="J71" i="33" s="1"/>
  <c r="G18" i="32" s="1"/>
  <c r="I60" i="31" s="1"/>
  <c r="J60" i="31" s="1"/>
  <c r="I87" i="33"/>
  <c r="J87" i="33" s="1"/>
  <c r="J86" i="33" s="1"/>
  <c r="G23" i="32" s="1"/>
  <c r="I65" i="31" s="1"/>
  <c r="J65" i="31" s="1"/>
  <c r="E231" i="33"/>
  <c r="E245" i="33"/>
  <c r="I219" i="33"/>
  <c r="J219" i="33" s="1"/>
  <c r="F279" i="33"/>
  <c r="J553" i="33"/>
  <c r="G104" i="32" s="1"/>
  <c r="L557" i="33"/>
  <c r="AB494" i="33"/>
  <c r="AD494" i="33" s="1"/>
  <c r="L493" i="33"/>
  <c r="H491" i="33"/>
  <c r="F93" i="32" s="1"/>
  <c r="J495" i="33"/>
  <c r="H370" i="33"/>
  <c r="F70" i="32" s="1"/>
  <c r="F474" i="33"/>
  <c r="L474" i="33" s="1"/>
  <c r="F483" i="33"/>
  <c r="L628" i="33"/>
  <c r="L638" i="33"/>
  <c r="H676" i="33"/>
  <c r="L678" i="33"/>
  <c r="K235" i="33"/>
  <c r="F235" i="33"/>
  <c r="F726" i="33"/>
  <c r="L727" i="33"/>
  <c r="L830" i="33"/>
  <c r="F829" i="33"/>
  <c r="K393" i="33"/>
  <c r="H393" i="33"/>
  <c r="L393" i="33" s="1"/>
  <c r="L842" i="33"/>
  <c r="F841" i="33"/>
  <c r="K854" i="33"/>
  <c r="H854" i="33"/>
  <c r="K866" i="33"/>
  <c r="H866" i="33"/>
  <c r="L866" i="33" s="1"/>
  <c r="H372" i="33"/>
  <c r="K431" i="33"/>
  <c r="F431" i="33"/>
  <c r="L431" i="33" s="1"/>
  <c r="H463" i="33"/>
  <c r="L463" i="33" s="1"/>
  <c r="H475" i="33"/>
  <c r="H692" i="33"/>
  <c r="L681" i="33"/>
  <c r="K740" i="33"/>
  <c r="H740" i="33"/>
  <c r="H765" i="33"/>
  <c r="AB764" i="33"/>
  <c r="AD764" i="33" s="1"/>
  <c r="G3" i="35"/>
  <c r="I430" i="33" s="1"/>
  <c r="J430" i="33" s="1"/>
  <c r="H289" i="33"/>
  <c r="AB288" i="33"/>
  <c r="AD288" i="33" s="1"/>
  <c r="L287" i="33"/>
  <c r="H298" i="33"/>
  <c r="L298" i="33" s="1"/>
  <c r="K450" i="33"/>
  <c r="H450" i="33"/>
  <c r="K704" i="33"/>
  <c r="H704" i="33"/>
  <c r="K716" i="33"/>
  <c r="H716" i="33"/>
  <c r="K397" i="33"/>
  <c r="H397" i="33"/>
  <c r="K453" i="33"/>
  <c r="H453" i="33"/>
  <c r="F582" i="33"/>
  <c r="L873" i="33"/>
  <c r="H872" i="33"/>
  <c r="F151" i="32" s="1"/>
  <c r="F45" i="33"/>
  <c r="F539" i="33"/>
  <c r="L539" i="33" s="1"/>
  <c r="L832" i="33"/>
  <c r="H885" i="33"/>
  <c r="F154" i="32" s="1"/>
  <c r="G632" i="33" s="1"/>
  <c r="H632" i="33" s="1"/>
  <c r="J894" i="33"/>
  <c r="AB893" i="33"/>
  <c r="AD893" i="33" s="1"/>
  <c r="H32" i="33"/>
  <c r="F227" i="33"/>
  <c r="L227" i="33" s="1"/>
  <c r="K253" i="33"/>
  <c r="F253" i="33"/>
  <c r="H355" i="33"/>
  <c r="L355" i="33" s="1"/>
  <c r="K601" i="33"/>
  <c r="F601" i="33"/>
  <c r="J54" i="33"/>
  <c r="AB53" i="33"/>
  <c r="AD53" i="33" s="1"/>
  <c r="I489" i="33"/>
  <c r="J489" i="33" s="1"/>
  <c r="K611" i="33"/>
  <c r="H611" i="33"/>
  <c r="L888" i="33"/>
  <c r="F123" i="33"/>
  <c r="F175" i="33"/>
  <c r="L175" i="33" s="1"/>
  <c r="F238" i="33"/>
  <c r="L238" i="33" s="1"/>
  <c r="F242" i="33"/>
  <c r="L242" i="33" s="1"/>
  <c r="F247" i="33"/>
  <c r="L247" i="33" s="1"/>
  <c r="H330" i="33"/>
  <c r="L330" i="33" s="1"/>
  <c r="K366" i="33"/>
  <c r="H366" i="33"/>
  <c r="H375" i="33"/>
  <c r="F71" i="32" s="1"/>
  <c r="AB378" i="33"/>
  <c r="AD378" i="33" s="1"/>
  <c r="K468" i="33"/>
  <c r="H468" i="33"/>
  <c r="F673" i="33"/>
  <c r="F721" i="33"/>
  <c r="F875" i="33"/>
  <c r="L52" i="33"/>
  <c r="H314" i="33"/>
  <c r="AB313" i="33"/>
  <c r="AD313" i="33" s="1"/>
  <c r="K769" i="33"/>
  <c r="F769" i="33"/>
  <c r="AB777" i="33"/>
  <c r="AD777" i="33" s="1"/>
  <c r="L776" i="33"/>
  <c r="L795" i="33"/>
  <c r="J797" i="33"/>
  <c r="AB796" i="33"/>
  <c r="AD796" i="33" s="1"/>
  <c r="F817" i="33"/>
  <c r="L818" i="33"/>
  <c r="L903" i="33"/>
  <c r="E538" i="33"/>
  <c r="E543" i="33"/>
  <c r="K658" i="33"/>
  <c r="F658" i="33"/>
  <c r="G25" i="36"/>
  <c r="G46" i="36"/>
  <c r="E6" i="35" s="1"/>
  <c r="F215" i="33"/>
  <c r="F255" i="33"/>
  <c r="L255" i="33" s="1"/>
  <c r="H324" i="33"/>
  <c r="L324" i="33" s="1"/>
  <c r="H621" i="33"/>
  <c r="F112" i="32" s="1"/>
  <c r="AB624" i="33"/>
  <c r="AD624" i="33" s="1"/>
  <c r="H728" i="33"/>
  <c r="K342" i="33"/>
  <c r="L781" i="33"/>
  <c r="F780" i="33"/>
  <c r="K595" i="33"/>
  <c r="H595" i="33"/>
  <c r="G4" i="35"/>
  <c r="F190" i="33"/>
  <c r="F207" i="33"/>
  <c r="L207" i="33" s="1"/>
  <c r="K469" i="33"/>
  <c r="H469" i="33"/>
  <c r="L469" i="33" s="1"/>
  <c r="K660" i="33"/>
  <c r="H660" i="33"/>
  <c r="L801" i="33"/>
  <c r="H799" i="33"/>
  <c r="F140" i="32" s="1"/>
  <c r="G300" i="31" s="1"/>
  <c r="J803" i="33"/>
  <c r="L317" i="33"/>
  <c r="L831" i="33"/>
  <c r="L859" i="33"/>
  <c r="K860" i="33"/>
  <c r="H860" i="33"/>
  <c r="K910" i="33"/>
  <c r="F910" i="33"/>
  <c r="L910" i="33" s="1"/>
  <c r="F709" i="33"/>
  <c r="F733" i="33"/>
  <c r="H782" i="33"/>
  <c r="H820" i="33"/>
  <c r="H844" i="33"/>
  <c r="F417" i="33"/>
  <c r="L417" i="33" s="1"/>
  <c r="F498" i="33"/>
  <c r="H558" i="33"/>
  <c r="L558" i="33" s="1"/>
  <c r="AB557" i="33"/>
  <c r="AD557" i="33" s="1"/>
  <c r="F563" i="33"/>
  <c r="L563" i="33" s="1"/>
  <c r="L622" i="33"/>
  <c r="F621" i="33"/>
  <c r="H650" i="33"/>
  <c r="L813" i="33"/>
  <c r="H827" i="33"/>
  <c r="L827" i="33" s="1"/>
  <c r="F206" i="33"/>
  <c r="H462" i="33"/>
  <c r="F519" i="33"/>
  <c r="F615" i="33"/>
  <c r="F806" i="33"/>
  <c r="G60" i="36"/>
  <c r="G7" i="35"/>
  <c r="H381" i="33"/>
  <c r="F72" i="32" s="1"/>
  <c r="L555" i="33"/>
  <c r="F569" i="33"/>
  <c r="L569" i="33" s="1"/>
  <c r="F853" i="33"/>
  <c r="L686" i="33"/>
  <c r="J712" i="33"/>
  <c r="AB711" i="33"/>
  <c r="AD711" i="33" s="1"/>
  <c r="L710" i="33"/>
  <c r="J736" i="33"/>
  <c r="AB735" i="33"/>
  <c r="AD735" i="33" s="1"/>
  <c r="L734" i="33"/>
  <c r="J759" i="33"/>
  <c r="AB758" i="33"/>
  <c r="AD758" i="33" s="1"/>
  <c r="L758" i="33"/>
  <c r="F375" i="33"/>
  <c r="H344" i="33"/>
  <c r="L344" i="33" s="1"/>
  <c r="H351" i="33"/>
  <c r="F67" i="32" s="1"/>
  <c r="H439" i="33"/>
  <c r="F815" i="33"/>
  <c r="L815" i="33" s="1"/>
  <c r="F885" i="33"/>
  <c r="L307" i="33"/>
  <c r="G33" i="36"/>
  <c r="G34" i="36" s="1"/>
  <c r="H388" i="33"/>
  <c r="H548" i="33"/>
  <c r="F554" i="33"/>
  <c r="H602" i="33"/>
  <c r="F608" i="33"/>
  <c r="H661" i="33"/>
  <c r="L661" i="33" s="1"/>
  <c r="H435" i="33"/>
  <c r="H642" i="33"/>
  <c r="H635" i="33" s="1"/>
  <c r="F114" i="32" s="1"/>
  <c r="G202" i="31" s="1"/>
  <c r="L352" i="33"/>
  <c r="F416" i="33"/>
  <c r="L416" i="33" s="1"/>
  <c r="H283" i="33"/>
  <c r="H409" i="33"/>
  <c r="H421" i="33"/>
  <c r="H427" i="33"/>
  <c r="L427" i="33" s="1"/>
  <c r="F461" i="33"/>
  <c r="F467" i="33"/>
  <c r="F473" i="33"/>
  <c r="F266" i="33"/>
  <c r="F636" i="33"/>
  <c r="H669" i="33"/>
  <c r="H849" i="33"/>
  <c r="L849" i="33" s="1"/>
  <c r="H855" i="33"/>
  <c r="L855" i="33" s="1"/>
  <c r="A281" i="2"/>
  <c r="A283" i="2" s="1"/>
  <c r="A285" i="2" s="1"/>
  <c r="F248" i="2"/>
  <c r="F258" i="2"/>
  <c r="A260" i="2"/>
  <c r="A262" i="2" s="1"/>
  <c r="A264" i="2" s="1"/>
  <c r="A266" i="2" s="1"/>
  <c r="A268" i="2" s="1"/>
  <c r="A270" i="2" s="1"/>
  <c r="D251" i="2"/>
  <c r="F252" i="2"/>
  <c r="F229" i="2"/>
  <c r="D217" i="2"/>
  <c r="F216" i="2" s="1"/>
  <c r="F214" i="2"/>
  <c r="D202" i="2"/>
  <c r="F201" i="2" s="1"/>
  <c r="D187" i="2"/>
  <c r="F186" i="2" s="1"/>
  <c r="D172" i="2"/>
  <c r="F171" i="2" s="1"/>
  <c r="D157" i="2"/>
  <c r="F156" i="2" s="1"/>
  <c r="D142" i="2"/>
  <c r="F141" i="2" s="1"/>
  <c r="D127" i="2"/>
  <c r="F126" i="2" s="1"/>
  <c r="D112" i="2"/>
  <c r="F111" i="2" s="1"/>
  <c r="D97" i="2"/>
  <c r="F96" i="2" s="1"/>
  <c r="D82" i="2"/>
  <c r="F81" i="2" s="1"/>
  <c r="D52" i="2"/>
  <c r="F51" i="2" s="1"/>
  <c r="D67" i="2"/>
  <c r="F66" i="2" s="1"/>
  <c r="F12" i="2"/>
  <c r="E5" i="35" l="1"/>
  <c r="G37" i="36"/>
  <c r="L590" i="33"/>
  <c r="F588" i="33"/>
  <c r="E108" i="32" s="1"/>
  <c r="F812" i="33"/>
  <c r="E142" i="32" s="1"/>
  <c r="F507" i="33"/>
  <c r="L507" i="33" s="1"/>
  <c r="L703" i="33"/>
  <c r="F159" i="33"/>
  <c r="H401" i="33"/>
  <c r="L402" i="33"/>
  <c r="H425" i="33"/>
  <c r="F81" i="32" s="1"/>
  <c r="AB293" i="33"/>
  <c r="AD293" i="33" s="1"/>
  <c r="J42" i="33"/>
  <c r="AB790" i="33"/>
  <c r="AD790" i="33" s="1"/>
  <c r="AB866" i="33"/>
  <c r="AD866" i="33" s="1"/>
  <c r="H750" i="33"/>
  <c r="F132" i="32" s="1"/>
  <c r="G233" i="31" s="1"/>
  <c r="J349" i="33"/>
  <c r="L348" i="33"/>
  <c r="H787" i="33"/>
  <c r="F138" i="32" s="1"/>
  <c r="G296" i="31" s="1"/>
  <c r="J791" i="33"/>
  <c r="H27" i="33"/>
  <c r="F8" i="32" s="1"/>
  <c r="G10" i="33" s="1"/>
  <c r="H10" i="33" s="1"/>
  <c r="J29" i="33"/>
  <c r="AB682" i="33"/>
  <c r="AD682" i="33" s="1"/>
  <c r="L577" i="33"/>
  <c r="H576" i="33"/>
  <c r="F106" i="32" s="1"/>
  <c r="F579" i="33"/>
  <c r="AB578" i="33"/>
  <c r="AD578" i="33" s="1"/>
  <c r="J688" i="33"/>
  <c r="L688" i="33" s="1"/>
  <c r="H404" i="33"/>
  <c r="L405" i="33"/>
  <c r="AB393" i="33"/>
  <c r="AD393" i="33" s="1"/>
  <c r="H359" i="33"/>
  <c r="F68" i="32" s="1"/>
  <c r="G224" i="33" s="1"/>
  <c r="H224" i="33" s="1"/>
  <c r="AB308" i="33"/>
  <c r="AD308" i="33" s="1"/>
  <c r="H309" i="33"/>
  <c r="G8" i="33"/>
  <c r="H8" i="33" s="1"/>
  <c r="G166" i="31"/>
  <c r="G291" i="31"/>
  <c r="L40" i="33"/>
  <c r="H39" i="33"/>
  <c r="AB654" i="33"/>
  <c r="AD654" i="33" s="1"/>
  <c r="H680" i="33"/>
  <c r="F120" i="32" s="1"/>
  <c r="G336" i="31" s="1"/>
  <c r="F357" i="33"/>
  <c r="AB334" i="33"/>
  <c r="AD334" i="33" s="1"/>
  <c r="H685" i="33"/>
  <c r="F121" i="32" s="1"/>
  <c r="G222" i="31" s="1"/>
  <c r="AB899" i="33"/>
  <c r="AD899" i="33" s="1"/>
  <c r="H304" i="33"/>
  <c r="L23" i="33"/>
  <c r="E7" i="32"/>
  <c r="H829" i="33"/>
  <c r="F144" i="32" s="1"/>
  <c r="G320" i="31" s="1"/>
  <c r="H902" i="33"/>
  <c r="F156" i="32" s="1"/>
  <c r="L898" i="33"/>
  <c r="H732" i="33"/>
  <c r="F129" i="32" s="1"/>
  <c r="G344" i="31" s="1"/>
  <c r="H720" i="33"/>
  <c r="F127" i="32" s="1"/>
  <c r="G228" i="31" s="1"/>
  <c r="L28" i="33"/>
  <c r="AB362" i="33"/>
  <c r="AD362" i="33" s="1"/>
  <c r="H772" i="33"/>
  <c r="J335" i="33"/>
  <c r="H696" i="33"/>
  <c r="F123" i="32" s="1"/>
  <c r="G224" i="31" s="1"/>
  <c r="AB28" i="33"/>
  <c r="AD28" i="33" s="1"/>
  <c r="AB699" i="33"/>
  <c r="AD699" i="33" s="1"/>
  <c r="H340" i="33"/>
  <c r="F65" i="32" s="1"/>
  <c r="J700" i="33"/>
  <c r="L700" i="33" s="1"/>
  <c r="J363" i="33"/>
  <c r="H332" i="33"/>
  <c r="F63" i="32" s="1"/>
  <c r="J905" i="33"/>
  <c r="L905" i="33" s="1"/>
  <c r="AB723" i="33"/>
  <c r="AD723" i="33" s="1"/>
  <c r="H346" i="33"/>
  <c r="F66" i="32" s="1"/>
  <c r="L347" i="33"/>
  <c r="AB348" i="33"/>
  <c r="AD348" i="33" s="1"/>
  <c r="AB771" i="33"/>
  <c r="AD771" i="33" s="1"/>
  <c r="G234" i="31"/>
  <c r="G348" i="31"/>
  <c r="L687" i="33"/>
  <c r="L583" i="33"/>
  <c r="H586" i="33"/>
  <c r="L586" i="33" s="1"/>
  <c r="H581" i="33"/>
  <c r="F107" i="32" s="1"/>
  <c r="AB585" i="33"/>
  <c r="AD585" i="33" s="1"/>
  <c r="J585" i="33"/>
  <c r="L440" i="33"/>
  <c r="J442" i="33"/>
  <c r="AB441" i="33"/>
  <c r="AD441" i="33" s="1"/>
  <c r="J900" i="33"/>
  <c r="J896" i="33" s="1"/>
  <c r="G155" i="32" s="1"/>
  <c r="I633" i="33" s="1"/>
  <c r="J633" i="33" s="1"/>
  <c r="AB904" i="33"/>
  <c r="AD904" i="33" s="1"/>
  <c r="L722" i="33"/>
  <c r="J655" i="33"/>
  <c r="H744" i="33"/>
  <c r="F131" i="32" s="1"/>
  <c r="H793" i="33"/>
  <c r="F139" i="32" s="1"/>
  <c r="G298" i="31" s="1"/>
  <c r="H8" i="31"/>
  <c r="K174" i="33"/>
  <c r="F174" i="33"/>
  <c r="L174" i="33" s="1"/>
  <c r="K568" i="33"/>
  <c r="F568" i="33"/>
  <c r="L568" i="33" s="1"/>
  <c r="E347" i="31"/>
  <c r="F347" i="31" s="1"/>
  <c r="E233" i="31"/>
  <c r="F233" i="31" s="1"/>
  <c r="K199" i="33"/>
  <c r="F199" i="33"/>
  <c r="L199" i="33" s="1"/>
  <c r="K360" i="33"/>
  <c r="F360" i="33"/>
  <c r="K382" i="33"/>
  <c r="F382" i="33"/>
  <c r="L745" i="33"/>
  <c r="F630" i="33"/>
  <c r="L630" i="33" s="1"/>
  <c r="K630" i="33"/>
  <c r="K715" i="33"/>
  <c r="F715" i="33"/>
  <c r="L408" i="33"/>
  <c r="F407" i="33"/>
  <c r="E78" i="32" s="1"/>
  <c r="F205" i="31"/>
  <c r="F151" i="33"/>
  <c r="L151" i="33" s="1"/>
  <c r="K151" i="33"/>
  <c r="L739" i="33"/>
  <c r="F738" i="33"/>
  <c r="E130" i="32" s="1"/>
  <c r="E231" i="31" s="1"/>
  <c r="F757" i="33"/>
  <c r="F690" i="33"/>
  <c r="E122" i="32" s="1"/>
  <c r="L691" i="33"/>
  <c r="F183" i="33"/>
  <c r="L183" i="33" s="1"/>
  <c r="K565" i="33"/>
  <c r="F565" i="33"/>
  <c r="K501" i="33"/>
  <c r="F501" i="33"/>
  <c r="L501" i="33" s="1"/>
  <c r="K808" i="33"/>
  <c r="F836" i="33"/>
  <c r="K836" i="33"/>
  <c r="L751" i="33"/>
  <c r="F135" i="33"/>
  <c r="L135" i="33" s="1"/>
  <c r="K135" i="33"/>
  <c r="K522" i="33"/>
  <c r="F522" i="33"/>
  <c r="L522" i="33" s="1"/>
  <c r="F521" i="33"/>
  <c r="L521" i="33" s="1"/>
  <c r="K521" i="33"/>
  <c r="K515" i="33"/>
  <c r="F515" i="33"/>
  <c r="L515" i="33" s="1"/>
  <c r="F206" i="31"/>
  <c r="K249" i="33"/>
  <c r="F249" i="33"/>
  <c r="L249" i="33" s="1"/>
  <c r="L697" i="33"/>
  <c r="F696" i="33"/>
  <c r="E123" i="32" s="1"/>
  <c r="E224" i="31" s="1"/>
  <c r="F224" i="31" s="1"/>
  <c r="K143" i="33"/>
  <c r="F143" i="33"/>
  <c r="L143" i="33" s="1"/>
  <c r="F340" i="33"/>
  <c r="E65" i="32" s="1"/>
  <c r="E187" i="33" s="1"/>
  <c r="L341" i="33"/>
  <c r="L647" i="33"/>
  <c r="F646" i="33"/>
  <c r="E115" i="32" s="1"/>
  <c r="E203" i="31" s="1"/>
  <c r="F203" i="31" s="1"/>
  <c r="F219" i="31"/>
  <c r="L677" i="33"/>
  <c r="K214" i="33"/>
  <c r="F214" i="33"/>
  <c r="L214" i="33" s="1"/>
  <c r="L338" i="33"/>
  <c r="F337" i="33"/>
  <c r="K17" i="33"/>
  <c r="F17" i="33"/>
  <c r="K127" i="33"/>
  <c r="F127" i="33"/>
  <c r="L127" i="33" s="1"/>
  <c r="L51" i="33"/>
  <c r="F50" i="33"/>
  <c r="E12" i="32" s="1"/>
  <c r="E20" i="33" s="1"/>
  <c r="F20" i="33" s="1"/>
  <c r="F388" i="31"/>
  <c r="E373" i="31"/>
  <c r="F396" i="31"/>
  <c r="E374" i="31" s="1"/>
  <c r="J646" i="33"/>
  <c r="G115" i="32" s="1"/>
  <c r="L655" i="33"/>
  <c r="G284" i="31"/>
  <c r="G156" i="31"/>
  <c r="L473" i="33"/>
  <c r="F472" i="33"/>
  <c r="L844" i="33"/>
  <c r="J850" i="33"/>
  <c r="AB849" i="33"/>
  <c r="AD849" i="33" s="1"/>
  <c r="H841" i="33"/>
  <c r="F146" i="32" s="1"/>
  <c r="G324" i="31" s="1"/>
  <c r="L673" i="33"/>
  <c r="F672" i="33"/>
  <c r="L453" i="33"/>
  <c r="H452" i="33"/>
  <c r="AB421" i="33"/>
  <c r="AD421" i="33" s="1"/>
  <c r="G301" i="31"/>
  <c r="G175" i="31"/>
  <c r="L794" i="33"/>
  <c r="F793" i="33"/>
  <c r="F192" i="33"/>
  <c r="F81" i="33"/>
  <c r="J696" i="33"/>
  <c r="G123" i="32" s="1"/>
  <c r="F306" i="31"/>
  <c r="L467" i="33"/>
  <c r="F466" i="33"/>
  <c r="F83" i="32"/>
  <c r="J730" i="33"/>
  <c r="AB729" i="33"/>
  <c r="AD729" i="33" s="1"/>
  <c r="L728" i="33"/>
  <c r="H726" i="33"/>
  <c r="F128" i="32" s="1"/>
  <c r="G229" i="31" s="1"/>
  <c r="E143" i="32"/>
  <c r="H466" i="33"/>
  <c r="F89" i="32" s="1"/>
  <c r="G169" i="31" s="1"/>
  <c r="J470" i="33"/>
  <c r="AB469" i="33"/>
  <c r="AD469" i="33" s="1"/>
  <c r="L468" i="33"/>
  <c r="L235" i="33"/>
  <c r="F160" i="33"/>
  <c r="F78" i="33"/>
  <c r="L117" i="33"/>
  <c r="F187" i="31"/>
  <c r="L498" i="33"/>
  <c r="J799" i="33"/>
  <c r="G140" i="32" s="1"/>
  <c r="L803" i="33"/>
  <c r="G527" i="33"/>
  <c r="H527" i="33" s="1"/>
  <c r="H525" i="33" s="1"/>
  <c r="F98" i="32" s="1"/>
  <c r="G180" i="31" s="1"/>
  <c r="G531" i="33"/>
  <c r="H531" i="33" s="1"/>
  <c r="H529" i="33" s="1"/>
  <c r="F99" i="32" s="1"/>
  <c r="G181" i="31" s="1"/>
  <c r="G540" i="33"/>
  <c r="H540" i="33" s="1"/>
  <c r="H537" i="33" s="1"/>
  <c r="F101" i="32" s="1"/>
  <c r="G183" i="31" s="1"/>
  <c r="G236" i="33"/>
  <c r="H236" i="33" s="1"/>
  <c r="G629" i="33"/>
  <c r="H629" i="33" s="1"/>
  <c r="G545" i="33"/>
  <c r="H545" i="33" s="1"/>
  <c r="H542" i="33" s="1"/>
  <c r="F102" i="32" s="1"/>
  <c r="G184" i="31" s="1"/>
  <c r="G254" i="33"/>
  <c r="H254" i="33" s="1"/>
  <c r="G223" i="33"/>
  <c r="H223" i="33" s="1"/>
  <c r="G239" i="33"/>
  <c r="H239" i="33" s="1"/>
  <c r="G535" i="33"/>
  <c r="H535" i="33" s="1"/>
  <c r="H533" i="33" s="1"/>
  <c r="F100" i="32" s="1"/>
  <c r="G182" i="31" s="1"/>
  <c r="G196" i="31"/>
  <c r="G315" i="31"/>
  <c r="F350" i="31"/>
  <c r="G357" i="31"/>
  <c r="G257" i="31"/>
  <c r="G100" i="31"/>
  <c r="L108" i="33"/>
  <c r="E29" i="32"/>
  <c r="L421" i="33"/>
  <c r="H414" i="33"/>
  <c r="F80" i="32" s="1"/>
  <c r="J718" i="33"/>
  <c r="AB717" i="33"/>
  <c r="AD717" i="33" s="1"/>
  <c r="L716" i="33"/>
  <c r="H714" i="33"/>
  <c r="F126" i="32" s="1"/>
  <c r="G227" i="31" s="1"/>
  <c r="L409" i="33"/>
  <c r="H407" i="33"/>
  <c r="J706" i="33"/>
  <c r="AB705" i="33"/>
  <c r="AD705" i="33" s="1"/>
  <c r="L704" i="33"/>
  <c r="H702" i="33"/>
  <c r="L733" i="33"/>
  <c r="F732" i="33"/>
  <c r="L275" i="33"/>
  <c r="E51" i="32"/>
  <c r="F513" i="33"/>
  <c r="L450" i="33"/>
  <c r="H449" i="33"/>
  <c r="F12" i="32"/>
  <c r="F518" i="33"/>
  <c r="L519" i="33"/>
  <c r="L642" i="33"/>
  <c r="J644" i="33"/>
  <c r="AB643" i="33"/>
  <c r="AD643" i="33" s="1"/>
  <c r="H460" i="33"/>
  <c r="F88" i="32" s="1"/>
  <c r="J464" i="33"/>
  <c r="L462" i="33"/>
  <c r="AB463" i="33"/>
  <c r="AD463" i="33" s="1"/>
  <c r="F768" i="33"/>
  <c r="L769" i="33"/>
  <c r="L253" i="33"/>
  <c r="E163" i="33"/>
  <c r="E219" i="33"/>
  <c r="E155" i="33"/>
  <c r="E211" i="33"/>
  <c r="E179" i="33"/>
  <c r="E246" i="33"/>
  <c r="E171" i="33"/>
  <c r="E203" i="33"/>
  <c r="H65" i="32"/>
  <c r="Y65" i="32" s="1"/>
  <c r="E139" i="33"/>
  <c r="E195" i="33"/>
  <c r="E131" i="33"/>
  <c r="F217" i="33"/>
  <c r="F277" i="31"/>
  <c r="F506" i="33"/>
  <c r="F10" i="32"/>
  <c r="E152" i="32"/>
  <c r="L530" i="33"/>
  <c r="L294" i="33"/>
  <c r="H291" i="33"/>
  <c r="L721" i="33"/>
  <c r="F720" i="33"/>
  <c r="J375" i="33"/>
  <c r="G71" i="32" s="1"/>
  <c r="L379" i="33"/>
  <c r="J694" i="33"/>
  <c r="AB693" i="33"/>
  <c r="AD693" i="33" s="1"/>
  <c r="L692" i="33"/>
  <c r="H690" i="33"/>
  <c r="L724" i="33"/>
  <c r="J720" i="33"/>
  <c r="G127" i="32" s="1"/>
  <c r="H7" i="35"/>
  <c r="I436" i="33"/>
  <c r="L797" i="33"/>
  <c r="J793" i="33"/>
  <c r="G139" i="32" s="1"/>
  <c r="F144" i="33"/>
  <c r="J680" i="33"/>
  <c r="L683" i="33"/>
  <c r="E149" i="32"/>
  <c r="L601" i="33"/>
  <c r="F600" i="33"/>
  <c r="F209" i="33"/>
  <c r="J775" i="33"/>
  <c r="L778" i="33"/>
  <c r="F185" i="33"/>
  <c r="H5" i="35"/>
  <c r="E96" i="31"/>
  <c r="F520" i="33"/>
  <c r="F83" i="33"/>
  <c r="L435" i="33"/>
  <c r="H433" i="33"/>
  <c r="F82" i="32" s="1"/>
  <c r="F437" i="33"/>
  <c r="AB436" i="33"/>
  <c r="AD436" i="33" s="1"/>
  <c r="L206" i="33"/>
  <c r="L860" i="33"/>
  <c r="H858" i="33"/>
  <c r="L190" i="33"/>
  <c r="L897" i="33"/>
  <c r="F896" i="33"/>
  <c r="E430" i="33"/>
  <c r="H3" i="35"/>
  <c r="F177" i="33"/>
  <c r="F499" i="33"/>
  <c r="F336" i="31"/>
  <c r="G347" i="31"/>
  <c r="F422" i="33"/>
  <c r="L106" i="33"/>
  <c r="J103" i="33"/>
  <c r="L582" i="33"/>
  <c r="F581" i="33"/>
  <c r="L660" i="33"/>
  <c r="J666" i="33"/>
  <c r="AB665" i="33"/>
  <c r="AD665" i="33" s="1"/>
  <c r="H657" i="33"/>
  <c r="F116" i="32" s="1"/>
  <c r="G204" i="31" s="1"/>
  <c r="F152" i="33"/>
  <c r="G241" i="33"/>
  <c r="H241" i="33" s="1"/>
  <c r="G172" i="31"/>
  <c r="G240" i="33"/>
  <c r="H240" i="33" s="1"/>
  <c r="G171" i="31"/>
  <c r="F137" i="33"/>
  <c r="F216" i="33"/>
  <c r="F159" i="31"/>
  <c r="L615" i="33"/>
  <c r="F231" i="33"/>
  <c r="J385" i="33"/>
  <c r="AB384" i="33"/>
  <c r="AD384" i="33" s="1"/>
  <c r="L384" i="33"/>
  <c r="F176" i="33"/>
  <c r="AB119" i="33"/>
  <c r="AD119" i="33" s="1"/>
  <c r="F120" i="33"/>
  <c r="L120" i="33" s="1"/>
  <c r="L118" i="33"/>
  <c r="H116" i="33"/>
  <c r="F31" i="32" s="1"/>
  <c r="G75" i="31" s="1"/>
  <c r="G39" i="31" s="1"/>
  <c r="H39" i="31" s="1"/>
  <c r="F69" i="33"/>
  <c r="L159" i="33"/>
  <c r="L854" i="33"/>
  <c r="H852" i="33"/>
  <c r="F147" i="32" s="1"/>
  <c r="G343" i="31" s="1"/>
  <c r="J856" i="33"/>
  <c r="AB855" i="33"/>
  <c r="AD855" i="33" s="1"/>
  <c r="L909" i="33"/>
  <c r="F907" i="33"/>
  <c r="F502" i="33"/>
  <c r="L57" i="33"/>
  <c r="H56" i="33"/>
  <c r="F92" i="33"/>
  <c r="E301" i="31"/>
  <c r="H93" i="32"/>
  <c r="Y93" i="32" s="1"/>
  <c r="E175" i="31"/>
  <c r="F807" i="33"/>
  <c r="L42" i="33"/>
  <c r="J39" i="33"/>
  <c r="G10" i="32" s="1"/>
  <c r="I13" i="33" s="1"/>
  <c r="J13" i="33" s="1"/>
  <c r="G245" i="33"/>
  <c r="H245" i="33" s="1"/>
  <c r="G231" i="33"/>
  <c r="H231" i="33" s="1"/>
  <c r="G258" i="33"/>
  <c r="H768" i="33"/>
  <c r="F135" i="32" s="1"/>
  <c r="G237" i="31" s="1"/>
  <c r="L772" i="33"/>
  <c r="J773" i="33"/>
  <c r="AB772" i="33"/>
  <c r="AD772" i="33" s="1"/>
  <c r="J879" i="33"/>
  <c r="AB878" i="33"/>
  <c r="AD878" i="33" s="1"/>
  <c r="L877" i="33"/>
  <c r="H875" i="33"/>
  <c r="F152" i="32" s="1"/>
  <c r="G487" i="33" s="1"/>
  <c r="H487" i="33" s="1"/>
  <c r="F265" i="33"/>
  <c r="L266" i="33"/>
  <c r="J50" i="33"/>
  <c r="G12" i="32" s="1"/>
  <c r="I20" i="33" s="1"/>
  <c r="J20" i="33" s="1"/>
  <c r="J19" i="33" s="1"/>
  <c r="G6" i="32" s="1"/>
  <c r="I24" i="31" s="1"/>
  <c r="J24" i="31" s="1"/>
  <c r="L54" i="33"/>
  <c r="H817" i="33"/>
  <c r="F143" i="32" s="1"/>
  <c r="G316" i="31" s="1"/>
  <c r="L820" i="33"/>
  <c r="L5" i="33"/>
  <c r="F4" i="33"/>
  <c r="J784" i="33"/>
  <c r="AB783" i="33"/>
  <c r="AD783" i="33" s="1"/>
  <c r="L782" i="33"/>
  <c r="H780" i="33"/>
  <c r="F137" i="32" s="1"/>
  <c r="G295" i="31" s="1"/>
  <c r="L757" i="33"/>
  <c r="F756" i="33"/>
  <c r="L412" i="33"/>
  <c r="H411" i="33"/>
  <c r="F193" i="33"/>
  <c r="F168" i="33"/>
  <c r="L215" i="33"/>
  <c r="F153" i="33"/>
  <c r="F90" i="33"/>
  <c r="F267" i="33"/>
  <c r="L736" i="33"/>
  <c r="J732" i="33"/>
  <c r="G129" i="32" s="1"/>
  <c r="L608" i="33"/>
  <c r="J829" i="33"/>
  <c r="G144" i="32" s="1"/>
  <c r="L833" i="33"/>
  <c r="J787" i="33"/>
  <c r="G138" i="32" s="1"/>
  <c r="L791" i="33"/>
  <c r="L123" i="33"/>
  <c r="F122" i="33"/>
  <c r="J36" i="33"/>
  <c r="H31" i="33"/>
  <c r="F9" i="32" s="1"/>
  <c r="G11" i="33" s="1"/>
  <c r="H11" i="33" s="1"/>
  <c r="AB35" i="33"/>
  <c r="AD35" i="33" s="1"/>
  <c r="L32" i="33"/>
  <c r="F37" i="33"/>
  <c r="AB36" i="33"/>
  <c r="AD36" i="33" s="1"/>
  <c r="L289" i="33"/>
  <c r="H286" i="33"/>
  <c r="J455" i="33"/>
  <c r="G87" i="32" s="1"/>
  <c r="L458" i="33"/>
  <c r="F523" i="33"/>
  <c r="L800" i="33"/>
  <c r="F799" i="33"/>
  <c r="L297" i="33"/>
  <c r="H299" i="33"/>
  <c r="AB298" i="33"/>
  <c r="AD298" i="33" s="1"/>
  <c r="F10" i="33"/>
  <c r="L491" i="33"/>
  <c r="F68" i="31"/>
  <c r="L356" i="33"/>
  <c r="J351" i="33"/>
  <c r="G67" i="32" s="1"/>
  <c r="J883" i="33"/>
  <c r="AB882" i="33"/>
  <c r="AD882" i="33" s="1"/>
  <c r="L882" i="33"/>
  <c r="H881" i="33"/>
  <c r="H8" i="35"/>
  <c r="E429" i="33"/>
  <c r="E99" i="31"/>
  <c r="E356" i="31"/>
  <c r="E256" i="31"/>
  <c r="H49" i="32"/>
  <c r="Y49" i="32" s="1"/>
  <c r="L885" i="33"/>
  <c r="E154" i="32"/>
  <c r="F184" i="33"/>
  <c r="L461" i="33"/>
  <c r="F460" i="33"/>
  <c r="H396" i="33"/>
  <c r="J399" i="33"/>
  <c r="AB398" i="33"/>
  <c r="AD398" i="33" s="1"/>
  <c r="L397" i="33"/>
  <c r="F129" i="33"/>
  <c r="F169" i="33"/>
  <c r="J44" i="33"/>
  <c r="G11" i="32" s="1"/>
  <c r="I14" i="33" s="1"/>
  <c r="J14" i="33" s="1"/>
  <c r="L48" i="33"/>
  <c r="E71" i="32"/>
  <c r="F245" i="33"/>
  <c r="F66" i="33"/>
  <c r="F119" i="32"/>
  <c r="L676" i="33"/>
  <c r="L222" i="33"/>
  <c r="L602" i="33"/>
  <c r="AB604" i="33"/>
  <c r="AD604" i="33" s="1"/>
  <c r="J604" i="33"/>
  <c r="H605" i="33"/>
  <c r="L605" i="33" s="1"/>
  <c r="AB603" i="33"/>
  <c r="AD603" i="33" s="1"/>
  <c r="J708" i="33"/>
  <c r="G125" i="32" s="1"/>
  <c r="L712" i="33"/>
  <c r="L650" i="33"/>
  <c r="H646" i="33"/>
  <c r="AB860" i="33"/>
  <c r="AD860" i="33" s="1"/>
  <c r="AB325" i="33"/>
  <c r="AD325" i="33" s="1"/>
  <c r="E146" i="32"/>
  <c r="F87" i="32"/>
  <c r="H863" i="33"/>
  <c r="F149" i="32" s="1"/>
  <c r="G481" i="33" s="1"/>
  <c r="H481" i="33" s="1"/>
  <c r="F516" i="33"/>
  <c r="F239" i="31"/>
  <c r="J750" i="33"/>
  <c r="G132" i="32" s="1"/>
  <c r="L754" i="33"/>
  <c r="E53" i="31"/>
  <c r="L166" i="33"/>
  <c r="J491" i="33"/>
  <c r="G93" i="32" s="1"/>
  <c r="L495" i="33"/>
  <c r="L363" i="33"/>
  <c r="J359" i="33"/>
  <c r="G68" i="32" s="1"/>
  <c r="I224" i="33" s="1"/>
  <c r="J224" i="33" s="1"/>
  <c r="I8" i="30"/>
  <c r="J8" i="30" s="1"/>
  <c r="J8" i="31"/>
  <c r="L512" i="33"/>
  <c r="L806" i="33"/>
  <c r="L335" i="33"/>
  <c r="J332" i="33"/>
  <c r="G63" i="32" s="1"/>
  <c r="L554" i="33"/>
  <c r="F553" i="33"/>
  <c r="L621" i="33"/>
  <c r="E112" i="32"/>
  <c r="J861" i="33"/>
  <c r="L658" i="33"/>
  <c r="F657" i="33"/>
  <c r="H326" i="33"/>
  <c r="J612" i="33"/>
  <c r="L612" i="33" s="1"/>
  <c r="AB611" i="33"/>
  <c r="AD611" i="33" s="1"/>
  <c r="L611" i="33"/>
  <c r="L894" i="33"/>
  <c r="J885" i="33"/>
  <c r="G154" i="32" s="1"/>
  <c r="I632" i="33" s="1"/>
  <c r="J632" i="33" s="1"/>
  <c r="G13" i="36"/>
  <c r="L112" i="33"/>
  <c r="F111" i="33"/>
  <c r="F810" i="33"/>
  <c r="L696" i="33"/>
  <c r="F13" i="33"/>
  <c r="AB100" i="33"/>
  <c r="AD100" i="33" s="1"/>
  <c r="J101" i="33"/>
  <c r="H98" i="33"/>
  <c r="L99" i="33"/>
  <c r="L759" i="33"/>
  <c r="J756" i="33"/>
  <c r="G133" i="32" s="1"/>
  <c r="F250" i="33"/>
  <c r="J867" i="33"/>
  <c r="G631" i="33"/>
  <c r="H631" i="33" s="1"/>
  <c r="G321" i="31"/>
  <c r="F413" i="31"/>
  <c r="F95" i="31"/>
  <c r="G49" i="36"/>
  <c r="AB355" i="33"/>
  <c r="AD355" i="33" s="1"/>
  <c r="L788" i="33"/>
  <c r="F787" i="33"/>
  <c r="J477" i="33"/>
  <c r="H472" i="33"/>
  <c r="F90" i="32" s="1"/>
  <c r="G170" i="31" s="1"/>
  <c r="AB476" i="33"/>
  <c r="AD476" i="33" s="1"/>
  <c r="L475" i="33"/>
  <c r="F228" i="33"/>
  <c r="L674" i="33"/>
  <c r="H672" i="33"/>
  <c r="F118" i="32" s="1"/>
  <c r="J368" i="33"/>
  <c r="L366" i="33"/>
  <c r="AB367" i="33"/>
  <c r="AD367" i="33" s="1"/>
  <c r="H365" i="33"/>
  <c r="F278" i="33"/>
  <c r="L279" i="33"/>
  <c r="F486" i="33"/>
  <c r="L357" i="33"/>
  <c r="F351" i="33"/>
  <c r="L182" i="33"/>
  <c r="H6" i="35"/>
  <c r="E428" i="33"/>
  <c r="F201" i="33"/>
  <c r="L548" i="33"/>
  <c r="J550" i="33"/>
  <c r="AB549" i="33"/>
  <c r="AD549" i="33" s="1"/>
  <c r="H551" i="33"/>
  <c r="L551" i="33" s="1"/>
  <c r="AB550" i="33"/>
  <c r="AD550" i="33" s="1"/>
  <c r="L595" i="33"/>
  <c r="H598" i="33"/>
  <c r="L598" i="33" s="1"/>
  <c r="J597" i="33"/>
  <c r="AB597" i="33"/>
  <c r="AD597" i="33" s="1"/>
  <c r="G232" i="31"/>
  <c r="G346" i="31"/>
  <c r="F200" i="33"/>
  <c r="J685" i="33"/>
  <c r="J766" i="33"/>
  <c r="H761" i="33"/>
  <c r="AB765" i="33"/>
  <c r="AD765" i="33" s="1"/>
  <c r="L765" i="33"/>
  <c r="AB356" i="33"/>
  <c r="AD356" i="33" s="1"/>
  <c r="AB596" i="33"/>
  <c r="AD596" i="33" s="1"/>
  <c r="H319" i="33"/>
  <c r="K543" i="33"/>
  <c r="F543" i="33"/>
  <c r="L272" i="33"/>
  <c r="J742" i="33"/>
  <c r="AB741" i="33"/>
  <c r="AD741" i="33" s="1"/>
  <c r="L740" i="33"/>
  <c r="H738" i="33"/>
  <c r="E144" i="32"/>
  <c r="F263" i="33"/>
  <c r="AB446" i="33"/>
  <c r="AD446" i="33" s="1"/>
  <c r="L445" i="33"/>
  <c r="J447" i="33"/>
  <c r="H444" i="33"/>
  <c r="H4" i="35"/>
  <c r="J425" i="33"/>
  <c r="G81" i="32" s="1"/>
  <c r="E15" i="32"/>
  <c r="G155" i="33"/>
  <c r="H155" i="33" s="1"/>
  <c r="G163" i="33"/>
  <c r="H163" i="33" s="1"/>
  <c r="G246" i="33"/>
  <c r="H246" i="33" s="1"/>
  <c r="G232" i="33"/>
  <c r="H232" i="33" s="1"/>
  <c r="G211" i="33"/>
  <c r="H211" i="33" s="1"/>
  <c r="G179" i="33"/>
  <c r="H179" i="33" s="1"/>
  <c r="G195" i="33"/>
  <c r="H195" i="33" s="1"/>
  <c r="G171" i="33"/>
  <c r="H171" i="33" s="1"/>
  <c r="G259" i="33"/>
  <c r="H259" i="33" s="1"/>
  <c r="G219" i="33"/>
  <c r="H219" i="33" s="1"/>
  <c r="G203" i="33"/>
  <c r="H203" i="33" s="1"/>
  <c r="G139" i="33"/>
  <c r="H139" i="33" s="1"/>
  <c r="G187" i="33"/>
  <c r="H187" i="33" s="1"/>
  <c r="G147" i="33"/>
  <c r="H147" i="33" s="1"/>
  <c r="G131" i="33"/>
  <c r="H131" i="33" s="1"/>
  <c r="H553" i="33"/>
  <c r="F104" i="32" s="1"/>
  <c r="AB422" i="33"/>
  <c r="AD422" i="33" s="1"/>
  <c r="AB318" i="33"/>
  <c r="AD318" i="33" s="1"/>
  <c r="K538" i="33"/>
  <c r="F538" i="33"/>
  <c r="L45" i="33"/>
  <c r="F44" i="33"/>
  <c r="H391" i="33"/>
  <c r="F59" i="33"/>
  <c r="L748" i="33"/>
  <c r="J744" i="33"/>
  <c r="G131" i="32" s="1"/>
  <c r="L744" i="33"/>
  <c r="E131" i="32"/>
  <c r="L853" i="33"/>
  <c r="F852" i="33"/>
  <c r="G189" i="31"/>
  <c r="G308" i="31"/>
  <c r="F635" i="33"/>
  <c r="L636" i="33"/>
  <c r="E128" i="32"/>
  <c r="F243" i="33"/>
  <c r="H301" i="33"/>
  <c r="L304" i="33"/>
  <c r="L126" i="33"/>
  <c r="F480" i="33"/>
  <c r="L283" i="33"/>
  <c r="H284" i="33"/>
  <c r="AB283" i="33"/>
  <c r="AD283" i="33" s="1"/>
  <c r="L618" i="33"/>
  <c r="AB618" i="33"/>
  <c r="AD618" i="33" s="1"/>
  <c r="J619" i="33"/>
  <c r="L619" i="33" s="1"/>
  <c r="F256" i="33"/>
  <c r="F280" i="31"/>
  <c r="L709" i="33"/>
  <c r="F708" i="33"/>
  <c r="J373" i="33"/>
  <c r="L372" i="33"/>
  <c r="AB372" i="33"/>
  <c r="AD372" i="33" s="1"/>
  <c r="F74" i="33"/>
  <c r="J835" i="33"/>
  <c r="G145" i="32" s="1"/>
  <c r="L839" i="33"/>
  <c r="F509" i="33"/>
  <c r="G341" i="31"/>
  <c r="AB388" i="33"/>
  <c r="AD388" i="33" s="1"/>
  <c r="L388" i="33"/>
  <c r="H387" i="33"/>
  <c r="J389" i="33"/>
  <c r="L314" i="33"/>
  <c r="H311" i="33"/>
  <c r="H668" i="33"/>
  <c r="AB669" i="33"/>
  <c r="AD669" i="33" s="1"/>
  <c r="L669" i="33"/>
  <c r="J670" i="33"/>
  <c r="F423" i="33"/>
  <c r="L423" i="33" s="1"/>
  <c r="E137" i="32"/>
  <c r="G814" i="33"/>
  <c r="G489" i="33"/>
  <c r="H151" i="32"/>
  <c r="Y151" i="32" s="1"/>
  <c r="G483" i="33"/>
  <c r="L750" i="33"/>
  <c r="J394" i="33"/>
  <c r="H328" i="33"/>
  <c r="L329" i="33"/>
  <c r="G72" i="36"/>
  <c r="A287" i="2"/>
  <c r="A289" i="2" s="1"/>
  <c r="A291" i="2" s="1"/>
  <c r="A293" i="2" s="1"/>
  <c r="F250" i="2"/>
  <c r="D255" i="2"/>
  <c r="E7" i="29"/>
  <c r="E6" i="29"/>
  <c r="E5" i="29"/>
  <c r="E4" i="29"/>
  <c r="G1" i="29"/>
  <c r="F104" i="1"/>
  <c r="F103" i="1"/>
  <c r="G103" i="1" s="1"/>
  <c r="F102" i="1"/>
  <c r="G102" i="1" s="1"/>
  <c r="K93" i="1"/>
  <c r="F93" i="1" s="1"/>
  <c r="G93" i="1" s="1"/>
  <c r="K95" i="1"/>
  <c r="F95" i="1" s="1"/>
  <c r="G95" i="1" s="1"/>
  <c r="K96" i="1"/>
  <c r="F96" i="1" s="1"/>
  <c r="G96" i="1" s="1"/>
  <c r="K97" i="1"/>
  <c r="F97" i="1" s="1"/>
  <c r="G97" i="1" s="1"/>
  <c r="K98" i="1"/>
  <c r="F98" i="1" s="1"/>
  <c r="G98" i="1" s="1"/>
  <c r="K99" i="1"/>
  <c r="F99" i="1" s="1"/>
  <c r="G99" i="1" s="1"/>
  <c r="K100" i="1"/>
  <c r="F100" i="1" s="1"/>
  <c r="G100" i="1" s="1"/>
  <c r="K101" i="1"/>
  <c r="F101" i="1" s="1"/>
  <c r="G101" i="1" s="1"/>
  <c r="K92" i="1"/>
  <c r="F92" i="1" s="1"/>
  <c r="G92" i="1" s="1"/>
  <c r="G104" i="1"/>
  <c r="G105" i="1"/>
  <c r="E85" i="1" s="1"/>
  <c r="E87" i="1" s="1"/>
  <c r="G91" i="1"/>
  <c r="E37" i="1"/>
  <c r="E20" i="1"/>
  <c r="G1" i="28"/>
  <c r="G57" i="27"/>
  <c r="G70" i="26"/>
  <c r="G71" i="26"/>
  <c r="G72" i="26"/>
  <c r="G73" i="26"/>
  <c r="E45" i="27"/>
  <c r="E120" i="27"/>
  <c r="E124" i="27" s="1"/>
  <c r="E115" i="27"/>
  <c r="E119" i="27" s="1"/>
  <c r="E83" i="27"/>
  <c r="E82" i="27"/>
  <c r="E74" i="27"/>
  <c r="E73" i="27"/>
  <c r="E67" i="27"/>
  <c r="E72" i="27"/>
  <c r="E71" i="27"/>
  <c r="E70" i="27"/>
  <c r="E69" i="27"/>
  <c r="E68" i="27"/>
  <c r="E66" i="27"/>
  <c r="E47" i="27"/>
  <c r="E44" i="27"/>
  <c r="E51" i="27"/>
  <c r="E59" i="26"/>
  <c r="E60" i="26"/>
  <c r="E40" i="27"/>
  <c r="E38" i="27" s="1"/>
  <c r="E39" i="27" s="1"/>
  <c r="K41" i="27"/>
  <c r="I41" i="27"/>
  <c r="J41" i="27"/>
  <c r="E29" i="27"/>
  <c r="E24" i="27"/>
  <c r="E28" i="27"/>
  <c r="E23" i="27"/>
  <c r="E27" i="27"/>
  <c r="E22" i="27"/>
  <c r="E21" i="27"/>
  <c r="E26" i="27"/>
  <c r="E25" i="27"/>
  <c r="E20" i="27"/>
  <c r="G169" i="27"/>
  <c r="E163" i="27" s="1"/>
  <c r="E165" i="27" s="1"/>
  <c r="G168" i="27"/>
  <c r="E31" i="27" s="1"/>
  <c r="A19" i="27"/>
  <c r="A35" i="27" s="1"/>
  <c r="A97" i="27" s="1"/>
  <c r="A113" i="27" s="1"/>
  <c r="A145" i="27" s="1"/>
  <c r="A161" i="27" s="1"/>
  <c r="G1" i="27"/>
  <c r="G189" i="26"/>
  <c r="G188" i="26"/>
  <c r="F187" i="26"/>
  <c r="G187" i="26" s="1"/>
  <c r="G68" i="1"/>
  <c r="E139" i="26"/>
  <c r="E143" i="26" s="1"/>
  <c r="E134" i="26"/>
  <c r="E138" i="26" s="1"/>
  <c r="E92" i="26"/>
  <c r="E91" i="26"/>
  <c r="E90" i="26"/>
  <c r="E89" i="26"/>
  <c r="E88" i="26"/>
  <c r="E87" i="26"/>
  <c r="E86" i="26"/>
  <c r="E85" i="26"/>
  <c r="E84" i="26"/>
  <c r="E31" i="26"/>
  <c r="E25" i="26"/>
  <c r="E24" i="26"/>
  <c r="E30" i="26"/>
  <c r="E33" i="26"/>
  <c r="E32" i="26"/>
  <c r="E29" i="26"/>
  <c r="E28" i="26"/>
  <c r="E23" i="26"/>
  <c r="E22" i="26"/>
  <c r="E27" i="26"/>
  <c r="E21" i="26"/>
  <c r="E63" i="26"/>
  <c r="E64" i="26"/>
  <c r="E57" i="26"/>
  <c r="E58" i="26"/>
  <c r="E56" i="26"/>
  <c r="N57" i="26"/>
  <c r="M57" i="26"/>
  <c r="L57" i="26"/>
  <c r="K57" i="26"/>
  <c r="J57" i="26"/>
  <c r="I57" i="26"/>
  <c r="E34" i="1"/>
  <c r="E26" i="26"/>
  <c r="E20" i="26"/>
  <c r="G67" i="1"/>
  <c r="G273" i="2" s="1"/>
  <c r="G66" i="1"/>
  <c r="G242" i="2" s="1"/>
  <c r="G65" i="1"/>
  <c r="G219" i="2" s="1"/>
  <c r="G64" i="1"/>
  <c r="G204" i="2" s="1"/>
  <c r="D209" i="2" s="1"/>
  <c r="G63" i="1"/>
  <c r="G189" i="2" s="1"/>
  <c r="D194" i="2" s="1"/>
  <c r="G62" i="1"/>
  <c r="G174" i="2" s="1"/>
  <c r="D179" i="2" s="1"/>
  <c r="G61" i="1"/>
  <c r="G159" i="2" s="1"/>
  <c r="D164" i="2" s="1"/>
  <c r="G60" i="1"/>
  <c r="G144" i="2" s="1"/>
  <c r="D149" i="2" s="1"/>
  <c r="G59" i="1"/>
  <c r="G129" i="2" s="1"/>
  <c r="D134" i="2" s="1"/>
  <c r="G58" i="1"/>
  <c r="G114" i="2" s="1"/>
  <c r="D119" i="2" s="1"/>
  <c r="G57" i="1"/>
  <c r="G99" i="2" s="1"/>
  <c r="D104" i="2" s="1"/>
  <c r="G56" i="1"/>
  <c r="G84" i="2" s="1"/>
  <c r="D89" i="2" s="1"/>
  <c r="G55" i="1"/>
  <c r="G69" i="2" s="1"/>
  <c r="D74" i="2" s="1"/>
  <c r="G54" i="1"/>
  <c r="G54" i="2" s="1"/>
  <c r="D59" i="2" s="1"/>
  <c r="G53" i="1"/>
  <c r="G39" i="2" s="1"/>
  <c r="D44" i="2" s="1"/>
  <c r="E232" i="33" l="1"/>
  <c r="L340" i="33"/>
  <c r="E259" i="33"/>
  <c r="K259" i="33" s="1"/>
  <c r="E147" i="33"/>
  <c r="E192" i="31"/>
  <c r="F192" i="31" s="1"/>
  <c r="E311" i="31"/>
  <c r="F311" i="31" s="1"/>
  <c r="E616" i="33"/>
  <c r="F616" i="33" s="1"/>
  <c r="E609" i="33"/>
  <c r="F609" i="33" s="1"/>
  <c r="L404" i="33"/>
  <c r="F77" i="32"/>
  <c r="G310" i="31"/>
  <c r="G191" i="31"/>
  <c r="J581" i="33"/>
  <c r="G107" i="32" s="1"/>
  <c r="L585" i="33"/>
  <c r="L455" i="33"/>
  <c r="L817" i="33"/>
  <c r="F576" i="33"/>
  <c r="L579" i="33"/>
  <c r="G309" i="31"/>
  <c r="G190" i="31"/>
  <c r="H627" i="33"/>
  <c r="F113" i="32" s="1"/>
  <c r="G199" i="31" s="1"/>
  <c r="L29" i="33"/>
  <c r="J27" i="33"/>
  <c r="G8" i="32" s="1"/>
  <c r="G193" i="33"/>
  <c r="G201" i="33"/>
  <c r="H201" i="33" s="1"/>
  <c r="G217" i="33"/>
  <c r="G177" i="33"/>
  <c r="G209" i="33"/>
  <c r="H209" i="33" s="1"/>
  <c r="G185" i="33"/>
  <c r="J346" i="33"/>
  <c r="G66" i="32" s="1"/>
  <c r="L349" i="33"/>
  <c r="E8" i="33"/>
  <c r="E291" i="31"/>
  <c r="E166" i="31"/>
  <c r="H7" i="32"/>
  <c r="Y7" i="32" s="1"/>
  <c r="J902" i="33"/>
  <c r="L902" i="33" s="1"/>
  <c r="L829" i="33"/>
  <c r="L346" i="33"/>
  <c r="G230" i="31"/>
  <c r="H123" i="32"/>
  <c r="Y123" i="32" s="1"/>
  <c r="G217" i="31"/>
  <c r="L900" i="33"/>
  <c r="L309" i="33"/>
  <c r="H306" i="33"/>
  <c r="L375" i="33"/>
  <c r="J439" i="33"/>
  <c r="L442" i="33"/>
  <c r="F76" i="32"/>
  <c r="L401" i="33"/>
  <c r="F373" i="31"/>
  <c r="E151" i="31"/>
  <c r="F151" i="31" s="1"/>
  <c r="E279" i="31"/>
  <c r="F279" i="31" s="1"/>
  <c r="E345" i="31"/>
  <c r="F345" i="31" s="1"/>
  <c r="L836" i="33"/>
  <c r="F835" i="33"/>
  <c r="L565" i="33"/>
  <c r="F560" i="33"/>
  <c r="L17" i="33"/>
  <c r="F16" i="33"/>
  <c r="L382" i="33"/>
  <c r="F381" i="33"/>
  <c r="E72" i="32" s="1"/>
  <c r="E172" i="31" s="1"/>
  <c r="L337" i="33"/>
  <c r="E64" i="32"/>
  <c r="F497" i="33"/>
  <c r="E94" i="32" s="1"/>
  <c r="E342" i="31"/>
  <c r="F342" i="31" s="1"/>
  <c r="E223" i="31"/>
  <c r="F223" i="31" s="1"/>
  <c r="L715" i="33"/>
  <c r="F714" i="33"/>
  <c r="E126" i="32" s="1"/>
  <c r="E227" i="31" s="1"/>
  <c r="F359" i="33"/>
  <c r="E68" i="32" s="1"/>
  <c r="E224" i="33" s="1"/>
  <c r="F224" i="33" s="1"/>
  <c r="L224" i="33" s="1"/>
  <c r="L360" i="33"/>
  <c r="I527" i="33"/>
  <c r="J527" i="33" s="1"/>
  <c r="J525" i="33" s="1"/>
  <c r="G98" i="32" s="1"/>
  <c r="I531" i="33"/>
  <c r="J531" i="33" s="1"/>
  <c r="J529" i="33" s="1"/>
  <c r="G99" i="32" s="1"/>
  <c r="I629" i="33"/>
  <c r="J629" i="33" s="1"/>
  <c r="I236" i="33"/>
  <c r="J236" i="33" s="1"/>
  <c r="I545" i="33"/>
  <c r="J545" i="33" s="1"/>
  <c r="J542" i="33" s="1"/>
  <c r="G102" i="32" s="1"/>
  <c r="I535" i="33"/>
  <c r="J535" i="33" s="1"/>
  <c r="J533" i="33" s="1"/>
  <c r="G100" i="32" s="1"/>
  <c r="I239" i="33"/>
  <c r="J239" i="33" s="1"/>
  <c r="I223" i="33"/>
  <c r="J223" i="33" s="1"/>
  <c r="I540" i="33"/>
  <c r="J540" i="33" s="1"/>
  <c r="J537" i="33" s="1"/>
  <c r="G101" i="32" s="1"/>
  <c r="I254" i="33"/>
  <c r="J254" i="33" s="1"/>
  <c r="J31" i="33"/>
  <c r="G9" i="32" s="1"/>
  <c r="I11" i="33" s="1"/>
  <c r="J11" i="33" s="1"/>
  <c r="L36" i="33"/>
  <c r="G293" i="31"/>
  <c r="G168" i="31"/>
  <c r="G211" i="31"/>
  <c r="G331" i="31"/>
  <c r="J863" i="33"/>
  <c r="G149" i="32" s="1"/>
  <c r="I481" i="33" s="1"/>
  <c r="J481" i="33" s="1"/>
  <c r="L867" i="33"/>
  <c r="E324" i="31"/>
  <c r="L122" i="33"/>
  <c r="E32" i="32"/>
  <c r="E48" i="32"/>
  <c r="E25" i="32"/>
  <c r="F122" i="32"/>
  <c r="L368" i="33"/>
  <c r="J365" i="33"/>
  <c r="G69" i="32" s="1"/>
  <c r="I230" i="33" s="1"/>
  <c r="J230" i="33" s="1"/>
  <c r="I631" i="33"/>
  <c r="J631" i="33" s="1"/>
  <c r="K246" i="33"/>
  <c r="F246" i="33"/>
  <c r="L246" i="33" s="1"/>
  <c r="G292" i="31"/>
  <c r="G167" i="31"/>
  <c r="H87" i="32"/>
  <c r="Y87" i="32" s="1"/>
  <c r="K147" i="33"/>
  <c r="F147" i="33"/>
  <c r="L147" i="33" s="1"/>
  <c r="L328" i="33"/>
  <c r="F62" i="32"/>
  <c r="E116" i="32"/>
  <c r="G136" i="32"/>
  <c r="L775" i="33"/>
  <c r="L861" i="33"/>
  <c r="J858" i="33"/>
  <c r="G148" i="32" s="1"/>
  <c r="F13" i="32"/>
  <c r="L56" i="33"/>
  <c r="L460" i="33"/>
  <c r="E88" i="32"/>
  <c r="I240" i="33"/>
  <c r="J240" i="33" s="1"/>
  <c r="J841" i="33"/>
  <c r="L850" i="33"/>
  <c r="F134" i="32"/>
  <c r="F53" i="31"/>
  <c r="J600" i="33"/>
  <c r="G109" i="32" s="1"/>
  <c r="L604" i="33"/>
  <c r="L799" i="33"/>
  <c r="E140" i="32"/>
  <c r="G28" i="32"/>
  <c r="L103" i="33"/>
  <c r="G120" i="32"/>
  <c r="L680" i="33"/>
  <c r="K179" i="33"/>
  <c r="F179" i="33"/>
  <c r="L179" i="33" s="1"/>
  <c r="L472" i="33"/>
  <c r="E90" i="32"/>
  <c r="J387" i="33"/>
  <c r="G73" i="32" s="1"/>
  <c r="L389" i="33"/>
  <c r="L326" i="33"/>
  <c r="H321" i="33"/>
  <c r="J547" i="33"/>
  <c r="G103" i="32" s="1"/>
  <c r="L550" i="33"/>
  <c r="L399" i="33"/>
  <c r="J396" i="33"/>
  <c r="G75" i="32" s="1"/>
  <c r="E57" i="31"/>
  <c r="H112" i="32"/>
  <c r="Y112" i="32" s="1"/>
  <c r="E196" i="31"/>
  <c r="E315" i="31"/>
  <c r="E109" i="32"/>
  <c r="F27" i="32"/>
  <c r="L101" i="33"/>
  <c r="J98" i="33"/>
  <c r="G27" i="32" s="1"/>
  <c r="H296" i="33"/>
  <c r="L299" i="33"/>
  <c r="L787" i="33"/>
  <c r="E138" i="32"/>
  <c r="F19" i="33"/>
  <c r="H814" i="33"/>
  <c r="E229" i="31"/>
  <c r="H128" i="32"/>
  <c r="Y128" i="32" s="1"/>
  <c r="J761" i="33"/>
  <c r="G134" i="32" s="1"/>
  <c r="L766" i="33"/>
  <c r="H258" i="33"/>
  <c r="F211" i="33"/>
  <c r="L211" i="33" s="1"/>
  <c r="K211" i="33"/>
  <c r="E266" i="31"/>
  <c r="F77" i="33"/>
  <c r="F78" i="32"/>
  <c r="L407" i="33"/>
  <c r="L883" i="33"/>
  <c r="J881" i="33"/>
  <c r="G153" i="32" s="1"/>
  <c r="J460" i="33"/>
  <c r="G88" i="32" s="1"/>
  <c r="L464" i="33"/>
  <c r="H281" i="33"/>
  <c r="L284" i="33"/>
  <c r="F74" i="32"/>
  <c r="L396" i="33"/>
  <c r="F75" i="32"/>
  <c r="J381" i="33"/>
  <c r="L385" i="33"/>
  <c r="K195" i="33"/>
  <c r="F195" i="33"/>
  <c r="L195" i="33" s="1"/>
  <c r="E162" i="31"/>
  <c r="E71" i="31"/>
  <c r="E287" i="31"/>
  <c r="H29" i="32"/>
  <c r="Y29" i="32" s="1"/>
  <c r="F428" i="33"/>
  <c r="K428" i="33"/>
  <c r="F148" i="32"/>
  <c r="L858" i="33"/>
  <c r="G307" i="31"/>
  <c r="G188" i="31"/>
  <c r="E19" i="32"/>
  <c r="E295" i="31"/>
  <c r="L351" i="33"/>
  <c r="E67" i="32"/>
  <c r="H600" i="33"/>
  <c r="F109" i="32" s="1"/>
  <c r="F256" i="31"/>
  <c r="J780" i="33"/>
  <c r="G137" i="32" s="1"/>
  <c r="L784" i="33"/>
  <c r="J852" i="33"/>
  <c r="G147" i="32" s="1"/>
  <c r="L856" i="33"/>
  <c r="L422" i="33"/>
  <c r="F414" i="33"/>
  <c r="E487" i="33"/>
  <c r="F232" i="33"/>
  <c r="L232" i="33" s="1"/>
  <c r="K232" i="33"/>
  <c r="E258" i="31"/>
  <c r="H51" i="32"/>
  <c r="Y51" i="32" s="1"/>
  <c r="E358" i="31"/>
  <c r="E101" i="31"/>
  <c r="F84" i="32"/>
  <c r="G121" i="32"/>
  <c r="L685" i="33"/>
  <c r="F356" i="31"/>
  <c r="G129" i="33"/>
  <c r="G169" i="33"/>
  <c r="G153" i="33"/>
  <c r="G145" i="33"/>
  <c r="G161" i="33"/>
  <c r="G137" i="33"/>
  <c r="H63" i="32"/>
  <c r="Y63" i="32" s="1"/>
  <c r="F155" i="33"/>
  <c r="L155" i="33" s="1"/>
  <c r="K155" i="33"/>
  <c r="E14" i="32"/>
  <c r="L718" i="33"/>
  <c r="J714" i="33"/>
  <c r="G126" i="32" s="1"/>
  <c r="L394" i="33"/>
  <c r="J391" i="33"/>
  <c r="G74" i="32" s="1"/>
  <c r="F374" i="31"/>
  <c r="F430" i="33"/>
  <c r="L430" i="33" s="1"/>
  <c r="K430" i="33"/>
  <c r="L666" i="33"/>
  <c r="J657" i="33"/>
  <c r="G116" i="32" s="1"/>
  <c r="L50" i="33"/>
  <c r="H483" i="33"/>
  <c r="L483" i="33" s="1"/>
  <c r="K483" i="33"/>
  <c r="E481" i="33"/>
  <c r="F116" i="33"/>
  <c r="H489" i="33"/>
  <c r="L489" i="33" s="1"/>
  <c r="K489" i="33"/>
  <c r="L332" i="33"/>
  <c r="G13" i="33"/>
  <c r="H10" i="32"/>
  <c r="Y10" i="32" s="1"/>
  <c r="F219" i="33"/>
  <c r="L219" i="33" s="1"/>
  <c r="K219" i="33"/>
  <c r="L732" i="33"/>
  <c r="E129" i="32"/>
  <c r="J668" i="33"/>
  <c r="G117" i="32" s="1"/>
  <c r="L670" i="33"/>
  <c r="L708" i="33"/>
  <c r="E125" i="32"/>
  <c r="E138" i="31"/>
  <c r="K429" i="33"/>
  <c r="F429" i="33"/>
  <c r="L429" i="33" s="1"/>
  <c r="E303" i="31"/>
  <c r="G285" i="31"/>
  <c r="G157" i="31"/>
  <c r="L39" i="33"/>
  <c r="F163" i="33"/>
  <c r="L163" i="33" s="1"/>
  <c r="K163" i="33"/>
  <c r="F73" i="32"/>
  <c r="F301" i="31"/>
  <c r="K187" i="33"/>
  <c r="F187" i="33"/>
  <c r="L187" i="33" s="1"/>
  <c r="J726" i="33"/>
  <c r="G128" i="32" s="1"/>
  <c r="L730" i="33"/>
  <c r="E97" i="32"/>
  <c r="L553" i="33"/>
  <c r="E104" i="32"/>
  <c r="L756" i="33"/>
  <c r="E133" i="32"/>
  <c r="F203" i="33"/>
  <c r="L203" i="33" s="1"/>
  <c r="K203" i="33"/>
  <c r="E89" i="32"/>
  <c r="J370" i="33"/>
  <c r="L373" i="33"/>
  <c r="F433" i="33"/>
  <c r="L437" i="33"/>
  <c r="F805" i="33"/>
  <c r="F54" i="32"/>
  <c r="L286" i="33"/>
  <c r="F504" i="33"/>
  <c r="F124" i="32"/>
  <c r="H131" i="32"/>
  <c r="Y131" i="32" s="1"/>
  <c r="E346" i="31"/>
  <c r="E232" i="31"/>
  <c r="E139" i="32"/>
  <c r="L793" i="33"/>
  <c r="F130" i="32"/>
  <c r="L738" i="33"/>
  <c r="E240" i="33"/>
  <c r="H71" i="32"/>
  <c r="Y71" i="32" s="1"/>
  <c r="E171" i="31"/>
  <c r="J738" i="33"/>
  <c r="G130" i="32" s="1"/>
  <c r="L742" i="33"/>
  <c r="J635" i="33"/>
  <c r="G114" i="32" s="1"/>
  <c r="L644" i="33"/>
  <c r="F86" i="32"/>
  <c r="L452" i="33"/>
  <c r="H547" i="33"/>
  <c r="K131" i="33"/>
  <c r="F131" i="33"/>
  <c r="L131" i="33" s="1"/>
  <c r="F115" i="32"/>
  <c r="L646" i="33"/>
  <c r="L879" i="33"/>
  <c r="J875" i="33"/>
  <c r="G152" i="32" s="1"/>
  <c r="I487" i="33" s="1"/>
  <c r="J487" i="33" s="1"/>
  <c r="G20" i="33"/>
  <c r="H12" i="32"/>
  <c r="Y12" i="32" s="1"/>
  <c r="L538" i="33"/>
  <c r="L581" i="33"/>
  <c r="E107" i="32"/>
  <c r="K171" i="33"/>
  <c r="F171" i="33"/>
  <c r="L171" i="33" s="1"/>
  <c r="E114" i="32"/>
  <c r="F99" i="31"/>
  <c r="G262" i="31"/>
  <c r="L852" i="33"/>
  <c r="E147" i="32"/>
  <c r="L111" i="33"/>
  <c r="E30" i="32"/>
  <c r="G212" i="31"/>
  <c r="H119" i="32"/>
  <c r="Y119" i="32" s="1"/>
  <c r="L4" i="33"/>
  <c r="E3" i="32"/>
  <c r="H132" i="32"/>
  <c r="Y132" i="32" s="1"/>
  <c r="E22" i="32"/>
  <c r="F96" i="31"/>
  <c r="E241" i="33"/>
  <c r="F231" i="31"/>
  <c r="J690" i="33"/>
  <c r="G122" i="32" s="1"/>
  <c r="L694" i="33"/>
  <c r="L44" i="33"/>
  <c r="E11" i="32"/>
  <c r="L672" i="33"/>
  <c r="E118" i="32"/>
  <c r="F79" i="32"/>
  <c r="L411" i="33"/>
  <c r="L896" i="33"/>
  <c r="E155" i="32"/>
  <c r="G158" i="31"/>
  <c r="L477" i="33"/>
  <c r="J472" i="33"/>
  <c r="G90" i="32" s="1"/>
  <c r="J768" i="33"/>
  <c r="G135" i="32" s="1"/>
  <c r="L773" i="33"/>
  <c r="L449" i="33"/>
  <c r="F85" i="32"/>
  <c r="I129" i="33"/>
  <c r="J129" i="33" s="1"/>
  <c r="J125" i="33" s="1"/>
  <c r="G33" i="32" s="1"/>
  <c r="I169" i="33"/>
  <c r="J169" i="33" s="1"/>
  <c r="J165" i="33" s="1"/>
  <c r="G38" i="32" s="1"/>
  <c r="I153" i="33"/>
  <c r="J153" i="33" s="1"/>
  <c r="J149" i="33" s="1"/>
  <c r="G36" i="32" s="1"/>
  <c r="I145" i="33"/>
  <c r="J145" i="33" s="1"/>
  <c r="J141" i="33" s="1"/>
  <c r="G35" i="32" s="1"/>
  <c r="I137" i="33"/>
  <c r="J137" i="33" s="1"/>
  <c r="J133" i="33" s="1"/>
  <c r="G34" i="32" s="1"/>
  <c r="I161" i="33"/>
  <c r="J161" i="33" s="1"/>
  <c r="J157" i="33" s="1"/>
  <c r="G37" i="32" s="1"/>
  <c r="E632" i="33"/>
  <c r="H154" i="32"/>
  <c r="Y154" i="32" s="1"/>
  <c r="L447" i="33"/>
  <c r="J444" i="33"/>
  <c r="G84" i="32" s="1"/>
  <c r="F117" i="32"/>
  <c r="F511" i="33"/>
  <c r="F65" i="33"/>
  <c r="F68" i="33"/>
  <c r="F80" i="33"/>
  <c r="F59" i="32"/>
  <c r="L311" i="33"/>
  <c r="H588" i="33"/>
  <c r="L278" i="33"/>
  <c r="E52" i="32"/>
  <c r="F153" i="32"/>
  <c r="F31" i="33"/>
  <c r="L37" i="33"/>
  <c r="F89" i="33"/>
  <c r="E135" i="32"/>
  <c r="J702" i="33"/>
  <c r="G124" i="32" s="1"/>
  <c r="L706" i="33"/>
  <c r="H143" i="32"/>
  <c r="Y143" i="32" s="1"/>
  <c r="E316" i="31"/>
  <c r="L543" i="33"/>
  <c r="G281" i="31"/>
  <c r="G153" i="31"/>
  <c r="L319" i="33"/>
  <c r="H316" i="33"/>
  <c r="K139" i="33"/>
  <c r="F139" i="33"/>
  <c r="L139" i="33" s="1"/>
  <c r="L720" i="33"/>
  <c r="E127" i="32"/>
  <c r="F57" i="32"/>
  <c r="L301" i="33"/>
  <c r="L907" i="33"/>
  <c r="E157" i="32"/>
  <c r="L291" i="33"/>
  <c r="F55" i="32"/>
  <c r="H144" i="32"/>
  <c r="Y144" i="32" s="1"/>
  <c r="E320" i="31"/>
  <c r="J588" i="33"/>
  <c r="G108" i="32" s="1"/>
  <c r="L597" i="33"/>
  <c r="F69" i="32"/>
  <c r="E375" i="31"/>
  <c r="F175" i="31"/>
  <c r="J436" i="33"/>
  <c r="K436" i="33"/>
  <c r="J466" i="33"/>
  <c r="G89" i="32" s="1"/>
  <c r="L470" i="33"/>
  <c r="D257" i="2"/>
  <c r="F256" i="2" s="1"/>
  <c r="F254" i="2"/>
  <c r="F225" i="2"/>
  <c r="F88" i="2"/>
  <c r="D91" i="2"/>
  <c r="F90" i="2" s="1"/>
  <c r="F193" i="2"/>
  <c r="D196" i="2"/>
  <c r="F195" i="2" s="1"/>
  <c r="F133" i="2"/>
  <c r="D136" i="2"/>
  <c r="F135" i="2" s="1"/>
  <c r="F178" i="2"/>
  <c r="D181" i="2"/>
  <c r="F180" i="2" s="1"/>
  <c r="F73" i="2"/>
  <c r="D76" i="2"/>
  <c r="F75" i="2" s="1"/>
  <c r="F163" i="2"/>
  <c r="D166" i="2"/>
  <c r="F165" i="2" s="1"/>
  <c r="F103" i="2"/>
  <c r="D106" i="2"/>
  <c r="F105" i="2" s="1"/>
  <c r="F148" i="2"/>
  <c r="D151" i="2"/>
  <c r="F150" i="2" s="1"/>
  <c r="F58" i="2"/>
  <c r="D61" i="2"/>
  <c r="F60" i="2" s="1"/>
  <c r="F118" i="2"/>
  <c r="D121" i="2"/>
  <c r="F120" i="2" s="1"/>
  <c r="F208" i="2"/>
  <c r="D211" i="2"/>
  <c r="F210" i="2" s="1"/>
  <c r="F43" i="2"/>
  <c r="D46" i="2"/>
  <c r="F45" i="2" s="1"/>
  <c r="G107" i="1"/>
  <c r="E162" i="27"/>
  <c r="E164" i="27" s="1"/>
  <c r="E181" i="26"/>
  <c r="E183" i="26" s="1"/>
  <c r="O41" i="27"/>
  <c r="G24" i="27"/>
  <c r="G29" i="27"/>
  <c r="G170" i="27"/>
  <c r="G25" i="26"/>
  <c r="G31" i="26"/>
  <c r="E186" i="26" s="1"/>
  <c r="G186" i="26" s="1"/>
  <c r="E137" i="26"/>
  <c r="E142" i="26"/>
  <c r="O57" i="26"/>
  <c r="E54" i="26"/>
  <c r="E55" i="26" s="1"/>
  <c r="G30" i="1"/>
  <c r="G29" i="1"/>
  <c r="G28" i="1"/>
  <c r="G27" i="1"/>
  <c r="G26" i="1"/>
  <c r="E33" i="1"/>
  <c r="E32" i="1"/>
  <c r="E31" i="1"/>
  <c r="G25" i="1"/>
  <c r="G22" i="1"/>
  <c r="G21" i="1"/>
  <c r="G24" i="1"/>
  <c r="L359" i="33" l="1"/>
  <c r="F259" i="33"/>
  <c r="L259" i="33" s="1"/>
  <c r="H177" i="33"/>
  <c r="G83" i="32"/>
  <c r="L439" i="33"/>
  <c r="G277" i="31"/>
  <c r="G149" i="31"/>
  <c r="H76" i="32"/>
  <c r="Y76" i="32" s="1"/>
  <c r="H217" i="33"/>
  <c r="L217" i="33" s="1"/>
  <c r="K217" i="33"/>
  <c r="L27" i="33"/>
  <c r="H193" i="33"/>
  <c r="F58" i="32"/>
  <c r="L306" i="33"/>
  <c r="I10" i="33"/>
  <c r="H8" i="32"/>
  <c r="Y8" i="32" s="1"/>
  <c r="L98" i="33"/>
  <c r="L576" i="33"/>
  <c r="E106" i="32"/>
  <c r="K209" i="33"/>
  <c r="G156" i="32"/>
  <c r="I814" i="33" s="1"/>
  <c r="H152" i="32"/>
  <c r="Y152" i="32" s="1"/>
  <c r="L761" i="33"/>
  <c r="F166" i="31"/>
  <c r="H137" i="32"/>
  <c r="Y137" i="32" s="1"/>
  <c r="L881" i="33"/>
  <c r="F291" i="31"/>
  <c r="F8" i="33"/>
  <c r="L8" i="33" s="1"/>
  <c r="K8" i="33"/>
  <c r="L875" i="33"/>
  <c r="I217" i="33"/>
  <c r="J217" i="33" s="1"/>
  <c r="J213" i="33" s="1"/>
  <c r="G44" i="32" s="1"/>
  <c r="I185" i="33"/>
  <c r="J185" i="33" s="1"/>
  <c r="J181" i="33" s="1"/>
  <c r="G40" i="32" s="1"/>
  <c r="I193" i="33"/>
  <c r="J193" i="33" s="1"/>
  <c r="J189" i="33" s="1"/>
  <c r="G41" i="32" s="1"/>
  <c r="I177" i="33"/>
  <c r="J177" i="33" s="1"/>
  <c r="J173" i="33" s="1"/>
  <c r="G39" i="32" s="1"/>
  <c r="H66" i="32"/>
  <c r="Y66" i="32" s="1"/>
  <c r="I209" i="33"/>
  <c r="J209" i="33" s="1"/>
  <c r="J205" i="33" s="1"/>
  <c r="G43" i="32" s="1"/>
  <c r="I201" i="33"/>
  <c r="J201" i="33" s="1"/>
  <c r="J197" i="33" s="1"/>
  <c r="G42" i="32" s="1"/>
  <c r="G150" i="31"/>
  <c r="G278" i="31"/>
  <c r="H77" i="32"/>
  <c r="Y77" i="32" s="1"/>
  <c r="H126" i="32"/>
  <c r="Y126" i="32" s="1"/>
  <c r="H185" i="33"/>
  <c r="K224" i="33"/>
  <c r="E194" i="33"/>
  <c r="E186" i="33"/>
  <c r="E130" i="33"/>
  <c r="E138" i="33"/>
  <c r="E162" i="33"/>
  <c r="E154" i="33"/>
  <c r="H64" i="32"/>
  <c r="Y64" i="32" s="1"/>
  <c r="E218" i="33"/>
  <c r="E146" i="33"/>
  <c r="E229" i="33"/>
  <c r="E257" i="33"/>
  <c r="E178" i="33"/>
  <c r="E244" i="33"/>
  <c r="E202" i="33"/>
  <c r="E210" i="33"/>
  <c r="E170" i="33"/>
  <c r="L835" i="33"/>
  <c r="E145" i="32"/>
  <c r="H68" i="32"/>
  <c r="Y68" i="32" s="1"/>
  <c r="L560" i="33"/>
  <c r="E105" i="32"/>
  <c r="L16" i="33"/>
  <c r="E5" i="32"/>
  <c r="L714" i="33"/>
  <c r="F316" i="31"/>
  <c r="H138" i="32"/>
  <c r="Y138" i="32" s="1"/>
  <c r="E296" i="31"/>
  <c r="F320" i="31"/>
  <c r="G139" i="31"/>
  <c r="H139" i="32"/>
  <c r="Y139" i="32" s="1"/>
  <c r="E298" i="31"/>
  <c r="G66" i="33"/>
  <c r="H55" i="32"/>
  <c r="Y55" i="32" s="1"/>
  <c r="E226" i="31"/>
  <c r="H125" i="32"/>
  <c r="Y125" i="32" s="1"/>
  <c r="H137" i="33"/>
  <c r="L137" i="33" s="1"/>
  <c r="K137" i="33"/>
  <c r="F101" i="31"/>
  <c r="G513" i="33"/>
  <c r="G807" i="33"/>
  <c r="G520" i="33"/>
  <c r="G499" i="33"/>
  <c r="G506" i="33"/>
  <c r="G267" i="33"/>
  <c r="H75" i="32"/>
  <c r="Y75" i="32" s="1"/>
  <c r="F266" i="31"/>
  <c r="G146" i="32"/>
  <c r="L841" i="33"/>
  <c r="G152" i="31"/>
  <c r="G280" i="31"/>
  <c r="H79" i="32"/>
  <c r="Y79" i="32" s="1"/>
  <c r="E331" i="31"/>
  <c r="H118" i="32"/>
  <c r="Y118" i="32" s="1"/>
  <c r="E211" i="31"/>
  <c r="E527" i="33"/>
  <c r="E540" i="33"/>
  <c r="E531" i="33"/>
  <c r="E236" i="33"/>
  <c r="E629" i="33"/>
  <c r="E254" i="33"/>
  <c r="E223" i="33"/>
  <c r="E535" i="33"/>
  <c r="E545" i="33"/>
  <c r="E239" i="33"/>
  <c r="H67" i="32"/>
  <c r="Y67" i="32" s="1"/>
  <c r="H20" i="33"/>
  <c r="K20" i="33"/>
  <c r="F232" i="31"/>
  <c r="L387" i="33"/>
  <c r="G72" i="32"/>
  <c r="L381" i="33"/>
  <c r="F61" i="32"/>
  <c r="L321" i="33"/>
  <c r="E169" i="31"/>
  <c r="H89" i="32"/>
  <c r="Y89" i="32" s="1"/>
  <c r="E870" i="33"/>
  <c r="H157" i="32"/>
  <c r="Y157" i="32" s="1"/>
  <c r="L466" i="33"/>
  <c r="H161" i="33"/>
  <c r="L161" i="33" s="1"/>
  <c r="K161" i="33"/>
  <c r="F358" i="31"/>
  <c r="L726" i="33"/>
  <c r="F56" i="32"/>
  <c r="L296" i="33"/>
  <c r="G267" i="31"/>
  <c r="I610" i="33"/>
  <c r="J610" i="33" s="1"/>
  <c r="I617" i="33"/>
  <c r="J617" i="33" s="1"/>
  <c r="G345" i="31"/>
  <c r="G231" i="31"/>
  <c r="H130" i="32"/>
  <c r="Y130" i="32" s="1"/>
  <c r="G84" i="33"/>
  <c r="G90" i="33"/>
  <c r="H59" i="32"/>
  <c r="Y59" i="32" s="1"/>
  <c r="E21" i="32"/>
  <c r="H73" i="32"/>
  <c r="Y73" i="32" s="1"/>
  <c r="G248" i="33"/>
  <c r="G261" i="33"/>
  <c r="E20" i="32"/>
  <c r="G236" i="31"/>
  <c r="H134" i="32"/>
  <c r="Y134" i="32" s="1"/>
  <c r="G70" i="32"/>
  <c r="L370" i="33"/>
  <c r="F346" i="31"/>
  <c r="F227" i="31"/>
  <c r="E14" i="33"/>
  <c r="H11" i="32"/>
  <c r="Y11" i="32" s="1"/>
  <c r="L702" i="33"/>
  <c r="H145" i="33"/>
  <c r="L145" i="33" s="1"/>
  <c r="K145" i="33"/>
  <c r="F295" i="31"/>
  <c r="L391" i="33"/>
  <c r="F138" i="31"/>
  <c r="H135" i="32"/>
  <c r="Y135" i="32" s="1"/>
  <c r="E237" i="31"/>
  <c r="H85" i="32"/>
  <c r="Y85" i="32" s="1"/>
  <c r="G160" i="31"/>
  <c r="G225" i="31"/>
  <c r="H124" i="32"/>
  <c r="Y124" i="32" s="1"/>
  <c r="E344" i="31"/>
  <c r="E230" i="31"/>
  <c r="H129" i="32"/>
  <c r="Y129" i="32" s="1"/>
  <c r="H153" i="33"/>
  <c r="L153" i="33" s="1"/>
  <c r="K153" i="33"/>
  <c r="F258" i="31"/>
  <c r="G263" i="33"/>
  <c r="G250" i="33"/>
  <c r="H74" i="32"/>
  <c r="Y74" i="32" s="1"/>
  <c r="I248" i="33"/>
  <c r="J248" i="33" s="1"/>
  <c r="I261" i="33"/>
  <c r="J261" i="33" s="1"/>
  <c r="G72" i="33"/>
  <c r="G87" i="33"/>
  <c r="H57" i="32"/>
  <c r="Y57" i="32" s="1"/>
  <c r="L768" i="33"/>
  <c r="H30" i="32"/>
  <c r="Y30" i="32" s="1"/>
  <c r="E74" i="31"/>
  <c r="G203" i="31"/>
  <c r="H115" i="32"/>
  <c r="Y115" i="32" s="1"/>
  <c r="E95" i="32"/>
  <c r="E234" i="31"/>
  <c r="E348" i="31"/>
  <c r="H133" i="32"/>
  <c r="Y133" i="32" s="1"/>
  <c r="H169" i="33"/>
  <c r="L169" i="33" s="1"/>
  <c r="K169" i="33"/>
  <c r="E61" i="31"/>
  <c r="H90" i="32"/>
  <c r="Y90" i="32" s="1"/>
  <c r="E170" i="31"/>
  <c r="E21" i="31"/>
  <c r="H3" i="32"/>
  <c r="Y3" i="32" s="1"/>
  <c r="H104" i="32"/>
  <c r="Y104" i="32" s="1"/>
  <c r="E307" i="31"/>
  <c r="E188" i="31"/>
  <c r="H27" i="32"/>
  <c r="Y27" i="32" s="1"/>
  <c r="G69" i="31"/>
  <c r="E16" i="32"/>
  <c r="H147" i="32"/>
  <c r="Y147" i="32" s="1"/>
  <c r="E343" i="31"/>
  <c r="L547" i="33"/>
  <c r="F103" i="32"/>
  <c r="K487" i="33"/>
  <c r="F487" i="33"/>
  <c r="L600" i="33"/>
  <c r="H127" i="32"/>
  <c r="Y127" i="32" s="1"/>
  <c r="E228" i="31"/>
  <c r="E24" i="32"/>
  <c r="G63" i="33"/>
  <c r="H54" i="32"/>
  <c r="Y54" i="32" s="1"/>
  <c r="E179" i="31"/>
  <c r="I250" i="33"/>
  <c r="J250" i="33" s="1"/>
  <c r="I263" i="33"/>
  <c r="J263" i="33" s="1"/>
  <c r="L863" i="33"/>
  <c r="F196" i="31"/>
  <c r="H120" i="32"/>
  <c r="Y120" i="32" s="1"/>
  <c r="I486" i="33"/>
  <c r="J486" i="33" s="1"/>
  <c r="J485" i="33" s="1"/>
  <c r="G92" i="32" s="1"/>
  <c r="I480" i="33"/>
  <c r="J480" i="33" s="1"/>
  <c r="J479" i="33" s="1"/>
  <c r="G91" i="32" s="1"/>
  <c r="L690" i="33"/>
  <c r="E17" i="32"/>
  <c r="I516" i="33"/>
  <c r="J516" i="33" s="1"/>
  <c r="I810" i="33"/>
  <c r="J810" i="33" s="1"/>
  <c r="I502" i="33"/>
  <c r="J502" i="33" s="1"/>
  <c r="I523" i="33"/>
  <c r="J523" i="33" s="1"/>
  <c r="I509" i="33"/>
  <c r="J509" i="33" s="1"/>
  <c r="F229" i="31"/>
  <c r="H140" i="32"/>
  <c r="Y140" i="32" s="1"/>
  <c r="E300" i="31"/>
  <c r="H136" i="32"/>
  <c r="Y136" i="32" s="1"/>
  <c r="E633" i="33"/>
  <c r="H155" i="32"/>
  <c r="Y155" i="32" s="1"/>
  <c r="L414" i="33"/>
  <c r="E80" i="32"/>
  <c r="F315" i="31"/>
  <c r="F375" i="31"/>
  <c r="H114" i="32"/>
  <c r="Y114" i="32" s="1"/>
  <c r="E202" i="31"/>
  <c r="F425" i="33"/>
  <c r="L428" i="33"/>
  <c r="H69" i="32"/>
  <c r="Y69" i="32" s="1"/>
  <c r="G230" i="33"/>
  <c r="F60" i="32"/>
  <c r="L316" i="33"/>
  <c r="G516" i="33"/>
  <c r="G523" i="33"/>
  <c r="G810" i="33"/>
  <c r="G502" i="33"/>
  <c r="G509" i="33"/>
  <c r="H153" i="32"/>
  <c r="Y153" i="32" s="1"/>
  <c r="E31" i="32"/>
  <c r="L116" i="33"/>
  <c r="E56" i="31"/>
  <c r="H121" i="32"/>
  <c r="Y121" i="32" s="1"/>
  <c r="E176" i="31"/>
  <c r="E67" i="31"/>
  <c r="G617" i="33"/>
  <c r="H617" i="33" s="1"/>
  <c r="G610" i="33"/>
  <c r="H610" i="33" s="1"/>
  <c r="G312" i="31"/>
  <c r="G193" i="31"/>
  <c r="F52" i="31"/>
  <c r="J433" i="33"/>
  <c r="G82" i="32" s="1"/>
  <c r="L436" i="33"/>
  <c r="H88" i="32"/>
  <c r="Y88" i="32" s="1"/>
  <c r="E168" i="31"/>
  <c r="E293" i="31"/>
  <c r="G41" i="31"/>
  <c r="H41" i="31" s="1"/>
  <c r="H13" i="33"/>
  <c r="K13" i="33"/>
  <c r="E617" i="33"/>
  <c r="H109" i="32"/>
  <c r="Y109" i="32" s="1"/>
  <c r="E610" i="33"/>
  <c r="E312" i="31"/>
  <c r="E193" i="31"/>
  <c r="G53" i="31"/>
  <c r="H13" i="32"/>
  <c r="Y13" i="32" s="1"/>
  <c r="G342" i="31"/>
  <c r="G223" i="31"/>
  <c r="H122" i="32"/>
  <c r="Y122" i="32" s="1"/>
  <c r="L31" i="33"/>
  <c r="E9" i="32"/>
  <c r="F57" i="31"/>
  <c r="H28" i="32"/>
  <c r="Y28" i="32" s="1"/>
  <c r="E141" i="32"/>
  <c r="L365" i="33"/>
  <c r="L668" i="33"/>
  <c r="H149" i="32"/>
  <c r="Y149" i="32" s="1"/>
  <c r="G159" i="31"/>
  <c r="H84" i="32"/>
  <c r="Y84" i="32" s="1"/>
  <c r="F287" i="31"/>
  <c r="H812" i="33"/>
  <c r="H116" i="32"/>
  <c r="Y116" i="32" s="1"/>
  <c r="E204" i="31"/>
  <c r="E94" i="31"/>
  <c r="J627" i="33"/>
  <c r="G113" i="32" s="1"/>
  <c r="F108" i="32"/>
  <c r="L588" i="33"/>
  <c r="F240" i="33"/>
  <c r="L240" i="33" s="1"/>
  <c r="K240" i="33"/>
  <c r="H129" i="33"/>
  <c r="L129" i="33" s="1"/>
  <c r="K129" i="33"/>
  <c r="F303" i="31"/>
  <c r="G161" i="31"/>
  <c r="H86" i="32"/>
  <c r="Y86" i="32" s="1"/>
  <c r="E96" i="32"/>
  <c r="H52" i="32"/>
  <c r="Y52" i="32" s="1"/>
  <c r="E359" i="31"/>
  <c r="E102" i="31"/>
  <c r="E259" i="31"/>
  <c r="H117" i="32"/>
  <c r="Y117" i="32" s="1"/>
  <c r="G208" i="31"/>
  <c r="G328" i="31"/>
  <c r="H107" i="32"/>
  <c r="Y107" i="32" s="1"/>
  <c r="E191" i="31"/>
  <c r="E310" i="31"/>
  <c r="F171" i="31"/>
  <c r="F481" i="33"/>
  <c r="K481" i="33"/>
  <c r="L444" i="33"/>
  <c r="F71" i="31"/>
  <c r="G279" i="31"/>
  <c r="G151" i="31"/>
  <c r="H78" i="32"/>
  <c r="Y78" i="32" s="1"/>
  <c r="I513" i="33"/>
  <c r="J513" i="33" s="1"/>
  <c r="J511" i="33" s="1"/>
  <c r="G96" i="32" s="1"/>
  <c r="I807" i="33"/>
  <c r="J807" i="33" s="1"/>
  <c r="I499" i="33"/>
  <c r="J499" i="33" s="1"/>
  <c r="J497" i="33" s="1"/>
  <c r="G94" i="32" s="1"/>
  <c r="I267" i="33"/>
  <c r="J267" i="33" s="1"/>
  <c r="J265" i="33" s="1"/>
  <c r="G48" i="32" s="1"/>
  <c r="I506" i="33"/>
  <c r="J506" i="33" s="1"/>
  <c r="I520" i="33"/>
  <c r="J520" i="33" s="1"/>
  <c r="J518" i="33" s="1"/>
  <c r="G97" i="32" s="1"/>
  <c r="L657" i="33"/>
  <c r="F632" i="33"/>
  <c r="L632" i="33" s="1"/>
  <c r="K632" i="33"/>
  <c r="F324" i="31"/>
  <c r="F172" i="31"/>
  <c r="F53" i="32"/>
  <c r="L281" i="33"/>
  <c r="F241" i="33"/>
  <c r="G486" i="33"/>
  <c r="G480" i="33"/>
  <c r="H148" i="32"/>
  <c r="Y148" i="32" s="1"/>
  <c r="L635" i="33"/>
  <c r="I616" i="33"/>
  <c r="J616" i="33" s="1"/>
  <c r="I609" i="33"/>
  <c r="J609" i="33" s="1"/>
  <c r="E64" i="31"/>
  <c r="E82" i="32"/>
  <c r="L780" i="33"/>
  <c r="F162" i="31"/>
  <c r="E6" i="32"/>
  <c r="G168" i="33"/>
  <c r="G228" i="33"/>
  <c r="G152" i="33"/>
  <c r="G160" i="33"/>
  <c r="G243" i="33"/>
  <c r="G144" i="33"/>
  <c r="G184" i="33"/>
  <c r="G256" i="33"/>
  <c r="G128" i="33"/>
  <c r="G200" i="33"/>
  <c r="G216" i="33"/>
  <c r="G208" i="33"/>
  <c r="G136" i="33"/>
  <c r="G192" i="33"/>
  <c r="G176" i="33"/>
  <c r="H62" i="32"/>
  <c r="Y62" i="32" s="1"/>
  <c r="H32" i="32"/>
  <c r="Y32" i="32" s="1"/>
  <c r="E76" i="31"/>
  <c r="E35" i="1"/>
  <c r="E86" i="1"/>
  <c r="E88" i="1" s="1"/>
  <c r="G190" i="26"/>
  <c r="E36" i="26" s="1"/>
  <c r="E180" i="26"/>
  <c r="E182" i="26" s="1"/>
  <c r="A19" i="26"/>
  <c r="A51" i="26" s="1"/>
  <c r="G1" i="26"/>
  <c r="L433" i="33" l="1"/>
  <c r="E309" i="31"/>
  <c r="E190" i="31"/>
  <c r="H106" i="32"/>
  <c r="Y106" i="32" s="1"/>
  <c r="H58" i="32"/>
  <c r="Y58" i="32" s="1"/>
  <c r="G75" i="33"/>
  <c r="K193" i="33"/>
  <c r="H156" i="32"/>
  <c r="Y156" i="32" s="1"/>
  <c r="K201" i="33"/>
  <c r="H83" i="32"/>
  <c r="Y83" i="32" s="1"/>
  <c r="J10" i="33"/>
  <c r="K10" i="33"/>
  <c r="K177" i="33"/>
  <c r="L193" i="33"/>
  <c r="K185" i="33"/>
  <c r="L185" i="33"/>
  <c r="L201" i="33"/>
  <c r="L177" i="33"/>
  <c r="L209" i="33"/>
  <c r="H5" i="32"/>
  <c r="Y5" i="32" s="1"/>
  <c r="E23" i="31"/>
  <c r="H105" i="32"/>
  <c r="Y105" i="32" s="1"/>
  <c r="E308" i="31"/>
  <c r="E189" i="31"/>
  <c r="K229" i="33"/>
  <c r="F229" i="33"/>
  <c r="L229" i="33" s="1"/>
  <c r="K154" i="33"/>
  <c r="F154" i="33"/>
  <c r="F162" i="33"/>
  <c r="K162" i="33"/>
  <c r="F210" i="33"/>
  <c r="K210" i="33"/>
  <c r="F218" i="33"/>
  <c r="K218" i="33"/>
  <c r="F138" i="33"/>
  <c r="K138" i="33"/>
  <c r="F170" i="33"/>
  <c r="K170" i="33"/>
  <c r="K130" i="33"/>
  <c r="F130" i="33"/>
  <c r="K178" i="33"/>
  <c r="F178" i="33"/>
  <c r="F146" i="33"/>
  <c r="K146" i="33"/>
  <c r="F186" i="33"/>
  <c r="K186" i="33"/>
  <c r="E631" i="33"/>
  <c r="H145" i="32"/>
  <c r="Y145" i="32" s="1"/>
  <c r="E321" i="31"/>
  <c r="F202" i="33"/>
  <c r="K202" i="33"/>
  <c r="K194" i="33"/>
  <c r="F194" i="33"/>
  <c r="K244" i="33"/>
  <c r="F244" i="33"/>
  <c r="L244" i="33" s="1"/>
  <c r="K257" i="33"/>
  <c r="F257" i="33"/>
  <c r="L257" i="33" s="1"/>
  <c r="E37" i="31"/>
  <c r="F226" i="31"/>
  <c r="F64" i="31"/>
  <c r="I241" i="33"/>
  <c r="H72" i="32"/>
  <c r="Y72" i="32" s="1"/>
  <c r="F179" i="31"/>
  <c r="F74" i="31"/>
  <c r="G306" i="31"/>
  <c r="G187" i="31"/>
  <c r="H103" i="32"/>
  <c r="Y103" i="32" s="1"/>
  <c r="F331" i="31"/>
  <c r="H66" i="33"/>
  <c r="K66" i="33"/>
  <c r="H208" i="33"/>
  <c r="K208" i="33"/>
  <c r="F259" i="31"/>
  <c r="F67" i="31"/>
  <c r="E58" i="31"/>
  <c r="F310" i="31"/>
  <c r="F344" i="31"/>
  <c r="F343" i="31"/>
  <c r="H176" i="33"/>
  <c r="K176" i="33"/>
  <c r="H192" i="33"/>
  <c r="K192" i="33"/>
  <c r="F204" i="31"/>
  <c r="F300" i="31"/>
  <c r="I245" i="33"/>
  <c r="I231" i="33"/>
  <c r="I258" i="33"/>
  <c r="H70" i="32"/>
  <c r="Y70" i="32" s="1"/>
  <c r="H136" i="33"/>
  <c r="K136" i="33"/>
  <c r="H216" i="33"/>
  <c r="K216" i="33"/>
  <c r="J607" i="33"/>
  <c r="G110" i="32" s="1"/>
  <c r="J504" i="33"/>
  <c r="G95" i="32" s="1"/>
  <c r="F102" i="31"/>
  <c r="F142" i="32"/>
  <c r="F237" i="31"/>
  <c r="E62" i="31"/>
  <c r="F298" i="31"/>
  <c r="H61" i="32"/>
  <c r="Y61" i="32" s="1"/>
  <c r="G96" i="33"/>
  <c r="H230" i="33"/>
  <c r="L230" i="33" s="1"/>
  <c r="K230" i="33"/>
  <c r="J614" i="33"/>
  <c r="G111" i="32" s="1"/>
  <c r="H53" i="31"/>
  <c r="K53" i="31"/>
  <c r="L425" i="33"/>
  <c r="E81" i="32"/>
  <c r="H19" i="33"/>
  <c r="L20" i="33"/>
  <c r="F211" i="31"/>
  <c r="G93" i="33"/>
  <c r="H60" i="32"/>
  <c r="Y60" i="32" s="1"/>
  <c r="H200" i="33"/>
  <c r="K200" i="33"/>
  <c r="H63" i="33"/>
  <c r="K63" i="33"/>
  <c r="H128" i="33"/>
  <c r="K128" i="33"/>
  <c r="F193" i="31"/>
  <c r="H87" i="33"/>
  <c r="K87" i="33"/>
  <c r="H261" i="33"/>
  <c r="L261" i="33" s="1"/>
  <c r="K261" i="33"/>
  <c r="G78" i="33"/>
  <c r="G81" i="33"/>
  <c r="G69" i="33"/>
  <c r="H56" i="32"/>
  <c r="Y56" i="32" s="1"/>
  <c r="F359" i="31"/>
  <c r="F176" i="31"/>
  <c r="H256" i="33"/>
  <c r="K256" i="33"/>
  <c r="J805" i="33"/>
  <c r="G141" i="32" s="1"/>
  <c r="E178" i="31"/>
  <c r="F312" i="31"/>
  <c r="F202" i="31"/>
  <c r="F188" i="31"/>
  <c r="H72" i="33"/>
  <c r="K72" i="33"/>
  <c r="H248" i="33"/>
  <c r="L248" i="33" s="1"/>
  <c r="K248" i="33"/>
  <c r="G616" i="33"/>
  <c r="G609" i="33"/>
  <c r="G311" i="31"/>
  <c r="G192" i="31"/>
  <c r="H108" i="32"/>
  <c r="Y108" i="32" s="1"/>
  <c r="H82" i="32"/>
  <c r="Y82" i="32" s="1"/>
  <c r="E285" i="31"/>
  <c r="E157" i="31"/>
  <c r="F372" i="31"/>
  <c r="F228" i="31"/>
  <c r="H160" i="33"/>
  <c r="K160" i="33"/>
  <c r="H486" i="33"/>
  <c r="K486" i="33"/>
  <c r="K239" i="33"/>
  <c r="F239" i="33"/>
  <c r="L239" i="33" s="1"/>
  <c r="F307" i="31"/>
  <c r="K545" i="33"/>
  <c r="F545" i="33"/>
  <c r="H267" i="33"/>
  <c r="K267" i="33"/>
  <c r="E59" i="31"/>
  <c r="K535" i="33"/>
  <c r="F535" i="33"/>
  <c r="H506" i="33"/>
  <c r="K506" i="33"/>
  <c r="F296" i="31"/>
  <c r="F230" i="31"/>
  <c r="K633" i="33"/>
  <c r="F633" i="33"/>
  <c r="L633" i="33" s="1"/>
  <c r="K610" i="33"/>
  <c r="F610" i="33"/>
  <c r="J814" i="33"/>
  <c r="K814" i="33"/>
  <c r="E302" i="31"/>
  <c r="F293" i="31"/>
  <c r="F61" i="31"/>
  <c r="H90" i="33"/>
  <c r="K90" i="33"/>
  <c r="F254" i="33"/>
  <c r="K254" i="33"/>
  <c r="H520" i="33"/>
  <c r="K520" i="33"/>
  <c r="F191" i="31"/>
  <c r="E177" i="31"/>
  <c r="H480" i="33"/>
  <c r="K480" i="33"/>
  <c r="F617" i="33"/>
  <c r="K617" i="33"/>
  <c r="H152" i="33"/>
  <c r="K152" i="33"/>
  <c r="H228" i="33"/>
  <c r="K228" i="33"/>
  <c r="H250" i="33"/>
  <c r="L250" i="33" s="1"/>
  <c r="K250" i="33"/>
  <c r="H263" i="33"/>
  <c r="L263" i="33" s="1"/>
  <c r="K263" i="33"/>
  <c r="K223" i="33"/>
  <c r="F223" i="33"/>
  <c r="E24" i="31"/>
  <c r="G60" i="33"/>
  <c r="H53" i="32"/>
  <c r="Y53" i="32" s="1"/>
  <c r="F168" i="31"/>
  <c r="H84" i="33"/>
  <c r="K84" i="33"/>
  <c r="F169" i="31"/>
  <c r="K629" i="33"/>
  <c r="F629" i="33"/>
  <c r="H807" i="33"/>
  <c r="K807" i="33"/>
  <c r="H9" i="32"/>
  <c r="Y9" i="32" s="1"/>
  <c r="E11" i="33"/>
  <c r="F234" i="31"/>
  <c r="E63" i="31"/>
  <c r="H168" i="33"/>
  <c r="K168" i="33"/>
  <c r="H499" i="33"/>
  <c r="K499" i="33"/>
  <c r="H509" i="33"/>
  <c r="L509" i="33" s="1"/>
  <c r="K509" i="33"/>
  <c r="F236" i="33"/>
  <c r="K236" i="33"/>
  <c r="H513" i="33"/>
  <c r="K513" i="33"/>
  <c r="F348" i="31"/>
  <c r="F323" i="31"/>
  <c r="H516" i="33"/>
  <c r="L516" i="33" s="1"/>
  <c r="K516" i="33"/>
  <c r="H243" i="33"/>
  <c r="K243" i="33"/>
  <c r="F56" i="31"/>
  <c r="H7" i="33"/>
  <c r="F4" i="32" s="1"/>
  <c r="G22" i="31" s="1"/>
  <c r="H22" i="31" s="1"/>
  <c r="L13" i="33"/>
  <c r="H31" i="32"/>
  <c r="Y31" i="32" s="1"/>
  <c r="E75" i="31"/>
  <c r="H80" i="32"/>
  <c r="Y80" i="32" s="1"/>
  <c r="E153" i="31"/>
  <c r="E281" i="31"/>
  <c r="L481" i="33"/>
  <c r="H502" i="33"/>
  <c r="L502" i="33" s="1"/>
  <c r="K502" i="33"/>
  <c r="L487" i="33"/>
  <c r="K14" i="33"/>
  <c r="F14" i="33"/>
  <c r="L14" i="33" s="1"/>
  <c r="K531" i="33"/>
  <c r="F531" i="33"/>
  <c r="H523" i="33"/>
  <c r="L523" i="33" s="1"/>
  <c r="K523" i="33"/>
  <c r="F527" i="33"/>
  <c r="K527" i="33"/>
  <c r="F76" i="31"/>
  <c r="F94" i="31"/>
  <c r="H184" i="33"/>
  <c r="K184" i="33"/>
  <c r="E66" i="31"/>
  <c r="H146" i="32"/>
  <c r="Y146" i="32" s="1"/>
  <c r="H144" i="33"/>
  <c r="K144" i="33"/>
  <c r="F21" i="31"/>
  <c r="K21" i="31"/>
  <c r="F170" i="31"/>
  <c r="K870" i="33"/>
  <c r="F870" i="33"/>
  <c r="H810" i="33"/>
  <c r="L810" i="33" s="1"/>
  <c r="K810" i="33"/>
  <c r="F540" i="33"/>
  <c r="K540" i="33"/>
  <c r="A115" i="26"/>
  <c r="A131" i="26" s="1"/>
  <c r="A163" i="26" s="1"/>
  <c r="A179" i="26" s="1"/>
  <c r="AQ53" i="25"/>
  <c r="AH53" i="25"/>
  <c r="AQ51" i="25"/>
  <c r="AH51" i="25"/>
  <c r="AQ49" i="25"/>
  <c r="AH49" i="25"/>
  <c r="AQ47" i="25"/>
  <c r="AH47" i="25"/>
  <c r="AQ45" i="25"/>
  <c r="AH45" i="25"/>
  <c r="AQ43" i="25"/>
  <c r="AH43" i="25"/>
  <c r="AQ41" i="25"/>
  <c r="AH41" i="25"/>
  <c r="AQ39" i="25"/>
  <c r="AH39" i="25"/>
  <c r="AQ37" i="25"/>
  <c r="AH37" i="25"/>
  <c r="AQ35" i="25"/>
  <c r="AH35" i="25"/>
  <c r="AQ33" i="25"/>
  <c r="AH33" i="25"/>
  <c r="AQ31" i="25"/>
  <c r="AH31" i="25"/>
  <c r="AQ29" i="25"/>
  <c r="AH29" i="25"/>
  <c r="AQ27" i="25"/>
  <c r="AH27" i="25"/>
  <c r="AQ25" i="25"/>
  <c r="AH25" i="25"/>
  <c r="AQ23" i="25"/>
  <c r="AH23" i="25"/>
  <c r="AQ21" i="25"/>
  <c r="AH21" i="25"/>
  <c r="AQ19" i="25"/>
  <c r="AH19" i="25"/>
  <c r="AQ17" i="25"/>
  <c r="AH17" i="25"/>
  <c r="AQ15" i="25"/>
  <c r="AH15" i="25"/>
  <c r="L10" i="33" l="1"/>
  <c r="J7" i="33"/>
  <c r="G4" i="32" s="1"/>
  <c r="I22" i="31" s="1"/>
  <c r="J22" i="31" s="1"/>
  <c r="J20" i="31" s="1"/>
  <c r="I5" i="31" s="1"/>
  <c r="F190" i="31"/>
  <c r="F309" i="31"/>
  <c r="H75" i="33"/>
  <c r="K75" i="33"/>
  <c r="F355" i="31"/>
  <c r="L138" i="33"/>
  <c r="F133" i="33"/>
  <c r="E34" i="32" s="1"/>
  <c r="E80" i="31" s="1"/>
  <c r="F321" i="31"/>
  <c r="L146" i="33"/>
  <c r="F141" i="33"/>
  <c r="E35" i="32" s="1"/>
  <c r="E81" i="31" s="1"/>
  <c r="L170" i="33"/>
  <c r="F165" i="33"/>
  <c r="E38" i="32" s="1"/>
  <c r="F189" i="31"/>
  <c r="L178" i="33"/>
  <c r="F173" i="33"/>
  <c r="E39" i="32" s="1"/>
  <c r="E85" i="31" s="1"/>
  <c r="L130" i="33"/>
  <c r="F125" i="33"/>
  <c r="E33" i="32" s="1"/>
  <c r="L218" i="33"/>
  <c r="F213" i="33"/>
  <c r="E44" i="32" s="1"/>
  <c r="L154" i="33"/>
  <c r="F149" i="33"/>
  <c r="E36" i="32" s="1"/>
  <c r="E82" i="31" s="1"/>
  <c r="F631" i="33"/>
  <c r="L631" i="33" s="1"/>
  <c r="K631" i="33"/>
  <c r="F308" i="31"/>
  <c r="L210" i="33"/>
  <c r="F205" i="33"/>
  <c r="E43" i="32" s="1"/>
  <c r="E89" i="31" s="1"/>
  <c r="F89" i="31" s="1"/>
  <c r="L162" i="33"/>
  <c r="F157" i="33"/>
  <c r="E37" i="32" s="1"/>
  <c r="E83" i="31" s="1"/>
  <c r="L202" i="33"/>
  <c r="F197" i="33"/>
  <c r="E42" i="32" s="1"/>
  <c r="E88" i="31" s="1"/>
  <c r="L186" i="33"/>
  <c r="F181" i="33"/>
  <c r="E40" i="32" s="1"/>
  <c r="E86" i="31" s="1"/>
  <c r="K23" i="31"/>
  <c r="F23" i="31"/>
  <c r="L23" i="31" s="1"/>
  <c r="L194" i="33"/>
  <c r="F189" i="33"/>
  <c r="E41" i="32" s="1"/>
  <c r="E87" i="31" s="1"/>
  <c r="L531" i="33"/>
  <c r="F529" i="33"/>
  <c r="H165" i="33"/>
  <c r="L168" i="33"/>
  <c r="L21" i="31"/>
  <c r="H60" i="33"/>
  <c r="K60" i="33"/>
  <c r="H86" i="33"/>
  <c r="L87" i="33"/>
  <c r="H52" i="31"/>
  <c r="L53" i="31"/>
  <c r="F63" i="31"/>
  <c r="G261" i="31"/>
  <c r="H71" i="33"/>
  <c r="L72" i="33"/>
  <c r="H133" i="33"/>
  <c r="L136" i="33"/>
  <c r="E84" i="31"/>
  <c r="G133" i="31"/>
  <c r="F24" i="31"/>
  <c r="H234" i="33"/>
  <c r="F46" i="32" s="1"/>
  <c r="G92" i="31" s="1"/>
  <c r="L243" i="33"/>
  <c r="L223" i="33"/>
  <c r="F221" i="33"/>
  <c r="H485" i="33"/>
  <c r="F92" i="32" s="1"/>
  <c r="G174" i="31" s="1"/>
  <c r="L486" i="33"/>
  <c r="J258" i="33"/>
  <c r="K258" i="33"/>
  <c r="G137" i="31"/>
  <c r="L254" i="33"/>
  <c r="F252" i="33"/>
  <c r="H157" i="33"/>
  <c r="L160" i="33"/>
  <c r="H141" i="33"/>
  <c r="L144" i="33"/>
  <c r="K11" i="33"/>
  <c r="F11" i="33"/>
  <c r="L535" i="33"/>
  <c r="F533" i="33"/>
  <c r="H125" i="33"/>
  <c r="L128" i="33"/>
  <c r="F58" i="31"/>
  <c r="G134" i="31"/>
  <c r="E90" i="31"/>
  <c r="H616" i="33"/>
  <c r="K616" i="33"/>
  <c r="H89" i="33"/>
  <c r="L90" i="33"/>
  <c r="F59" i="31"/>
  <c r="F178" i="31"/>
  <c r="H62" i="33"/>
  <c r="L63" i="33"/>
  <c r="L540" i="33"/>
  <c r="F537" i="33"/>
  <c r="F66" i="31"/>
  <c r="E264" i="31"/>
  <c r="G265" i="31"/>
  <c r="J245" i="33"/>
  <c r="L245" i="33" s="1"/>
  <c r="K245" i="33"/>
  <c r="G264" i="31"/>
  <c r="E267" i="31"/>
  <c r="L236" i="33"/>
  <c r="F234" i="33"/>
  <c r="F285" i="31"/>
  <c r="G303" i="31"/>
  <c r="H189" i="33"/>
  <c r="L192" i="33"/>
  <c r="H65" i="33"/>
  <c r="L66" i="33"/>
  <c r="F330" i="31"/>
  <c r="H518" i="33"/>
  <c r="L520" i="33"/>
  <c r="J231" i="33"/>
  <c r="K231" i="33"/>
  <c r="E8" i="31"/>
  <c r="F255" i="31"/>
  <c r="H805" i="33"/>
  <c r="L807" i="33"/>
  <c r="L629" i="33"/>
  <c r="F153" i="31"/>
  <c r="J812" i="33"/>
  <c r="L814" i="33"/>
  <c r="F98" i="31"/>
  <c r="H173" i="33"/>
  <c r="L176" i="33"/>
  <c r="G136" i="31"/>
  <c r="H497" i="33"/>
  <c r="L499" i="33"/>
  <c r="H81" i="32"/>
  <c r="Y81" i="32" s="1"/>
  <c r="E284" i="31"/>
  <c r="E156" i="31"/>
  <c r="H265" i="33"/>
  <c r="L267" i="33"/>
  <c r="L545" i="33"/>
  <c r="F542" i="33"/>
  <c r="J241" i="33"/>
  <c r="K241" i="33"/>
  <c r="H149" i="33"/>
  <c r="L152" i="33"/>
  <c r="L617" i="33"/>
  <c r="F614" i="33"/>
  <c r="H83" i="33"/>
  <c r="L84" i="33"/>
  <c r="H479" i="33"/>
  <c r="F91" i="32" s="1"/>
  <c r="G173" i="31" s="1"/>
  <c r="L480" i="33"/>
  <c r="H69" i="33"/>
  <c r="K69" i="33"/>
  <c r="F6" i="32"/>
  <c r="L19" i="33"/>
  <c r="H213" i="33"/>
  <c r="L216" i="33"/>
  <c r="H96" i="33"/>
  <c r="K96" i="33"/>
  <c r="H504" i="33"/>
  <c r="L506" i="33"/>
  <c r="H181" i="33"/>
  <c r="L184" i="33"/>
  <c r="L256" i="33"/>
  <c r="H252" i="33"/>
  <c r="F47" i="32" s="1"/>
  <c r="G93" i="31" s="1"/>
  <c r="H205" i="33"/>
  <c r="L208" i="33"/>
  <c r="F302" i="31"/>
  <c r="F157" i="31"/>
  <c r="H93" i="33"/>
  <c r="K93" i="33"/>
  <c r="F281" i="31"/>
  <c r="L870" i="33"/>
  <c r="F869" i="33"/>
  <c r="F75" i="31"/>
  <c r="H81" i="33"/>
  <c r="K81" i="33"/>
  <c r="F37" i="31"/>
  <c r="F177" i="31"/>
  <c r="F201" i="31"/>
  <c r="H197" i="33"/>
  <c r="L200" i="33"/>
  <c r="F62" i="31"/>
  <c r="L228" i="33"/>
  <c r="H221" i="33"/>
  <c r="F45" i="32" s="1"/>
  <c r="G91" i="31" s="1"/>
  <c r="H511" i="33"/>
  <c r="L513" i="33"/>
  <c r="F88" i="31"/>
  <c r="F210" i="31"/>
  <c r="L527" i="33"/>
  <c r="F525" i="33"/>
  <c r="E79" i="31"/>
  <c r="L610" i="33"/>
  <c r="F607" i="33"/>
  <c r="H609" i="33"/>
  <c r="K609" i="33"/>
  <c r="H78" i="33"/>
  <c r="K78" i="33"/>
  <c r="A19" i="1"/>
  <c r="A36" i="1" s="1"/>
  <c r="A52" i="1" s="1"/>
  <c r="A84" i="1" s="1"/>
  <c r="Q9" i="8"/>
  <c r="AR16" i="8"/>
  <c r="AP16" i="8"/>
  <c r="AR15" i="8"/>
  <c r="AP15" i="8"/>
  <c r="AR14" i="8"/>
  <c r="AP14" i="8"/>
  <c r="AR13" i="8"/>
  <c r="AP13" i="8"/>
  <c r="AR12" i="8"/>
  <c r="AP12" i="8"/>
  <c r="AA7" i="8"/>
  <c r="AB7" i="8" s="1"/>
  <c r="AC7" i="8" s="1"/>
  <c r="AD7" i="8" s="1"/>
  <c r="AE7" i="8" s="1"/>
  <c r="AF7" i="8" s="1"/>
  <c r="AG7" i="8" s="1"/>
  <c r="AH7" i="8" s="1"/>
  <c r="G1" i="1"/>
  <c r="C2" i="9"/>
  <c r="B1" i="2"/>
  <c r="B4" i="12"/>
  <c r="B4" i="13"/>
  <c r="B4" i="14"/>
  <c r="B4" i="15"/>
  <c r="B4" i="16"/>
  <c r="B4" i="17"/>
  <c r="B4" i="18"/>
  <c r="B4" i="19"/>
  <c r="B4" i="20"/>
  <c r="B4" i="21"/>
  <c r="B4" i="22"/>
  <c r="B4" i="11"/>
  <c r="F627" i="33" l="1"/>
  <c r="H74" i="33"/>
  <c r="L75" i="33"/>
  <c r="I5" i="30"/>
  <c r="J5" i="30" s="1"/>
  <c r="J5" i="31"/>
  <c r="E45" i="32"/>
  <c r="F97" i="32"/>
  <c r="L518" i="33"/>
  <c r="F94" i="32"/>
  <c r="L497" i="33"/>
  <c r="F22" i="32"/>
  <c r="L83" i="33"/>
  <c r="F79" i="31"/>
  <c r="H607" i="33"/>
  <c r="F110" i="32" s="1"/>
  <c r="L609" i="33"/>
  <c r="E265" i="31"/>
  <c r="F80" i="31"/>
  <c r="F16" i="32"/>
  <c r="L65" i="33"/>
  <c r="L525" i="33"/>
  <c r="E98" i="32"/>
  <c r="F39" i="32"/>
  <c r="L173" i="33"/>
  <c r="L537" i="33"/>
  <c r="E101" i="32"/>
  <c r="F33" i="32"/>
  <c r="L125" i="33"/>
  <c r="F83" i="31"/>
  <c r="E111" i="32"/>
  <c r="F41" i="32"/>
  <c r="L189" i="33"/>
  <c r="L533" i="33"/>
  <c r="E100" i="32"/>
  <c r="G37" i="31"/>
  <c r="L52" i="31"/>
  <c r="E137" i="31"/>
  <c r="H80" i="33"/>
  <c r="L81" i="33"/>
  <c r="E41" i="31"/>
  <c r="F40" i="32"/>
  <c r="L181" i="33"/>
  <c r="L11" i="33"/>
  <c r="F7" i="33"/>
  <c r="F23" i="32"/>
  <c r="L86" i="33"/>
  <c r="G142" i="32"/>
  <c r="L812" i="33"/>
  <c r="F15" i="32"/>
  <c r="L62" i="33"/>
  <c r="F87" i="31"/>
  <c r="F96" i="32"/>
  <c r="L511" i="33"/>
  <c r="F55" i="31"/>
  <c r="F43" i="32"/>
  <c r="L205" i="33"/>
  <c r="F148" i="31"/>
  <c r="F35" i="32"/>
  <c r="L141" i="33"/>
  <c r="E47" i="32"/>
  <c r="E139" i="31"/>
  <c r="F86" i="31"/>
  <c r="F264" i="31"/>
  <c r="F95" i="32"/>
  <c r="L504" i="33"/>
  <c r="H95" i="33"/>
  <c r="L96" i="33"/>
  <c r="F37" i="32"/>
  <c r="L157" i="33"/>
  <c r="F24" i="32"/>
  <c r="L89" i="33"/>
  <c r="F141" i="32"/>
  <c r="L805" i="33"/>
  <c r="F73" i="31"/>
  <c r="G24" i="31"/>
  <c r="H6" i="32"/>
  <c r="Y6" i="32" s="1"/>
  <c r="F8" i="31"/>
  <c r="L8" i="31" s="1"/>
  <c r="E8" i="30"/>
  <c r="K8" i="31"/>
  <c r="F85" i="31"/>
  <c r="H59" i="33"/>
  <c r="L60" i="33"/>
  <c r="E46" i="32"/>
  <c r="L627" i="33"/>
  <c r="E113" i="32"/>
  <c r="F81" i="31"/>
  <c r="J234" i="33"/>
  <c r="G46" i="32" s="1"/>
  <c r="L241" i="33"/>
  <c r="F44" i="32"/>
  <c r="L213" i="33"/>
  <c r="F276" i="31"/>
  <c r="F34" i="32"/>
  <c r="L133" i="33"/>
  <c r="F42" i="32"/>
  <c r="L197" i="33"/>
  <c r="H92" i="33"/>
  <c r="L93" i="33"/>
  <c r="F48" i="32"/>
  <c r="L265" i="33"/>
  <c r="F82" i="31"/>
  <c r="H614" i="33"/>
  <c r="F111" i="32" s="1"/>
  <c r="L616" i="33"/>
  <c r="L258" i="33"/>
  <c r="J252" i="33"/>
  <c r="G47" i="32" s="1"/>
  <c r="F38" i="32"/>
  <c r="L165" i="33"/>
  <c r="F36" i="32"/>
  <c r="L149" i="33"/>
  <c r="L869" i="33"/>
  <c r="E150" i="32"/>
  <c r="F267" i="31"/>
  <c r="F84" i="31"/>
  <c r="E136" i="31"/>
  <c r="H68" i="33"/>
  <c r="L69" i="33"/>
  <c r="F156" i="31"/>
  <c r="F90" i="31"/>
  <c r="E99" i="32"/>
  <c r="L529" i="33"/>
  <c r="E110" i="32"/>
  <c r="L542" i="33"/>
  <c r="E102" i="32"/>
  <c r="H77" i="33"/>
  <c r="L78" i="33"/>
  <c r="F284" i="31"/>
  <c r="L231" i="33"/>
  <c r="J221" i="33"/>
  <c r="G45" i="32" s="1"/>
  <c r="F18" i="32"/>
  <c r="L71" i="33"/>
  <c r="L607" i="33" l="1"/>
  <c r="F19" i="32"/>
  <c r="L74" i="33"/>
  <c r="G66" i="31"/>
  <c r="H24" i="32"/>
  <c r="Y24" i="32" s="1"/>
  <c r="H102" i="32"/>
  <c r="Y102" i="32" s="1"/>
  <c r="E184" i="31"/>
  <c r="F21" i="32"/>
  <c r="L80" i="33"/>
  <c r="G84" i="31"/>
  <c r="H38" i="32"/>
  <c r="Y38" i="32" s="1"/>
  <c r="F26" i="32"/>
  <c r="L95" i="33"/>
  <c r="E38" i="31"/>
  <c r="E313" i="31"/>
  <c r="E194" i="31"/>
  <c r="H110" i="32"/>
  <c r="Y110" i="32" s="1"/>
  <c r="E92" i="31"/>
  <c r="H46" i="32"/>
  <c r="Y46" i="32" s="1"/>
  <c r="G82" i="31"/>
  <c r="H36" i="32"/>
  <c r="Y36" i="32" s="1"/>
  <c r="G89" i="31"/>
  <c r="H43" i="32"/>
  <c r="Y43" i="32" s="1"/>
  <c r="H100" i="32"/>
  <c r="Y100" i="32" s="1"/>
  <c r="E182" i="31"/>
  <c r="H99" i="32"/>
  <c r="Y99" i="32" s="1"/>
  <c r="E181" i="31"/>
  <c r="G314" i="31"/>
  <c r="G195" i="31"/>
  <c r="F14" i="32"/>
  <c r="L59" i="33"/>
  <c r="G178" i="31"/>
  <c r="H96" i="32"/>
  <c r="Y96" i="32" s="1"/>
  <c r="F265" i="31"/>
  <c r="G177" i="31"/>
  <c r="H95" i="32"/>
  <c r="Y95" i="32" s="1"/>
  <c r="G87" i="31"/>
  <c r="H41" i="32"/>
  <c r="Y41" i="32" s="1"/>
  <c r="K8" i="30"/>
  <c r="F8" i="30"/>
  <c r="L8" i="30" s="1"/>
  <c r="E35" i="9" s="1"/>
  <c r="AQ21" i="8" s="1"/>
  <c r="G83" i="31"/>
  <c r="H37" i="32"/>
  <c r="Y37" i="32" s="1"/>
  <c r="H37" i="31"/>
  <c r="F17" i="32"/>
  <c r="L68" i="33"/>
  <c r="L7" i="33"/>
  <c r="E4" i="32"/>
  <c r="G79" i="31"/>
  <c r="H33" i="32"/>
  <c r="Y33" i="32" s="1"/>
  <c r="G176" i="31"/>
  <c r="H94" i="32"/>
  <c r="Y94" i="32" s="1"/>
  <c r="G81" i="31"/>
  <c r="H35" i="32"/>
  <c r="Y35" i="32" s="1"/>
  <c r="F20" i="32"/>
  <c r="L77" i="33"/>
  <c r="G58" i="31"/>
  <c r="H16" i="32"/>
  <c r="Y16" i="32" s="1"/>
  <c r="G57" i="31"/>
  <c r="H15" i="32"/>
  <c r="Y15" i="32" s="1"/>
  <c r="G88" i="31"/>
  <c r="H42" i="32"/>
  <c r="Y42" i="32" s="1"/>
  <c r="I6" i="31"/>
  <c r="E261" i="31"/>
  <c r="G179" i="31"/>
  <c r="H97" i="32"/>
  <c r="Y97" i="32" s="1"/>
  <c r="E195" i="31"/>
  <c r="H111" i="32"/>
  <c r="Y111" i="32" s="1"/>
  <c r="E314" i="31"/>
  <c r="F25" i="32"/>
  <c r="L92" i="33"/>
  <c r="G64" i="31"/>
  <c r="H22" i="32"/>
  <c r="Y22" i="32" s="1"/>
  <c r="G80" i="31"/>
  <c r="H34" i="32"/>
  <c r="Y34" i="32" s="1"/>
  <c r="E39" i="31"/>
  <c r="F139" i="31"/>
  <c r="G302" i="31"/>
  <c r="H141" i="32"/>
  <c r="Y141" i="32" s="1"/>
  <c r="H47" i="32"/>
  <c r="Y47" i="32" s="1"/>
  <c r="E93" i="31"/>
  <c r="L221" i="33"/>
  <c r="F41" i="31"/>
  <c r="H113" i="32"/>
  <c r="Y113" i="32" s="1"/>
  <c r="E199" i="31"/>
  <c r="L234" i="33"/>
  <c r="F155" i="31"/>
  <c r="G94" i="31"/>
  <c r="H48" i="32"/>
  <c r="Y48" i="32" s="1"/>
  <c r="L614" i="33"/>
  <c r="H142" i="32"/>
  <c r="Y142" i="32" s="1"/>
  <c r="E183" i="31"/>
  <c r="H101" i="32"/>
  <c r="Y101" i="32" s="1"/>
  <c r="E482" i="33"/>
  <c r="H150" i="32"/>
  <c r="Y150" i="32" s="1"/>
  <c r="E488" i="33"/>
  <c r="L252" i="33"/>
  <c r="G85" i="31"/>
  <c r="H39" i="32"/>
  <c r="Y39" i="32" s="1"/>
  <c r="H45" i="32"/>
  <c r="Y45" i="32" s="1"/>
  <c r="E91" i="31"/>
  <c r="E133" i="31"/>
  <c r="F137" i="31"/>
  <c r="G194" i="31"/>
  <c r="G313" i="31"/>
  <c r="F136" i="31"/>
  <c r="H24" i="31"/>
  <c r="K24" i="31"/>
  <c r="G65" i="31"/>
  <c r="H23" i="32"/>
  <c r="Y23" i="32" s="1"/>
  <c r="G60" i="31"/>
  <c r="H18" i="32"/>
  <c r="Y18" i="32" s="1"/>
  <c r="F283" i="31"/>
  <c r="G90" i="31"/>
  <c r="H44" i="32"/>
  <c r="Y44" i="32" s="1"/>
  <c r="G86" i="31"/>
  <c r="H40" i="32"/>
  <c r="Y40" i="32" s="1"/>
  <c r="E180" i="31"/>
  <c r="H98" i="32"/>
  <c r="Y98" i="32" s="1"/>
  <c r="G61" i="31" l="1"/>
  <c r="H19" i="32"/>
  <c r="Y19" i="32" s="1"/>
  <c r="F93" i="31"/>
  <c r="E262" i="31"/>
  <c r="F183" i="31"/>
  <c r="H57" i="31"/>
  <c r="L57" i="31" s="1"/>
  <c r="K57" i="31"/>
  <c r="F92" i="31"/>
  <c r="F182" i="31"/>
  <c r="F39" i="31"/>
  <c r="F194" i="31"/>
  <c r="H60" i="31"/>
  <c r="L60" i="31" s="1"/>
  <c r="K60" i="31"/>
  <c r="H65" i="31"/>
  <c r="L65" i="31" s="1"/>
  <c r="K65" i="31"/>
  <c r="H58" i="31"/>
  <c r="L58" i="31" s="1"/>
  <c r="K58" i="31"/>
  <c r="F313" i="31"/>
  <c r="G68" i="31"/>
  <c r="H26" i="32"/>
  <c r="Y26" i="32" s="1"/>
  <c r="F180" i="31"/>
  <c r="G63" i="31"/>
  <c r="H21" i="32"/>
  <c r="Y21" i="32" s="1"/>
  <c r="K488" i="33"/>
  <c r="F488" i="33"/>
  <c r="G62" i="31"/>
  <c r="H20" i="32"/>
  <c r="Y20" i="32" s="1"/>
  <c r="F199" i="31"/>
  <c r="G56" i="31"/>
  <c r="H14" i="32"/>
  <c r="Y14" i="32" s="1"/>
  <c r="F184" i="31"/>
  <c r="F261" i="31"/>
  <c r="F482" i="33"/>
  <c r="K482" i="33"/>
  <c r="H64" i="31"/>
  <c r="L64" i="31" s="1"/>
  <c r="K64" i="31"/>
  <c r="F195" i="31"/>
  <c r="H4" i="32"/>
  <c r="Y4" i="32" s="1"/>
  <c r="E22" i="31"/>
  <c r="G59" i="31"/>
  <c r="H17" i="32"/>
  <c r="Y17" i="32" s="1"/>
  <c r="I6" i="30"/>
  <c r="J6" i="30" s="1"/>
  <c r="J6" i="31"/>
  <c r="F38" i="31"/>
  <c r="H20" i="31"/>
  <c r="G5" i="31" s="1"/>
  <c r="L24" i="31"/>
  <c r="E134" i="31"/>
  <c r="G67" i="31"/>
  <c r="H25" i="32"/>
  <c r="Y25" i="32" s="1"/>
  <c r="F314" i="31"/>
  <c r="F133" i="31"/>
  <c r="F91" i="31"/>
  <c r="F181" i="31"/>
  <c r="H66" i="31"/>
  <c r="L66" i="31" s="1"/>
  <c r="K66" i="31"/>
  <c r="Y15" i="8"/>
  <c r="Y14" i="8"/>
  <c r="AR11" i="8"/>
  <c r="AP11" i="8"/>
  <c r="AP9" i="8"/>
  <c r="AQ7" i="8"/>
  <c r="AO5" i="8"/>
  <c r="AM4" i="8"/>
  <c r="O4" i="8"/>
  <c r="O3" i="8"/>
  <c r="H61" i="31" l="1"/>
  <c r="L61" i="31" s="1"/>
  <c r="K61" i="31"/>
  <c r="I7" i="31"/>
  <c r="H56" i="31"/>
  <c r="F289" i="31"/>
  <c r="L482" i="33"/>
  <c r="F479" i="33"/>
  <c r="F262" i="31"/>
  <c r="G5" i="30"/>
  <c r="H5" i="30" s="1"/>
  <c r="H5" i="31"/>
  <c r="L488" i="33"/>
  <c r="F485" i="33"/>
  <c r="G40" i="31"/>
  <c r="H40" i="31" s="1"/>
  <c r="F78" i="31"/>
  <c r="K22" i="31"/>
  <c r="F22" i="31"/>
  <c r="H62" i="31"/>
  <c r="L62" i="31" s="1"/>
  <c r="K62" i="31"/>
  <c r="H67" i="31"/>
  <c r="L67" i="31" s="1"/>
  <c r="K67" i="31"/>
  <c r="H59" i="31"/>
  <c r="L59" i="31" s="1"/>
  <c r="K59" i="31"/>
  <c r="G263" i="31"/>
  <c r="G118" i="31" s="1"/>
  <c r="F134" i="31"/>
  <c r="G135" i="31"/>
  <c r="G117" i="31" s="1"/>
  <c r="G7" i="31" s="1"/>
  <c r="H63" i="31"/>
  <c r="L63" i="31" s="1"/>
  <c r="K63" i="31"/>
  <c r="E40" i="31" l="1"/>
  <c r="L485" i="33"/>
  <c r="E92" i="32"/>
  <c r="H55" i="31"/>
  <c r="G7" i="30"/>
  <c r="H7" i="30" s="1"/>
  <c r="H7" i="31"/>
  <c r="L479" i="33"/>
  <c r="E91" i="32"/>
  <c r="E263" i="31"/>
  <c r="L22" i="31"/>
  <c r="F20" i="31"/>
  <c r="J7" i="31"/>
  <c r="J19" i="31" s="1"/>
  <c r="I7" i="30"/>
  <c r="J7" i="30" s="1"/>
  <c r="J19" i="30" s="1"/>
  <c r="E10" i="9" s="1"/>
  <c r="H91" i="32" l="1"/>
  <c r="Y91" i="32" s="1"/>
  <c r="E173" i="31"/>
  <c r="G38" i="31"/>
  <c r="F40" i="31"/>
  <c r="E5" i="31"/>
  <c r="L20" i="31"/>
  <c r="F263" i="31"/>
  <c r="H92" i="32"/>
  <c r="Y92" i="32" s="1"/>
  <c r="E174" i="31"/>
  <c r="F174" i="31" l="1"/>
  <c r="F36" i="31"/>
  <c r="F173" i="31"/>
  <c r="F260" i="31"/>
  <c r="F5" i="31"/>
  <c r="E5" i="30"/>
  <c r="K5" i="31"/>
  <c r="H38" i="31"/>
  <c r="K5" i="30" l="1"/>
  <c r="F5" i="30"/>
  <c r="H36" i="31"/>
  <c r="G6" i="31" s="1"/>
  <c r="E118" i="31"/>
  <c r="L5" i="31"/>
  <c r="F164" i="31"/>
  <c r="E6" i="31"/>
  <c r="K6" i="31" l="1"/>
  <c r="F6" i="31"/>
  <c r="E6" i="30"/>
  <c r="F118" i="31"/>
  <c r="E135" i="31"/>
  <c r="H6" i="31"/>
  <c r="H19" i="31" s="1"/>
  <c r="AB19" i="31" s="1"/>
  <c r="AD19" i="31" s="1"/>
  <c r="G6" i="30"/>
  <c r="H6" i="30" s="1"/>
  <c r="H19" i="30" s="1"/>
  <c r="L5" i="30"/>
  <c r="AB19" i="30" l="1"/>
  <c r="AD19" i="30" s="1"/>
  <c r="E7" i="9"/>
  <c r="F135" i="31"/>
  <c r="K6" i="30"/>
  <c r="F6" i="30"/>
  <c r="L6" i="31"/>
  <c r="E16" i="9" l="1"/>
  <c r="E15" i="9"/>
  <c r="E13" i="9"/>
  <c r="E14" i="9" s="1"/>
  <c r="E8" i="9"/>
  <c r="E18" i="9" s="1"/>
  <c r="L6" i="30"/>
  <c r="F132" i="31"/>
  <c r="E9" i="9" l="1"/>
  <c r="E21" i="9"/>
  <c r="E20" i="9"/>
  <c r="E12" i="9"/>
  <c r="E11" i="9"/>
  <c r="E117" i="31"/>
  <c r="F117" i="31" l="1"/>
  <c r="F116" i="31" l="1"/>
  <c r="E7" i="31" l="1"/>
  <c r="K7" i="31" l="1"/>
  <c r="F7" i="31"/>
  <c r="E7" i="30"/>
  <c r="K7" i="30" l="1"/>
  <c r="F7" i="30"/>
  <c r="L7" i="31"/>
  <c r="AB18" i="31"/>
  <c r="AD18" i="31" s="1"/>
  <c r="F19" i="31"/>
  <c r="L19" i="31" s="1"/>
  <c r="L7" i="30" l="1"/>
  <c r="F19" i="30"/>
  <c r="AB18" i="30"/>
  <c r="AD18" i="30" s="1"/>
  <c r="L19" i="30" l="1"/>
  <c r="E4" i="9"/>
  <c r="E23" i="9" l="1"/>
  <c r="E6" i="9"/>
  <c r="E26" i="9" l="1"/>
  <c r="E17" i="9"/>
  <c r="E25" i="9"/>
  <c r="E22" i="9"/>
  <c r="E19" i="9"/>
  <c r="E27" i="9" l="1"/>
  <c r="E28" i="9" l="1"/>
  <c r="E29" i="9" s="1"/>
  <c r="E30" i="9" s="1"/>
  <c r="E32" i="9" l="1"/>
  <c r="AQ19" i="8" l="1"/>
  <c r="E33" i="9"/>
  <c r="AV19" i="8" l="1"/>
  <c r="E34" i="9"/>
  <c r="E36" i="9" s="1"/>
  <c r="AW18" i="8"/>
  <c r="AQ18" i="8" s="1"/>
</calcChain>
</file>

<file path=xl/sharedStrings.xml><?xml version="1.0" encoding="utf-8"?>
<sst xmlns="http://schemas.openxmlformats.org/spreadsheetml/2006/main" count="15768" uniqueCount="2866">
  <si>
    <t>공종명</t>
    <phoneticPr fontId="2" type="noConversion"/>
  </si>
  <si>
    <t>규격</t>
    <phoneticPr fontId="2" type="noConversion"/>
  </si>
  <si>
    <t>단위</t>
  </si>
  <si>
    <t>단위</t>
    <phoneticPr fontId="2" type="noConversion"/>
  </si>
  <si>
    <t>수량</t>
  </si>
  <si>
    <t>수량</t>
    <phoneticPr fontId="2" type="noConversion"/>
  </si>
  <si>
    <t>산출근거</t>
    <phoneticPr fontId="2" type="noConversion"/>
  </si>
  <si>
    <t>비고</t>
  </si>
  <si>
    <t>비 고</t>
    <phoneticPr fontId="2" type="noConversion"/>
  </si>
  <si>
    <t>M2</t>
  </si>
  <si>
    <t xml:space="preserve">■현장명: </t>
  </si>
  <si>
    <t>No.</t>
  </si>
  <si>
    <t>공 종</t>
  </si>
  <si>
    <t>규 격</t>
  </si>
  <si>
    <t>산   출   근   거</t>
  </si>
  <si>
    <t>M3</t>
  </si>
  <si>
    <t>Ton</t>
  </si>
  <si>
    <t>No.</t>
    <phoneticPr fontId="2" type="noConversion"/>
  </si>
  <si>
    <t>가설공사</t>
    <phoneticPr fontId="2" type="noConversion"/>
  </si>
  <si>
    <t>철거공사</t>
    <phoneticPr fontId="2" type="noConversion"/>
  </si>
  <si>
    <t>설    계    설    명    서</t>
    <phoneticPr fontId="7" type="noConversion"/>
  </si>
  <si>
    <t>과      장</t>
    <phoneticPr fontId="7" type="noConversion"/>
  </si>
  <si>
    <t>팀      장</t>
    <phoneticPr fontId="7" type="noConversion"/>
  </si>
  <si>
    <t xml:space="preserve">심     사 </t>
    <phoneticPr fontId="7" type="noConversion"/>
  </si>
  <si>
    <t>설      계      년      월      일</t>
    <phoneticPr fontId="7" type="noConversion"/>
  </si>
  <si>
    <t>위 치  :</t>
    <phoneticPr fontId="7" type="noConversion"/>
  </si>
  <si>
    <t>1. 위       치 :</t>
    <phoneticPr fontId="7" type="noConversion"/>
  </si>
  <si>
    <t>3. 목       적 :</t>
    <phoneticPr fontId="7" type="noConversion"/>
  </si>
  <si>
    <t xml:space="preserve">     위          치</t>
    <phoneticPr fontId="7" type="noConversion"/>
  </si>
  <si>
    <t>5. 공사 자재 :</t>
    <phoneticPr fontId="7" type="noConversion"/>
  </si>
  <si>
    <t xml:space="preserve"> 본 공사에 소요되는 자재는 다음과 같다.</t>
    <phoneticPr fontId="7" type="noConversion"/>
  </si>
  <si>
    <t>품       명</t>
    <phoneticPr fontId="7" type="noConversion"/>
  </si>
  <si>
    <t>규        격</t>
    <phoneticPr fontId="7" type="noConversion"/>
  </si>
  <si>
    <t>단위</t>
    <phoneticPr fontId="7" type="noConversion"/>
  </si>
  <si>
    <t>수              량</t>
    <phoneticPr fontId="7" type="noConversion"/>
  </si>
  <si>
    <t>인 도 장 소</t>
    <phoneticPr fontId="7" type="noConversion"/>
  </si>
  <si>
    <t>비      고</t>
    <phoneticPr fontId="7" type="noConversion"/>
  </si>
  <si>
    <t xml:space="preserve">관    급 </t>
    <phoneticPr fontId="7" type="noConversion"/>
  </si>
  <si>
    <t>사    급</t>
    <phoneticPr fontId="7" type="noConversion"/>
  </si>
  <si>
    <t>연기 조치할 수 있다.</t>
    <phoneticPr fontId="7" type="noConversion"/>
  </si>
  <si>
    <t>(1) 천재지변으로 인하여 작업이 불가능할 때</t>
    <phoneticPr fontId="7" type="noConversion"/>
  </si>
  <si>
    <t>총공사비:</t>
    <phoneticPr fontId="7" type="noConversion"/>
  </si>
  <si>
    <t>8. 설계변경 :</t>
  </si>
  <si>
    <t>부가세:</t>
    <phoneticPr fontId="7" type="noConversion"/>
  </si>
  <si>
    <t>9. 기     타 :</t>
    <phoneticPr fontId="7" type="noConversion"/>
  </si>
  <si>
    <t>일반시방서, 특별시방서에 준하여 공사의 시공을 한다.</t>
    <phoneticPr fontId="7" type="noConversion"/>
  </si>
  <si>
    <t>공사기간</t>
    <phoneticPr fontId="2" type="noConversion"/>
  </si>
  <si>
    <t>설     계</t>
    <phoneticPr fontId="7" type="noConversion"/>
  </si>
  <si>
    <t>공         종</t>
    <phoneticPr fontId="7" type="noConversion"/>
  </si>
  <si>
    <t>비 고</t>
    <phoneticPr fontId="7" type="noConversion"/>
  </si>
  <si>
    <t>주 요 내 용</t>
    <phoneticPr fontId="7" type="noConversion"/>
  </si>
  <si>
    <t>현장 현황조사</t>
    <phoneticPr fontId="7" type="noConversion"/>
  </si>
  <si>
    <t>자재 수급</t>
    <phoneticPr fontId="7" type="noConversion"/>
  </si>
  <si>
    <t>자재 가공</t>
    <phoneticPr fontId="7" type="noConversion"/>
  </si>
  <si>
    <t>공장 제작</t>
    <phoneticPr fontId="7" type="noConversion"/>
  </si>
  <si>
    <t>현장시공</t>
    <phoneticPr fontId="7" type="noConversion"/>
  </si>
  <si>
    <t>기타</t>
    <phoneticPr fontId="7" type="noConversion"/>
  </si>
  <si>
    <t xml:space="preserve">⑴ 본 공사는 조사 당시 수립된 자료에 의하여 설계한 것인바 조사불능 부분 및 조사후 변동된 사항에 대하여는 시공당시 </t>
    <phoneticPr fontId="7" type="noConversion"/>
  </si>
  <si>
    <t>설계 내역서 참조.</t>
    <phoneticPr fontId="7" type="noConversion"/>
  </si>
  <si>
    <t>⑵ 본 공사의 관급자내 수량 및 인도지의 변경이 있을 경우에는 이를 실지에 맞추어 설계 변경한다.</t>
    <phoneticPr fontId="7" type="noConversion"/>
  </si>
  <si>
    <t>공 사 원 가 계 산 서</t>
  </si>
  <si>
    <t>비        목</t>
  </si>
  <si>
    <t>금      액</t>
  </si>
  <si>
    <t>비      고</t>
  </si>
  <si>
    <t>A1</t>
  </si>
  <si>
    <t>순   공   사   원   가</t>
  </si>
  <si>
    <t>재료비</t>
    <phoneticPr fontId="11" type="noConversion"/>
  </si>
  <si>
    <t>직  접  재  료  비</t>
  </si>
  <si>
    <t/>
  </si>
  <si>
    <t>A2</t>
  </si>
  <si>
    <t>간  접  재  료  비</t>
  </si>
  <si>
    <t>AS</t>
  </si>
  <si>
    <t>[ 소          계 ]</t>
  </si>
  <si>
    <t>B1</t>
  </si>
  <si>
    <t>노무비</t>
    <phoneticPr fontId="11" type="noConversion"/>
  </si>
  <si>
    <t>직  접  노  무  비</t>
  </si>
  <si>
    <t>B2</t>
  </si>
  <si>
    <t>간  접  노  무  비</t>
  </si>
  <si>
    <t>BS</t>
  </si>
  <si>
    <t>C2</t>
  </si>
  <si>
    <t>기   계    경   비</t>
  </si>
  <si>
    <t>C4</t>
  </si>
  <si>
    <t>산  재  보  험  료</t>
  </si>
  <si>
    <t>C5</t>
  </si>
  <si>
    <t>고  용  보  험  료</t>
  </si>
  <si>
    <t>노무비 * 1.01%</t>
    <phoneticPr fontId="25" type="noConversion"/>
  </si>
  <si>
    <t>C6</t>
  </si>
  <si>
    <t>국민  건강  보험료</t>
  </si>
  <si>
    <t>C7</t>
  </si>
  <si>
    <t>국민  연금  보험료</t>
  </si>
  <si>
    <t>CB</t>
  </si>
  <si>
    <t>노인장기요양보험료</t>
  </si>
  <si>
    <t>C8</t>
  </si>
  <si>
    <t>퇴직  공제  부금비</t>
  </si>
  <si>
    <t>직접노무비 * 2.3%</t>
  </si>
  <si>
    <t>CA</t>
  </si>
  <si>
    <t>산업안전보건관리비</t>
  </si>
  <si>
    <t>CH</t>
  </si>
  <si>
    <t>환  경  보  전  비</t>
  </si>
  <si>
    <t>(재료비+직노+기계경비) * 0.3%</t>
  </si>
  <si>
    <t>CG</t>
  </si>
  <si>
    <t>기   타    경   비</t>
  </si>
  <si>
    <t>CK</t>
  </si>
  <si>
    <t>(재료비+직노+기계경비) * 0.07%</t>
    <phoneticPr fontId="11" type="noConversion"/>
  </si>
  <si>
    <t>CS</t>
  </si>
  <si>
    <t>S1</t>
  </si>
  <si>
    <t xml:space="preserve">        계</t>
  </si>
  <si>
    <t>D1</t>
  </si>
  <si>
    <t>일  반  관  리  비</t>
  </si>
  <si>
    <t>D2</t>
  </si>
  <si>
    <t>이              윤</t>
  </si>
  <si>
    <t>D9</t>
  </si>
  <si>
    <t>공   급    가   액</t>
  </si>
  <si>
    <t>DB</t>
  </si>
  <si>
    <t>부  가  가  치  세</t>
  </si>
  <si>
    <t>공급가액 * 10%</t>
  </si>
  <si>
    <t>DH</t>
  </si>
  <si>
    <t>도      급      액</t>
  </si>
  <si>
    <t>S2</t>
  </si>
  <si>
    <t>총   공   사    비</t>
  </si>
  <si>
    <t>산 출 근 거</t>
    <phoneticPr fontId="2" type="noConversion"/>
  </si>
  <si>
    <t>경  비</t>
    <phoneticPr fontId="11" type="noConversion"/>
  </si>
  <si>
    <t>적 용 요 율</t>
    <phoneticPr fontId="2" type="noConversion"/>
  </si>
  <si>
    <t>원  가  계  산  서</t>
    <phoneticPr fontId="11" type="noConversion"/>
  </si>
  <si>
    <t>총 괄 내 역 서</t>
    <phoneticPr fontId="11" type="noConversion"/>
  </si>
  <si>
    <t>산 출 내 역 서</t>
    <phoneticPr fontId="11" type="noConversion"/>
  </si>
  <si>
    <t>일 위 대 가 목 록</t>
    <phoneticPr fontId="11" type="noConversion"/>
  </si>
  <si>
    <t>일 위 대 가 호 표</t>
    <phoneticPr fontId="11" type="noConversion"/>
  </si>
  <si>
    <t>중 기 목 록 표</t>
    <phoneticPr fontId="11" type="noConversion"/>
  </si>
  <si>
    <t>중 기 사 용 료</t>
    <phoneticPr fontId="11" type="noConversion"/>
  </si>
  <si>
    <t>중기사용 기초자료</t>
    <phoneticPr fontId="11" type="noConversion"/>
  </si>
  <si>
    <t>자 재 목 록 표</t>
    <phoneticPr fontId="11" type="noConversion"/>
  </si>
  <si>
    <t>자 재 조 서</t>
    <phoneticPr fontId="11" type="noConversion"/>
  </si>
  <si>
    <t>시  중  노  임</t>
    <phoneticPr fontId="11" type="noConversion"/>
  </si>
  <si>
    <t>수 량 산 출 서</t>
    <phoneticPr fontId="11" type="noConversion"/>
  </si>
  <si>
    <t>(재료비+직노+도급자관급) * 2.93%</t>
    <phoneticPr fontId="25" type="noConversion"/>
  </si>
  <si>
    <t>도급자 관급 있을 시</t>
    <phoneticPr fontId="2" type="noConversion"/>
  </si>
  <si>
    <t>내부개선공사</t>
    <phoneticPr fontId="2" type="noConversion"/>
  </si>
  <si>
    <t>공사이행 보증수수료</t>
    <phoneticPr fontId="2" type="noConversion"/>
  </si>
  <si>
    <t>(재료비+직노+기계경비) * 0.0141%</t>
    <phoneticPr fontId="2" type="noConversion"/>
  </si>
  <si>
    <t>(재료비+직노+기계경비) * 0.081%</t>
    <phoneticPr fontId="2" type="noConversion"/>
  </si>
  <si>
    <t>건축물 현장정리</t>
  </si>
  <si>
    <t>철근 콘크리트조</t>
  </si>
  <si>
    <t>건축물 보양</t>
  </si>
  <si>
    <t>비닐 보양</t>
  </si>
  <si>
    <t>준공청소</t>
  </si>
  <si>
    <t>오염제거,준공청소</t>
  </si>
  <si>
    <t>조립말비계 (강관)</t>
  </si>
  <si>
    <t>3개월 이하 1단,2m</t>
  </si>
  <si>
    <t>대</t>
  </si>
  <si>
    <t>폐기물 처리비</t>
    <phoneticPr fontId="2" type="noConversion"/>
  </si>
  <si>
    <t>6. 시행방법 : 도급시행</t>
    <phoneticPr fontId="7" type="noConversion"/>
  </si>
  <si>
    <t>(2) 관의 지시에 의하여 작업이 중단되었을대</t>
    <phoneticPr fontId="7" type="noConversion"/>
  </si>
  <si>
    <t>노무비 * 3.56%</t>
    <phoneticPr fontId="25" type="noConversion"/>
  </si>
  <si>
    <t>먹매김</t>
    <phoneticPr fontId="2" type="noConversion"/>
  </si>
  <si>
    <t>구조부,일반</t>
    <phoneticPr fontId="2" type="noConversion"/>
  </si>
  <si>
    <t>EA</t>
    <phoneticPr fontId="2" type="noConversion"/>
  </si>
  <si>
    <t>공급가액:</t>
    <phoneticPr fontId="7" type="noConversion"/>
  </si>
  <si>
    <t>폐기물 운반</t>
    <phoneticPr fontId="2" type="noConversion"/>
  </si>
  <si>
    <t>Ton</t>
    <phoneticPr fontId="2" type="noConversion"/>
  </si>
  <si>
    <t>총 1대 사용 적용</t>
    <phoneticPr fontId="2" type="noConversion"/>
  </si>
  <si>
    <t>(재료비+직노) * 3.11%</t>
    <phoneticPr fontId="25" type="noConversion"/>
  </si>
  <si>
    <t>(노무비+경비+일반관리비) * 15.00% 이내</t>
    <phoneticPr fontId="25" type="noConversion"/>
  </si>
  <si>
    <t>계 * 8.00%</t>
    <phoneticPr fontId="25" type="noConversion"/>
  </si>
  <si>
    <r>
      <rPr>
        <b/>
        <sz val="24"/>
        <color theme="1"/>
        <rFont val="맑은 고딕"/>
        <family val="2"/>
        <charset val="129"/>
        <scheme val="minor"/>
      </rPr>
      <t>2026년 건축</t>
    </r>
    <r>
      <rPr>
        <b/>
        <sz val="24"/>
        <color theme="1"/>
        <rFont val="돋움"/>
        <family val="3"/>
        <charset val="129"/>
      </rPr>
      <t>∙</t>
    </r>
    <r>
      <rPr>
        <b/>
        <sz val="24"/>
        <color theme="1"/>
        <rFont val="맑은 고딕"/>
        <family val="3"/>
        <charset val="129"/>
      </rPr>
      <t>산업환경설비공사</t>
    </r>
    <r>
      <rPr>
        <b/>
        <sz val="24"/>
        <color theme="1"/>
        <rFont val="맑은 고딕"/>
        <family val="2"/>
        <charset val="129"/>
      </rPr>
      <t xml:space="preserve"> 원가계산 간접공사비(제비율) 적용기준</t>
    </r>
    <r>
      <rPr>
        <b/>
        <sz val="26"/>
        <color theme="1"/>
        <rFont val="맑은 고딕"/>
        <family val="2"/>
        <charset val="129"/>
        <scheme val="minor"/>
      </rPr>
      <t xml:space="preserve">
</t>
    </r>
    <r>
      <rPr>
        <sz val="13"/>
        <color rgb="FFFF0000"/>
        <rFont val="맑은 고딕"/>
        <family val="3"/>
        <charset val="129"/>
        <scheme val="minor"/>
      </rPr>
      <t>(참고: 간접노무비율, 기타경비율, 일반관리비율, 이윤율, 공사이행보증수수료율은 조달청 분석요율임)</t>
    </r>
    <phoneticPr fontId="2" type="noConversion"/>
  </si>
  <si>
    <t>[간접노무비]</t>
  </si>
  <si>
    <t>[기타경비]</t>
  </si>
  <si>
    <t>[일반관리비]</t>
  </si>
  <si>
    <t>[이윤]</t>
  </si>
  <si>
    <t>[건설기계대여대금 지급보증액 발급금액]</t>
    <phoneticPr fontId="2" type="noConversion"/>
  </si>
  <si>
    <t>[산업안전보건관리비]</t>
  </si>
  <si>
    <t>공사규모</t>
    <phoneticPr fontId="2" type="noConversion"/>
  </si>
  <si>
    <t>(직노) x 율</t>
  </si>
  <si>
    <t>(재+노) x 율</t>
    <phoneticPr fontId="2" type="noConversion"/>
  </si>
  <si>
    <t>공사규모</t>
  </si>
  <si>
    <t>(재+노+경) x 율</t>
    <phoneticPr fontId="2" type="noConversion"/>
  </si>
  <si>
    <t>(노+경+일)
 x 율</t>
    <phoneticPr fontId="2" type="noConversion"/>
  </si>
  <si>
    <t>(직접공사비) x 율</t>
    <phoneticPr fontId="2" type="noConversion"/>
  </si>
  <si>
    <t xml:space="preserve"> □ 도급자관급 미포함 공사</t>
    <phoneticPr fontId="2" type="noConversion"/>
  </si>
  <si>
    <r>
      <rPr>
        <u/>
        <sz val="11"/>
        <color theme="1"/>
        <rFont val="맑은 고딕"/>
        <family val="3"/>
        <charset val="129"/>
        <scheme val="minor"/>
      </rPr>
      <t>(재+직노)</t>
    </r>
    <r>
      <rPr>
        <sz val="11"/>
        <color theme="1"/>
        <rFont val="맑은 고딕"/>
        <family val="3"/>
        <charset val="129"/>
        <scheme val="minor"/>
      </rPr>
      <t xml:space="preserve"> x 율 + 기초액</t>
    </r>
    <phoneticPr fontId="2" type="noConversion"/>
  </si>
  <si>
    <t>(직접공사비)</t>
  </si>
  <si>
    <t>건축</t>
    <phoneticPr fontId="2" type="noConversion"/>
  </si>
  <si>
    <r>
      <t xml:space="preserve">산업
설비
</t>
    </r>
    <r>
      <rPr>
        <sz val="10"/>
        <color theme="1"/>
        <rFont val="맑은 고딕"/>
        <family val="3"/>
        <charset val="129"/>
        <scheme val="minor"/>
      </rPr>
      <t>(건축)</t>
    </r>
    <phoneticPr fontId="2" type="noConversion"/>
  </si>
  <si>
    <t>(추정가격)</t>
  </si>
  <si>
    <t>건축, 
산업설비(건축)</t>
    <phoneticPr fontId="2" type="noConversion"/>
  </si>
  <si>
    <t>전문·
전기·통신·
소방·기타</t>
    <phoneticPr fontId="2" type="noConversion"/>
  </si>
  <si>
    <t>종합건설업</t>
  </si>
  <si>
    <t>전문건설업</t>
  </si>
  <si>
    <t xml:space="preserve"> □ 도급자관급 포함 공사</t>
    <phoneticPr fontId="2" type="noConversion"/>
  </si>
  <si>
    <r>
      <rPr>
        <u/>
        <sz val="11"/>
        <color theme="1"/>
        <rFont val="맑은 고딕"/>
        <family val="3"/>
        <charset val="129"/>
        <scheme val="minor"/>
      </rPr>
      <t>(재+직노+도급자관급)</t>
    </r>
    <r>
      <rPr>
        <sz val="11"/>
        <color theme="1"/>
        <rFont val="맑은 고딕"/>
        <family val="3"/>
        <charset val="129"/>
        <scheme val="minor"/>
      </rPr>
      <t xml:space="preserve"> x 요율</t>
    </r>
    <r>
      <rPr>
        <vertAlign val="superscript"/>
        <sz val="11"/>
        <color theme="1"/>
        <rFont val="맑은 고딕"/>
        <family val="3"/>
        <charset val="129"/>
        <scheme val="minor"/>
      </rPr>
      <t>주2)</t>
    </r>
    <r>
      <rPr>
        <sz val="11"/>
        <color theme="1"/>
        <rFont val="맑은 고딕"/>
        <family val="3"/>
        <charset val="129"/>
        <scheme val="minor"/>
      </rPr>
      <t xml:space="preserve"> + 기초액과</t>
    </r>
    <phoneticPr fontId="2" type="noConversion"/>
  </si>
  <si>
    <r>
      <rPr>
        <u/>
        <sz val="11"/>
        <color theme="1"/>
        <rFont val="맑은 고딕"/>
        <family val="3"/>
        <charset val="129"/>
        <scheme val="minor"/>
      </rPr>
      <t>[(재+직노)</t>
    </r>
    <r>
      <rPr>
        <sz val="11"/>
        <color theme="1"/>
        <rFont val="맑은 고딕"/>
        <family val="3"/>
        <charset val="129"/>
        <scheme val="minor"/>
      </rPr>
      <t xml:space="preserve"> x 요율</t>
    </r>
    <r>
      <rPr>
        <vertAlign val="superscript"/>
        <sz val="11"/>
        <color theme="1"/>
        <rFont val="맑은 고딕"/>
        <family val="3"/>
        <charset val="129"/>
        <scheme val="minor"/>
      </rPr>
      <t>주3)</t>
    </r>
    <r>
      <rPr>
        <sz val="11"/>
        <color theme="1"/>
        <rFont val="맑은 고딕"/>
        <family val="3"/>
        <charset val="129"/>
        <scheme val="minor"/>
      </rPr>
      <t xml:space="preserve"> + 기초액] x 1.2 중에 작은 금액</t>
    </r>
    <phoneticPr fontId="2" type="noConversion"/>
  </si>
  <si>
    <t>10억 미만</t>
    <phoneticPr fontId="2" type="noConversion"/>
  </si>
  <si>
    <t>6개월 이하 (183일)</t>
  </si>
  <si>
    <t>5억 미만</t>
  </si>
  <si>
    <t>구분</t>
  </si>
  <si>
    <t>요율</t>
    <phoneticPr fontId="2" type="noConversion"/>
  </si>
  <si>
    <t>구분</t>
    <phoneticPr fontId="2" type="noConversion"/>
  </si>
  <si>
    <r>
      <t>산업안전보건관리비 대상액</t>
    </r>
    <r>
      <rPr>
        <vertAlign val="superscript"/>
        <sz val="11"/>
        <color theme="1"/>
        <rFont val="맑은 고딕"/>
        <family val="3"/>
        <charset val="129"/>
        <scheme val="minor"/>
      </rPr>
      <t>주1)</t>
    </r>
    <phoneticPr fontId="2" type="noConversion"/>
  </si>
  <si>
    <t>기초액(천원)</t>
  </si>
  <si>
    <t>7~12개월 (365일)</t>
  </si>
  <si>
    <t>13~36개월 (1095일)</t>
  </si>
  <si>
    <t>건축공사</t>
    <phoneticPr fontId="2" type="noConversion"/>
  </si>
  <si>
    <t>비계·구조물해체공사</t>
    <phoneticPr fontId="2" type="noConversion"/>
  </si>
  <si>
    <t>5억 미만</t>
    <phoneticPr fontId="2" type="noConversion"/>
  </si>
  <si>
    <t>36개월 초과 (1096일)</t>
  </si>
  <si>
    <t>5억 - 
30억 미만</t>
  </si>
  <si>
    <t>토목공사</t>
    <phoneticPr fontId="2" type="noConversion"/>
  </si>
  <si>
    <t>10억 - 
50억 미만</t>
    <phoneticPr fontId="2" type="noConversion"/>
  </si>
  <si>
    <t>중건설공사</t>
    <phoneticPr fontId="2" type="noConversion"/>
  </si>
  <si>
    <t>특수건설공사</t>
    <phoneticPr fontId="2" type="noConversion"/>
  </si>
  <si>
    <t>30억 - 
50억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</si>
  <si>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2" type="noConversion"/>
  </si>
  <si>
    <t>50억 - 
300억 미만</t>
  </si>
  <si>
    <t>50억 - 
100억 미만</t>
  </si>
  <si>
    <r>
      <t>산업</t>
    </r>
    <r>
      <rPr>
        <sz val="11"/>
        <color theme="1"/>
        <rFont val="돋움"/>
        <family val="3"/>
        <charset val="129"/>
      </rPr>
      <t>∙</t>
    </r>
    <r>
      <rPr>
        <sz val="11"/>
        <color theme="1"/>
        <rFont val="맑은 고딕"/>
        <family val="3"/>
        <charset val="129"/>
      </rPr>
      <t>설비공사</t>
    </r>
    <phoneticPr fontId="2" type="noConversion"/>
  </si>
  <si>
    <t>도장공사, 철강재설치공사</t>
    <phoneticPr fontId="2" type="noConversion"/>
  </si>
  <si>
    <t>50억 이상</t>
    <phoneticPr fontId="2" type="noConversion"/>
  </si>
  <si>
    <t>추정금액 
800억 미만 
건설공사</t>
    <phoneticPr fontId="2" type="noConversion"/>
  </si>
  <si>
    <t>300억 - 
1000억 미만</t>
  </si>
  <si>
    <t>100억 - 
300억 미만</t>
  </si>
  <si>
    <t>기계설비공사업 및 그 외</t>
    <phoneticPr fontId="2" type="noConversion"/>
  </si>
  <si>
    <t>추정금액
800억 이상
건설공사</t>
    <phoneticPr fontId="2" type="noConversion"/>
  </si>
  <si>
    <t>1000억 이상</t>
  </si>
  <si>
    <t xml:space="preserve"> * 적용제외: 국가유산수리공사, 전기, 정보통신, 소방시설</t>
    <phoneticPr fontId="2" type="noConversion"/>
  </si>
  <si>
    <t xml:space="preserve"> ※ 건설기계대여대금 지급보증서 발급금액 및 업종별 건설기계</t>
    <phoneticPr fontId="2" type="noConversion"/>
  </si>
  <si>
    <t xml:space="preserve">  *  총 공사금액(도급금액+도급자설치 관급금액) 2천만원 이상 건설공사</t>
    <phoneticPr fontId="2" type="noConversion"/>
  </si>
  <si>
    <t xml:space="preserve">    투입비율 산정기준(국토부 고시 제2019-286호, 2019.6.19.)</t>
    <phoneticPr fontId="2" type="noConversion"/>
  </si>
  <si>
    <r>
      <t xml:space="preserve">  주1) </t>
    </r>
    <r>
      <rPr>
        <u/>
        <sz val="11"/>
        <color theme="1"/>
        <rFont val="맑은 고딕"/>
        <family val="3"/>
        <charset val="129"/>
        <scheme val="minor"/>
      </rPr>
      <t>산업안전보건관리비 대상액</t>
    </r>
    <phoneticPr fontId="2"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</si>
  <si>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2" type="noConversion"/>
  </si>
  <si>
    <t xml:space="preserve">   - 재료비+직접노무비+도급자설치 관급금액</t>
    <phoneticPr fontId="2" type="noConversion"/>
  </si>
  <si>
    <t>□ 산업설비(건축) 해당공종 : 지열공사, 소각시설 등</t>
    <phoneticPr fontId="2" type="noConversion"/>
  </si>
  <si>
    <t>[고용보험료]</t>
  </si>
  <si>
    <t>[건강보험료]</t>
    <phoneticPr fontId="2" type="noConversion"/>
  </si>
  <si>
    <t>[노인장기요양보험료]</t>
    <phoneticPr fontId="2" type="noConversion"/>
  </si>
  <si>
    <t>[연금보험료]</t>
    <phoneticPr fontId="2" type="noConversion"/>
  </si>
  <si>
    <t>[산재보험료]</t>
    <phoneticPr fontId="2" type="noConversion"/>
  </si>
  <si>
    <t xml:space="preserve">  주2) 대상액이 재료비, 직접노무비, 도급자관급의 합계금액인 요율</t>
    <phoneticPr fontId="2" type="noConversion"/>
  </si>
  <si>
    <t xml:space="preserve">  주3) 대상액이 재료비, 직접노무비의 합계금액인 요율</t>
    <phoneticPr fontId="2" type="noConversion"/>
  </si>
  <si>
    <t>(노) x 율</t>
  </si>
  <si>
    <t>(직노) x 3.595</t>
    <phoneticPr fontId="2" type="noConversion"/>
  </si>
  <si>
    <t>(건강보험료) x 13.14</t>
    <phoneticPr fontId="2" type="noConversion"/>
  </si>
  <si>
    <t>(직노) x 4.75</t>
    <phoneticPr fontId="2" type="noConversion"/>
  </si>
  <si>
    <t>(노) x 3.56</t>
    <phoneticPr fontId="2" type="noConversion"/>
  </si>
  <si>
    <t>공사배정규모(추정금액)</t>
  </si>
  <si>
    <t xml:space="preserve"> * 공사기간 1개월(30일) 이상인 모든 건설공사</t>
  </si>
  <si>
    <t xml:space="preserve"> * 모든 건설공사 적용. 
   노동부 고시 제2024-77호(2024. 12. 30.), 산업재해보상보험법시행령</t>
    <phoneticPr fontId="2" type="noConversion"/>
  </si>
  <si>
    <t xml:space="preserve"> * 산업안전보건관리비 산출 건설공사의 종류</t>
    <phoneticPr fontId="2" type="noConversion"/>
  </si>
  <si>
    <t xml:space="preserve">       [1등급] 1200억 이상</t>
    <phoneticPr fontId="2" type="noConversion"/>
  </si>
  <si>
    <t xml:space="preserve">   (노인장기요양보험료는 소수점 다섯째자리에서 반올림)</t>
    <phoneticPr fontId="2" type="noConversion"/>
  </si>
  <si>
    <r>
      <t xml:space="preserve">  - </t>
    </r>
    <r>
      <rPr>
        <b/>
        <sz val="12"/>
        <color theme="1"/>
        <rFont val="맑은 고딕"/>
        <family val="3"/>
        <charset val="129"/>
        <scheme val="minor"/>
      </rPr>
      <t>[건축공사]</t>
    </r>
    <r>
      <rPr>
        <sz val="11"/>
        <color theme="1"/>
        <rFont val="맑은 고딕"/>
        <family val="2"/>
        <charset val="129"/>
        <scheme val="minor"/>
      </rPr>
      <t xml:space="preserve"> 「건설산업기본법 시행령」 (별표 1) 제1호 '나'목 /  제2호의 전문공사로서 건축물과</t>
    </r>
    <phoneticPr fontId="2" type="noConversion"/>
  </si>
  <si>
    <t xml:space="preserve">       [2등급] 800억 ~ 1200억 미만</t>
    <phoneticPr fontId="2" type="noConversion"/>
  </si>
  <si>
    <t>1.30</t>
    <phoneticPr fontId="2" type="noConversion"/>
  </si>
  <si>
    <t xml:space="preserve"> ※ 사회보험의 보험료 적용기준 (국토부 고시 제2021-905호, 2021.7.1.) </t>
    <phoneticPr fontId="2" type="noConversion"/>
  </si>
  <si>
    <t xml:space="preserve">       [3등급] 520억 ~ 800억 미만</t>
    <phoneticPr fontId="2" type="noConversion"/>
  </si>
  <si>
    <t>[환경보전비]</t>
    <phoneticPr fontId="2" type="noConversion"/>
  </si>
  <si>
    <t>[건설하도급대금지급보증서발급수수료]</t>
    <phoneticPr fontId="2" type="noConversion"/>
  </si>
  <si>
    <t xml:space="preserve">    관련하여 분리하여 발주되었고 시간적·장소적으로도 독립하여 행하는 공사</t>
    <phoneticPr fontId="2" type="noConversion"/>
  </si>
  <si>
    <t xml:space="preserve">       [4등급] 340억 ~ 520억 미만</t>
    <phoneticPr fontId="2" type="noConversion"/>
  </si>
  <si>
    <r>
      <t xml:space="preserve">  - </t>
    </r>
    <r>
      <rPr>
        <b/>
        <sz val="12"/>
        <color theme="1"/>
        <rFont val="맑은 고딕"/>
        <family val="3"/>
        <charset val="129"/>
        <scheme val="minor"/>
      </rPr>
      <t>[토목공사]</t>
    </r>
    <r>
      <rPr>
        <sz val="11"/>
        <color theme="1"/>
        <rFont val="맑은 고딕"/>
        <family val="2"/>
        <charset val="129"/>
        <scheme val="minor"/>
      </rPr>
      <t xml:space="preserve"> 「건설산업기본법 시행령」 (별표 1) 제1호 '가'목, '라'목 / 제2호의 전문공사로서</t>
    </r>
    <phoneticPr fontId="2" type="noConversion"/>
  </si>
  <si>
    <t xml:space="preserve">       [5등급] 210억 ~ 340억 미만</t>
    <phoneticPr fontId="2" type="noConversion"/>
  </si>
  <si>
    <t xml:space="preserve">       [6등급] 130억 ~ 210억 미만</t>
    <phoneticPr fontId="2" type="noConversion"/>
  </si>
  <si>
    <t>공사규모(추정가격)</t>
  </si>
  <si>
    <t>건축공사 외의 시설물과 관련하여 분리하여 발주되었고 시간적·장소적으로도 독립하여 행하는 공사</t>
    <phoneticPr fontId="2" type="noConversion"/>
  </si>
  <si>
    <t xml:space="preserve">       [7등급] 고시금액 ~ 130억 미만</t>
    <phoneticPr fontId="2" type="noConversion"/>
  </si>
  <si>
    <t>도로(예시: 교량, 터널, 활주로 등)</t>
    <phoneticPr fontId="2" type="noConversion"/>
  </si>
  <si>
    <t>50억 미만</t>
  </si>
  <si>
    <r>
      <t xml:space="preserve">  - </t>
    </r>
    <r>
      <rPr>
        <b/>
        <sz val="12"/>
        <color theme="1"/>
        <rFont val="맑은 고딕"/>
        <family val="3"/>
        <charset val="129"/>
        <scheme val="minor"/>
      </rPr>
      <t>[중건설공사]</t>
    </r>
    <r>
      <rPr>
        <sz val="11"/>
        <color theme="1"/>
        <rFont val="맑은 고딕"/>
        <family val="2"/>
        <charset val="129"/>
        <scheme val="minor"/>
      </rPr>
      <t xml:space="preserve"> 「건설산업기본법 시행령」 (별표 1) 제1호 '가'목, '라'목 해당공사 중</t>
    </r>
    <phoneticPr fontId="2" type="noConversion"/>
  </si>
  <si>
    <t xml:space="preserve">       7등급 미만</t>
    <phoneticPr fontId="2" type="noConversion"/>
  </si>
  <si>
    <t>플랜트(예시: 발전소, 쓰레기소각장 등)</t>
    <phoneticPr fontId="2" type="noConversion"/>
  </si>
  <si>
    <t xml:space="preserve"> * 모든 건설공사에 적용,  국토부 고시 제2021-905호(2021.7.1.),  고용보험법 시행령</t>
    <phoneticPr fontId="2" type="noConversion"/>
  </si>
  <si>
    <t>50억 이상 - 100억 미만</t>
  </si>
  <si>
    <t xml:space="preserve">    다음과 같은 공사 및 이와 함께 부대하여 현장 내에서 행하는 공사</t>
    <phoneticPr fontId="2" type="noConversion"/>
  </si>
  <si>
    <t>지하철</t>
    <phoneticPr fontId="2" type="noConversion"/>
  </si>
  <si>
    <t xml:space="preserve"> * 총공사금액[(도급금액+관급금액)에서 부가세 제외] 2천만원 미만의 건설공사를 건설업자가 아닌 자가 시공 시 미적용</t>
    <phoneticPr fontId="2" type="noConversion"/>
  </si>
  <si>
    <t>철도</t>
    <phoneticPr fontId="2" type="noConversion"/>
  </si>
  <si>
    <t>100억 이상 - 300억 미만</t>
  </si>
  <si>
    <t xml:space="preserve">      · 고제방 댐 공사 등 - 댐 신설공사, 제방신설공사와 관련한 제반시설공사</t>
    <phoneticPr fontId="2" type="noConversion"/>
  </si>
  <si>
    <t xml:space="preserve"> ※ 등급기준: 조달청 등급별 유자격자 명부 등록 및 운용기준(조달청 공고 제2023-235호, 2023.7.6.)</t>
    <phoneticPr fontId="2" type="noConversion"/>
  </si>
  <si>
    <t>상하수도(예시: 폐수, 하수처리장, 정수장 등)</t>
    <phoneticPr fontId="2"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</si>
  <si>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</si>
  <si>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 xml:space="preserve">      · 화력, 수력, 원자력, 열병합 발전시설 등 설치공사 - 화력, 수력, 원자력, 열병합 발전시설과 관련된 신설공사 및 제반시설공사</t>
    <phoneticPr fontId="2" type="noConversion"/>
  </si>
  <si>
    <t>항만(간척, 준설): 오탁 또는 준설토 방지막 설치</t>
    <phoneticPr fontId="2" type="noConversion"/>
  </si>
  <si>
    <t>[공사이행보증수수료]</t>
    <phoneticPr fontId="2" type="noConversion"/>
  </si>
  <si>
    <t>항만(간척, 준설): 오탁 또는 준설토 방지막 미설치</t>
    <phoneticPr fontId="2"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</si>
  <si>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</si>
  <si>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 터널신설공사 등 - 도로, 철도, 지하철 공사로서 터널, 교량, 토공사 등이 포함된 복합시설물로 구성된 공사에 있어</t>
    <phoneticPr fontId="2" type="noConversion"/>
  </si>
  <si>
    <t>댐</t>
    <phoneticPr fontId="2" type="noConversion"/>
  </si>
  <si>
    <t>공사규모(직접공사비)</t>
    <phoneticPr fontId="2" type="noConversion"/>
  </si>
  <si>
    <t>수수료</t>
    <phoneticPr fontId="2" type="noConversion"/>
  </si>
  <si>
    <r>
      <t>턴키</t>
    </r>
    <r>
      <rPr>
        <sz val="11"/>
        <color theme="1"/>
        <rFont val="돋움"/>
        <family val="3"/>
        <charset val="129"/>
      </rPr>
      <t>∙</t>
    </r>
    <r>
      <rPr>
        <sz val="11"/>
        <color theme="1"/>
        <rFont val="맑은 고딕"/>
        <family val="3"/>
        <charset val="129"/>
      </rPr>
      <t>대안공사</t>
    </r>
  </si>
  <si>
    <t xml:space="preserve">        터널공사비 비중이 가장 큰 비중을 차지하는 건설공사 </t>
    <phoneticPr fontId="2" type="noConversion"/>
  </si>
  <si>
    <t>택지개발</t>
    <phoneticPr fontId="2" type="noConversion"/>
  </si>
  <si>
    <t>70억 미만</t>
    <phoneticPr fontId="2" type="noConversion"/>
  </si>
  <si>
    <t>[직공비x0.0108%]x공기(년)</t>
    <phoneticPr fontId="2" type="noConversion"/>
  </si>
  <si>
    <t>기타 토목(하천 등)</t>
    <phoneticPr fontId="2" type="noConversion"/>
  </si>
  <si>
    <t xml:space="preserve"> * 적용제외: 전문공사, 국가유산수리공사</t>
    <phoneticPr fontId="2" type="noConversion"/>
  </si>
  <si>
    <r>
      <t xml:space="preserve"> - </t>
    </r>
    <r>
      <rPr>
        <b/>
        <sz val="12"/>
        <color theme="1"/>
        <rFont val="맑은 고딕"/>
        <family val="3"/>
        <charset val="129"/>
        <scheme val="minor"/>
      </rPr>
      <t>[특수건설공사]</t>
    </r>
    <r>
      <rPr>
        <sz val="11"/>
        <color theme="1"/>
        <rFont val="맑은 고딕"/>
        <family val="2"/>
        <charset val="129"/>
        <scheme val="minor"/>
      </rPr>
      <t xml:space="preserve"> </t>
    </r>
    <r>
      <rPr>
        <sz val="10"/>
        <color theme="1"/>
        <rFont val="맑은 고딕"/>
        <family val="3"/>
        <charset val="129"/>
        <scheme val="minor"/>
      </rPr>
      <t>「건설산업기본법 시행령」(별표1) 제1호 '마'목로서 시행규칙(별표3)에서 구분한 조경공사</t>
    </r>
    <phoneticPr fontId="2" type="noConversion"/>
  </si>
  <si>
    <t>주택(재개발, 재건축)</t>
    <phoneticPr fontId="2" type="noConversion"/>
  </si>
  <si>
    <t xml:space="preserve"> ※ 하도급대금 지급보증서 발급금액 적용기준</t>
    <phoneticPr fontId="2" type="noConversion"/>
  </si>
  <si>
    <t>70억이상~120억미만</t>
    <phoneticPr fontId="2" type="noConversion"/>
  </si>
  <si>
    <t>[79만원+(직공비-75억원)x0.0070%]x공기(년)</t>
    <phoneticPr fontId="2" type="noConversion"/>
  </si>
  <si>
    <t>/아래 각목에 따른 건설공사 중 다른 공사와 분리하여 발주되었고 시간적·장소적으로도 독립하여 행하는 공사</t>
    <phoneticPr fontId="2" type="noConversion"/>
  </si>
  <si>
    <t>주택(신축)</t>
    <phoneticPr fontId="2" type="noConversion"/>
  </si>
  <si>
    <t xml:space="preserve">    (국토부 고시 제2016-921호, 2016.12.19.)</t>
    <phoneticPr fontId="2" type="noConversion"/>
  </si>
  <si>
    <t>120억이상~250억미만</t>
    <phoneticPr fontId="2" type="noConversion"/>
  </si>
  <si>
    <t>[116만원+(직공비-130억원)x0.0059%]x공기(년)</t>
    <phoneticPr fontId="2" type="noConversion"/>
  </si>
  <si>
    <t>주택 외 건축</t>
    <phoneticPr fontId="2" type="noConversion"/>
  </si>
  <si>
    <t xml:space="preserve">      · 「전기공사업법」, 「정보통신공사업법」, 「소방공사업법」, 「문화재수리공사업법」에 의한 공사</t>
    <phoneticPr fontId="2" type="noConversion"/>
  </si>
  <si>
    <t>[퇴직공제부금비]</t>
    <phoneticPr fontId="2" type="noConversion"/>
  </si>
  <si>
    <t>조경, 기타(전문, 개보수 공사)</t>
    <phoneticPr fontId="2" type="noConversion"/>
  </si>
  <si>
    <t>250억이상~500억미만</t>
    <phoneticPr fontId="2" type="noConversion"/>
  </si>
  <si>
    <t>[186만원+(직공비-250억원)x0.0048%]x공기(년)</t>
    <phoneticPr fontId="2" type="noConversion"/>
  </si>
  <si>
    <t xml:space="preserve"> 비고 1 건축물과 관련하여 공사가 수행된다 하더라도 독립하여 행하는 공사가 토목공사, 중건설공사가 명백한 경우 해당 공사 종류로 분류</t>
    <phoneticPr fontId="2" type="noConversion"/>
  </si>
  <si>
    <t xml:space="preserve"> * 환경관리비의 산출기준 및 관리에 관한 지침</t>
    <phoneticPr fontId="2" type="noConversion"/>
  </si>
  <si>
    <t>(직노) x 2.3</t>
    <phoneticPr fontId="2" type="noConversion"/>
  </si>
  <si>
    <t>500억이상</t>
    <phoneticPr fontId="2" type="noConversion"/>
  </si>
  <si>
    <t>[306만원+(직공비-500억원)x0.0040%]x공기(년)</t>
    <phoneticPr fontId="2" type="noConversion"/>
  </si>
  <si>
    <t xml:space="preserve">        2 건축공사, 토목공사 및 중건설공사와 함께 부대하여 현장 내에서 이루어지는 공사는 개별 법령에 따라 수행되는 공사를 포함</t>
    <phoneticPr fontId="2" type="noConversion"/>
  </si>
  <si>
    <t xml:space="preserve">    (국토부 고시 제2018-528호, 2018.8.30.)</t>
    <phoneticPr fontId="2" type="noConversion"/>
  </si>
  <si>
    <t xml:space="preserve"> * 추정금액이 1억 이상인 건설공사</t>
    <phoneticPr fontId="2"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</si>
  <si>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2" type="noConversion"/>
  </si>
  <si>
    <t xml:space="preserve"> ※ 적용제외: 전기공사, 정보통신공사, 소방시설공사,</t>
    <phoneticPr fontId="2" type="noConversion"/>
  </si>
  <si>
    <t xml:space="preserve"> ※ 국토부 고시 제2015-610호(2015.8.20.) 요율 적용 </t>
    <phoneticPr fontId="2" type="noConversion"/>
  </si>
  <si>
    <t xml:space="preserve">  - (시행령 제42조 제1항) 추정가격 300억 이상인 공사의 계약</t>
    <phoneticPr fontId="2" type="noConversion"/>
  </si>
  <si>
    <t xml:space="preserve">                  국가유산 수리공사</t>
    <phoneticPr fontId="2" type="noConversion"/>
  </si>
  <si>
    <t xml:space="preserve">  - (시행령 제6장) 대형공사계약(대안입찰, 일괄입찰), 특정공사의 계약</t>
    <phoneticPr fontId="2" type="noConversion"/>
  </si>
  <si>
    <t xml:space="preserve">  □ 전기∙통신∙소방∙전문 및 기타공사의 경우 일반관리비요율을 제외한 각종 요율은 토목, 건축 등 관련 공사업종에 따라 적용</t>
    <phoneticPr fontId="2" type="noConversion"/>
  </si>
  <si>
    <t xml:space="preserve">  - (시행령 제9장) 기술제안 입찰에 의한 계약</t>
    <phoneticPr fontId="2" type="noConversion"/>
  </si>
  <si>
    <t xml:space="preserve">     (단. 공사규모 및 기간은 해당공종&lt;전기∙통신∙소방∙전문 및 기타공사&gt;을 기준으로 함)</t>
    <phoneticPr fontId="2" type="noConversion"/>
  </si>
  <si>
    <t>위 적용기준은 조달청 발주공사에 적용하는 기준이므로 참고자료로 활용하시기 바랍니다.</t>
    <phoneticPr fontId="2" type="noConversion"/>
  </si>
  <si>
    <t>직접노무비 * 3.595%</t>
    <phoneticPr fontId="25" type="noConversion"/>
  </si>
  <si>
    <t>건강보험료 * 13.14%</t>
    <phoneticPr fontId="25" type="noConversion"/>
  </si>
  <si>
    <t>직접노무비 * 4.75%</t>
    <phoneticPr fontId="25" type="noConversion"/>
  </si>
  <si>
    <t xml:space="preserve">   2026년도</t>
    <phoneticPr fontId="7" type="noConversion"/>
  </si>
  <si>
    <t>혼합폐기물</t>
    <phoneticPr fontId="2" type="noConversion"/>
  </si>
  <si>
    <t>기타+가연 혼합폐기물</t>
    <phoneticPr fontId="2" type="noConversion"/>
  </si>
  <si>
    <t>철거 중량 계</t>
    <phoneticPr fontId="2" type="noConversion"/>
  </si>
  <si>
    <t>임금 채권 부담금</t>
    <phoneticPr fontId="25" type="noConversion"/>
  </si>
  <si>
    <t>[법정부담금]</t>
    <phoneticPr fontId="2" type="noConversion"/>
  </si>
  <si>
    <t>[석면분담금]</t>
    <phoneticPr fontId="2" type="noConversion"/>
  </si>
  <si>
    <t>[임금채권부담금]</t>
    <phoneticPr fontId="2" type="noConversion"/>
  </si>
  <si>
    <t>(노) x 0.006</t>
    <phoneticPr fontId="2" type="noConversion"/>
  </si>
  <si>
    <t>(노) x 0.09</t>
    <phoneticPr fontId="2" type="noConversion"/>
  </si>
  <si>
    <t xml:space="preserve"> * 모든 건설공사 적용. </t>
    <phoneticPr fontId="2" type="noConversion"/>
  </si>
  <si>
    <t xml:space="preserve">   환경부 고시 제2025-25호(2025. 12. 22.), 2026년도 석면피해구제분담금률</t>
    <phoneticPr fontId="2" type="noConversion"/>
  </si>
  <si>
    <t xml:space="preserve"> ※ 건설업 산업안전보건관리비 계상 및 사용기준 (고용노동부 고시 제2025-11호, 2025.2.12.)</t>
    <phoneticPr fontId="2" type="noConversion"/>
  </si>
  <si>
    <t>석  면  분  담  금</t>
    <phoneticPr fontId="2" type="noConversion"/>
  </si>
  <si>
    <t>시설 환경개선을 위한 리모델링</t>
    <phoneticPr fontId="2" type="noConversion"/>
  </si>
  <si>
    <t>직접노무비 * 17.50%</t>
    <phoneticPr fontId="25" type="noConversion"/>
  </si>
  <si>
    <t>(재료비+노무비) * 5.00%</t>
    <phoneticPr fontId="25" type="noConversion"/>
  </si>
  <si>
    <t>※ 적용시기 : 2026. 04. 13.  입찰공고분부터</t>
    <phoneticPr fontId="2" type="noConversion"/>
  </si>
  <si>
    <t>석공사, 
철근콘크리트공사,
가스시설공사(1종)</t>
    <phoneticPr fontId="2" type="noConversion"/>
  </si>
  <si>
    <t xml:space="preserve">   노동부 고시 제2025-100호(2025.12.31.), 임금채권보장법 사업주 부담금비율 고시</t>
    <phoneticPr fontId="2" type="noConversion"/>
  </si>
  <si>
    <t>(노무비) * 0.006%</t>
    <phoneticPr fontId="2" type="noConversion"/>
  </si>
  <si>
    <t>(노무비) * 0.09%</t>
    <phoneticPr fontId="2" type="noConversion"/>
  </si>
  <si>
    <t>2. 사  업  명 :</t>
    <phoneticPr fontId="7" type="noConversion"/>
  </si>
  <si>
    <t xml:space="preserve">     과 업  개 요</t>
    <phoneticPr fontId="7" type="noConversion"/>
  </si>
  <si>
    <t xml:space="preserve">4. 과업 개요 </t>
    <phoneticPr fontId="7" type="noConversion"/>
  </si>
  <si>
    <t>사업명:</t>
    <phoneticPr fontId="2" type="noConversion"/>
  </si>
  <si>
    <t>폐 기 물 처 리 비</t>
    <phoneticPr fontId="2" type="noConversion"/>
  </si>
  <si>
    <t>별 도 산 출</t>
    <phoneticPr fontId="2" type="noConversion"/>
  </si>
  <si>
    <t>건설하도급대금지급보증서발급수수료</t>
    <phoneticPr fontId="2" type="noConversion"/>
  </si>
  <si>
    <t>전문건설공사 제외</t>
    <phoneticPr fontId="2" type="noConversion"/>
  </si>
  <si>
    <t>건설기계대여대금 지급보증액 발급금액</t>
    <phoneticPr fontId="25" type="noConversion"/>
  </si>
  <si>
    <t>전기정보통신소방제외/국가유산수리공사제외</t>
    <phoneticPr fontId="2" type="noConversion"/>
  </si>
  <si>
    <t>추정금액 1억 이상 건설공사</t>
    <phoneticPr fontId="2" type="noConversion"/>
  </si>
  <si>
    <t>추정가격 300억 이상/기술제안 입찰</t>
    <phoneticPr fontId="2" type="noConversion"/>
  </si>
  <si>
    <t>고  재  처  리  비</t>
    <phoneticPr fontId="25" type="noConversion"/>
  </si>
  <si>
    <t xml:space="preserve">    실제 상황에 맞추어 설계 변경하기로 한다. </t>
    <phoneticPr fontId="7" type="noConversion"/>
  </si>
  <si>
    <t>⑶ 본 공사의 시공중 관의 형편상 설계변경을 필요로 할 시는 이를 설계 변경하기로 한다.</t>
    <phoneticPr fontId="7" type="noConversion"/>
  </si>
  <si>
    <t>2 0 2 6 년   0 9 월        일    설계</t>
    <phoneticPr fontId="7" type="noConversion"/>
  </si>
  <si>
    <t>김제시 죽산면 죽산로126(구 새마을 금고)내·외부공사</t>
    <phoneticPr fontId="11" type="noConversion"/>
  </si>
  <si>
    <t>[ 김제시 죽산면 죽산로126(구 새마을 금고)내·외부공사 ]</t>
    <phoneticPr fontId="2" type="noConversion"/>
  </si>
  <si>
    <t>전북자치도 김제시 죽산면 죽산로126(구 새마을 금고)</t>
    <phoneticPr fontId="7" type="noConversion"/>
  </si>
  <si>
    <t>수량 집계표 (외부 수량 산출서)</t>
    <phoneticPr fontId="2" type="noConversion"/>
  </si>
  <si>
    <t>M</t>
    <phoneticPr fontId="2" type="noConversion"/>
  </si>
  <si>
    <t>1485*2175</t>
  </si>
  <si>
    <t>1485*2175</t>
    <phoneticPr fontId="2" type="noConversion"/>
  </si>
  <si>
    <t>개소</t>
  </si>
  <si>
    <t>개소</t>
    <phoneticPr fontId="2" type="noConversion"/>
  </si>
  <si>
    <t>외부 입면 전면 창호</t>
    <phoneticPr fontId="2" type="noConversion"/>
  </si>
  <si>
    <t>강재창호 철거</t>
  </si>
  <si>
    <t>강재창호 철거</t>
    <phoneticPr fontId="2" type="noConversion"/>
  </si>
  <si>
    <t>유리문 2475*3280</t>
  </si>
  <si>
    <t>유리문 2475*3280</t>
    <phoneticPr fontId="2" type="noConversion"/>
  </si>
  <si>
    <t>외부 입면 전면 출입문</t>
    <phoneticPr fontId="2" type="noConversion"/>
  </si>
  <si>
    <t>외부 입면 유리창호</t>
    <phoneticPr fontId="2" type="noConversion"/>
  </si>
  <si>
    <t>벽면 목재철거</t>
  </si>
  <si>
    <t>벽면 목재철거</t>
    <phoneticPr fontId="2" type="noConversion"/>
  </si>
  <si>
    <t>데크재 철거</t>
  </si>
  <si>
    <t>데크재 철거</t>
    <phoneticPr fontId="2" type="noConversion"/>
  </si>
  <si>
    <t>M2</t>
    <phoneticPr fontId="2" type="noConversion"/>
  </si>
  <si>
    <t>(9.13*3.4)-(0.92*3.4+2.475*3.4+3.845*2.345)+0.6*3.4*8</t>
    <phoneticPr fontId="2" type="noConversion"/>
  </si>
  <si>
    <t>목재 구조틀 철거</t>
  </si>
  <si>
    <t>목재 구조틀 철거</t>
    <phoneticPr fontId="2" type="noConversion"/>
  </si>
  <si>
    <t>평구조 각관 목재틀</t>
  </si>
  <si>
    <t>평구조 각관 목재틀</t>
    <phoneticPr fontId="2" type="noConversion"/>
  </si>
  <si>
    <t>Ton</t>
    <phoneticPr fontId="2" type="noConversion"/>
  </si>
  <si>
    <t>1M2 당 4.5미터 * 3.34Kg 단위중량* 총면적 26.8 / 1000</t>
    <phoneticPr fontId="2" type="noConversion"/>
  </si>
  <si>
    <t>타일 철거</t>
  </si>
  <si>
    <t>타일 철거</t>
    <phoneticPr fontId="2" type="noConversion"/>
  </si>
  <si>
    <t>벽 타일</t>
  </si>
  <si>
    <t>벽 타일</t>
    <phoneticPr fontId="2" type="noConversion"/>
  </si>
  <si>
    <t>알루미늄 창호철거(정면)</t>
  </si>
  <si>
    <t>알루미늄 창호철거(정면)</t>
    <phoneticPr fontId="2" type="noConversion"/>
  </si>
  <si>
    <t>알루미늄 창호철거(좌측면)</t>
  </si>
  <si>
    <t>알루미늄 창호철거(좌측면)</t>
    <phoneticPr fontId="2" type="noConversion"/>
  </si>
  <si>
    <t>830*920</t>
  </si>
  <si>
    <t>830*920</t>
    <phoneticPr fontId="2" type="noConversion"/>
  </si>
  <si>
    <t>900*900</t>
  </si>
  <si>
    <t>900*900</t>
    <phoneticPr fontId="2" type="noConversion"/>
  </si>
  <si>
    <t>1200*2490</t>
  </si>
  <si>
    <t>1200*2490</t>
    <phoneticPr fontId="2" type="noConversion"/>
  </si>
  <si>
    <t>유리문 920*3280</t>
  </si>
  <si>
    <t>유리문 920*3280</t>
    <phoneticPr fontId="2" type="noConversion"/>
  </si>
  <si>
    <t>3845*2345</t>
  </si>
  <si>
    <t>3845*2345</t>
    <phoneticPr fontId="2" type="noConversion"/>
  </si>
  <si>
    <t>알루미늄 창호철거(우측면)</t>
  </si>
  <si>
    <t>알루미늄 창호철거(우측면)</t>
    <phoneticPr fontId="2" type="noConversion"/>
  </si>
  <si>
    <t>1495*2470</t>
  </si>
  <si>
    <t>1495*2470</t>
    <phoneticPr fontId="2" type="noConversion"/>
  </si>
  <si>
    <t>외부 우측면 창호</t>
    <phoneticPr fontId="2" type="noConversion"/>
  </si>
  <si>
    <t>외부 좌측면 창호</t>
    <phoneticPr fontId="2" type="noConversion"/>
  </si>
  <si>
    <t>1395*1395</t>
  </si>
  <si>
    <t>1395*1395</t>
    <phoneticPr fontId="2" type="noConversion"/>
  </si>
  <si>
    <t>교통통제 및 안전처리</t>
    <phoneticPr fontId="2" type="noConversion"/>
  </si>
  <si>
    <t>통행 안전시설물 설치</t>
    <phoneticPr fontId="2" type="noConversion"/>
  </si>
  <si>
    <t>회</t>
    <phoneticPr fontId="2" type="noConversion"/>
  </si>
  <si>
    <t>철거시 안전처리</t>
    <phoneticPr fontId="2" type="noConversion"/>
  </si>
  <si>
    <t>콘크리트 면정리</t>
    <phoneticPr fontId="2" type="noConversion"/>
  </si>
  <si>
    <t>바탕 연마기면정리3.6m이하</t>
    <phoneticPr fontId="2" type="noConversion"/>
  </si>
  <si>
    <t>금속 천정판 철거</t>
  </si>
  <si>
    <t>금속 천정판 철거</t>
    <phoneticPr fontId="2" type="noConversion"/>
  </si>
  <si>
    <t>금속 처마 W400</t>
  </si>
  <si>
    <t>금속 처마 W400</t>
    <phoneticPr fontId="2" type="noConversion"/>
  </si>
  <si>
    <t>금속 어닝 설치</t>
    <phoneticPr fontId="2" type="noConversion"/>
  </si>
  <si>
    <t>L3845*510*H1030</t>
    <phoneticPr fontId="2" type="noConversion"/>
  </si>
  <si>
    <t>EA</t>
  </si>
  <si>
    <t>EA</t>
    <phoneticPr fontId="2" type="noConversion"/>
  </si>
  <si>
    <t>1개설치</t>
    <phoneticPr fontId="2" type="noConversion"/>
  </si>
  <si>
    <t>창호공사</t>
    <phoneticPr fontId="2" type="noConversion"/>
  </si>
  <si>
    <t>시스템 고정창호</t>
    <phoneticPr fontId="2" type="noConversion"/>
  </si>
  <si>
    <t>WW-01</t>
    <phoneticPr fontId="2" type="noConversion"/>
  </si>
  <si>
    <t>WW-02</t>
  </si>
  <si>
    <t>WW-03</t>
  </si>
  <si>
    <t>WW-04</t>
  </si>
  <si>
    <t>WW-05</t>
  </si>
  <si>
    <t>WW-06</t>
  </si>
  <si>
    <t>1495*2490 AL, T24 로이투명</t>
    <phoneticPr fontId="2" type="noConversion"/>
  </si>
  <si>
    <t>시스템 미서기창호</t>
    <phoneticPr fontId="2" type="noConversion"/>
  </si>
  <si>
    <t>1500*2085 AL, T24 로이투명</t>
    <phoneticPr fontId="2" type="noConversion"/>
  </si>
  <si>
    <t>1495*2085 AL, T24 로이투명</t>
    <phoneticPr fontId="2" type="noConversion"/>
  </si>
  <si>
    <t>1485*2085 AL, T24 로이투명</t>
    <phoneticPr fontId="2" type="noConversion"/>
  </si>
  <si>
    <t>1200*2490 AL, T24 로이투명</t>
    <phoneticPr fontId="2" type="noConversion"/>
  </si>
  <si>
    <t>WD-01</t>
    <phoneticPr fontId="2" type="noConversion"/>
  </si>
  <si>
    <t>시스템 여닫이 도어</t>
    <phoneticPr fontId="2" type="noConversion"/>
  </si>
  <si>
    <t>950*2150 AL, T24 로이투명</t>
    <phoneticPr fontId="2" type="noConversion"/>
  </si>
  <si>
    <t>AW-01</t>
    <phoneticPr fontId="2" type="noConversion"/>
  </si>
  <si>
    <t>시스템 슬라이딩 도어</t>
    <phoneticPr fontId="2" type="noConversion"/>
  </si>
  <si>
    <t>1500*1495 AL, T24 로이투명</t>
    <phoneticPr fontId="2" type="noConversion"/>
  </si>
  <si>
    <t>AW-02</t>
  </si>
  <si>
    <t>AW-03</t>
  </si>
  <si>
    <t>AW-04</t>
  </si>
  <si>
    <t>AW-05</t>
  </si>
  <si>
    <t>900*890 AL, T24 로이투명</t>
    <phoneticPr fontId="2" type="noConversion"/>
  </si>
  <si>
    <t>785*390 AL, T24 로이투명</t>
    <phoneticPr fontId="2" type="noConversion"/>
  </si>
  <si>
    <t>865*925 AL, T24 로이투명</t>
    <phoneticPr fontId="2" type="noConversion"/>
  </si>
  <si>
    <t>810*840 AL, T24 로이투명</t>
    <phoneticPr fontId="2" type="noConversion"/>
  </si>
  <si>
    <t>시스템 프로젝트창호</t>
    <phoneticPr fontId="2" type="noConversion"/>
  </si>
  <si>
    <t>GWD-1</t>
    <phoneticPr fontId="2" type="noConversion"/>
  </si>
  <si>
    <t>프레임리스 폴딩도어</t>
    <phoneticPr fontId="2" type="noConversion"/>
  </si>
  <si>
    <t>3845*H2330 상부고정창 T24 로이투명</t>
    <phoneticPr fontId="2" type="noConversion"/>
  </si>
  <si>
    <t>미닫이 도어</t>
    <phoneticPr fontId="2" type="noConversion"/>
  </si>
  <si>
    <t>820*H2070 ABS 필름</t>
    <phoneticPr fontId="2" type="noConversion"/>
  </si>
  <si>
    <t>여닫이 도어</t>
    <phoneticPr fontId="2" type="noConversion"/>
  </si>
  <si>
    <t>690*H1795 ABS 필름</t>
    <phoneticPr fontId="2" type="noConversion"/>
  </si>
  <si>
    <t>695*H1795 ABS 필름</t>
    <phoneticPr fontId="2" type="noConversion"/>
  </si>
  <si>
    <t>WD-02</t>
  </si>
  <si>
    <t>WD-03</t>
  </si>
  <si>
    <t>WD-04</t>
  </si>
  <si>
    <t>WD-05</t>
  </si>
  <si>
    <t>685*H1880 ABS 필름</t>
    <phoneticPr fontId="2" type="noConversion"/>
  </si>
  <si>
    <t>SWD-01</t>
    <phoneticPr fontId="2" type="noConversion"/>
  </si>
  <si>
    <t>SWD-02</t>
    <phoneticPr fontId="2" type="noConversion"/>
  </si>
  <si>
    <t>강화유리문도어</t>
    <phoneticPr fontId="2" type="noConversion"/>
  </si>
  <si>
    <t>창호 설치 수량</t>
    <phoneticPr fontId="2" type="noConversion"/>
  </si>
  <si>
    <t>AL,</t>
  </si>
  <si>
    <t>T24</t>
  </si>
  <si>
    <t>로이투명</t>
  </si>
  <si>
    <t>상부고정창</t>
  </si>
  <si>
    <t>ABS</t>
  </si>
  <si>
    <t>필름</t>
  </si>
  <si>
    <t>T24로이투명</t>
  </si>
  <si>
    <t>수량 집계표 (내부 수량 산출서 - 1층)</t>
    <phoneticPr fontId="2" type="noConversion"/>
  </si>
  <si>
    <t>전체 시공대상지 바닥면적 118</t>
    <phoneticPr fontId="2" type="noConversion"/>
  </si>
  <si>
    <t>인</t>
    <phoneticPr fontId="2" type="noConversion"/>
  </si>
  <si>
    <t>철거공</t>
    <phoneticPr fontId="2" type="noConversion"/>
  </si>
  <si>
    <t>보통인부</t>
    <phoneticPr fontId="2" type="noConversion"/>
  </si>
  <si>
    <t>콘크리트 절단</t>
    <phoneticPr fontId="2" type="noConversion"/>
  </si>
  <si>
    <t>벽체 T300</t>
    <phoneticPr fontId="2" type="noConversion"/>
  </si>
  <si>
    <t>M</t>
    <phoneticPr fontId="2" type="noConversion"/>
  </si>
  <si>
    <t>출입문 신설부위 철거 1.25*2+3.3*2</t>
    <phoneticPr fontId="2" type="noConversion"/>
  </si>
  <si>
    <t>콘크리트 구조물깨기</t>
  </si>
  <si>
    <t>콘크리트 구조물깨기</t>
    <phoneticPr fontId="2" type="noConversion"/>
  </si>
  <si>
    <t>인력</t>
  </si>
  <si>
    <t>인력</t>
    <phoneticPr fontId="2" type="noConversion"/>
  </si>
  <si>
    <t>M3</t>
    <phoneticPr fontId="2" type="noConversion"/>
  </si>
  <si>
    <t>출입문 신설부위 철거 1.25*3.3*0.3</t>
    <phoneticPr fontId="2" type="noConversion"/>
  </si>
  <si>
    <t>조적벽체 철거</t>
  </si>
  <si>
    <t>조적벽체 철거</t>
    <phoneticPr fontId="2" type="noConversion"/>
  </si>
  <si>
    <t>화단부분철거</t>
  </si>
  <si>
    <t>화단부분철거</t>
    <phoneticPr fontId="2" type="noConversion"/>
  </si>
  <si>
    <t>M3</t>
    <phoneticPr fontId="2" type="noConversion"/>
  </si>
  <si>
    <t>1.5*0.3*0.3</t>
    <phoneticPr fontId="2" type="noConversion"/>
  </si>
  <si>
    <t>메인홀 카운터</t>
    <phoneticPr fontId="2" type="noConversion"/>
  </si>
  <si>
    <t>Set</t>
    <phoneticPr fontId="2" type="noConversion"/>
  </si>
  <si>
    <t>가마솥 선반</t>
    <phoneticPr fontId="2" type="noConversion"/>
  </si>
  <si>
    <t>벽측 수납장</t>
    <phoneticPr fontId="2" type="noConversion"/>
  </si>
  <si>
    <t>벽측 수납장선반</t>
    <phoneticPr fontId="2" type="noConversion"/>
  </si>
  <si>
    <t>쇼케이스</t>
    <phoneticPr fontId="2" type="noConversion"/>
  </si>
  <si>
    <t>2720*300*H2450 목재</t>
    <phoneticPr fontId="2" type="noConversion"/>
  </si>
  <si>
    <t>6375*600*H950+2160*250*H950 목재위도색</t>
    <phoneticPr fontId="2" type="noConversion"/>
  </si>
  <si>
    <t>6375*190*T30 목재위도색</t>
    <phoneticPr fontId="2" type="noConversion"/>
  </si>
  <si>
    <t>1500*600*H950 STS 구조,판넬</t>
    <phoneticPr fontId="2" type="noConversion"/>
  </si>
  <si>
    <t>5700*850*H1050 합판 위 도색</t>
    <phoneticPr fontId="2" type="noConversion"/>
  </si>
  <si>
    <t>입구 바닥계단</t>
    <phoneticPr fontId="2" type="noConversion"/>
  </si>
  <si>
    <t>개소</t>
    <phoneticPr fontId="2" type="noConversion"/>
  </si>
  <si>
    <t>1개소 설치</t>
    <phoneticPr fontId="2" type="noConversion"/>
  </si>
  <si>
    <t>2314*1530*H792 / 3단 각관+합판</t>
    <phoneticPr fontId="2" type="noConversion"/>
  </si>
  <si>
    <t>재도장면 바탕만들기</t>
    <phoneticPr fontId="2" type="noConversion"/>
  </si>
  <si>
    <t>콘크리트면</t>
    <phoneticPr fontId="2" type="noConversion"/>
  </si>
  <si>
    <t>지정색 스터코칠</t>
    <phoneticPr fontId="2" type="noConversion"/>
  </si>
  <si>
    <t>M2</t>
    <phoneticPr fontId="2" type="noConversion"/>
  </si>
  <si>
    <t>공제부위</t>
    <phoneticPr fontId="2" type="noConversion"/>
  </si>
  <si>
    <t>금고문</t>
    <phoneticPr fontId="2" type="noConversion"/>
  </si>
  <si>
    <t>슬라이딩도어</t>
    <phoneticPr fontId="2" type="noConversion"/>
  </si>
  <si>
    <t>주방통로</t>
    <phoneticPr fontId="2" type="noConversion"/>
  </si>
  <si>
    <t>전면창상부</t>
    <phoneticPr fontId="2" type="noConversion"/>
  </si>
  <si>
    <t>작은출입문</t>
    <phoneticPr fontId="2" type="noConversion"/>
  </si>
  <si>
    <t>계단바닥</t>
    <phoneticPr fontId="2" type="noConversion"/>
  </si>
  <si>
    <t>(9.835*2.5)+(24.72*2.5)+(5.81*2.5)+(4.83*2.5)-(20.61)</t>
    <phoneticPr fontId="2" type="noConversion"/>
  </si>
  <si>
    <t>비닐 페인트 칠</t>
    <phoneticPr fontId="2" type="noConversion"/>
  </si>
  <si>
    <t>벽,2회 롤러칠</t>
    <phoneticPr fontId="2" type="noConversion"/>
  </si>
  <si>
    <t>벽,무늬코트 PA01</t>
    <phoneticPr fontId="2" type="noConversion"/>
  </si>
  <si>
    <t>무광 투명코팅칠</t>
    <phoneticPr fontId="2" type="noConversion"/>
  </si>
  <si>
    <t>벽,2회 마페플로어</t>
    <phoneticPr fontId="2" type="noConversion"/>
  </si>
  <si>
    <t>(14.9*2.5)+(4.13*2.5)+(1.32*2.5)</t>
    <phoneticPr fontId="2" type="noConversion"/>
  </si>
  <si>
    <t>콘크리트면 바탕정리</t>
    <phoneticPr fontId="2" type="noConversion"/>
  </si>
  <si>
    <t>바탕 면갈기 3.6M 이하</t>
    <phoneticPr fontId="2" type="noConversion"/>
  </si>
  <si>
    <t>도장면적 계</t>
    <phoneticPr fontId="2" type="noConversion"/>
  </si>
  <si>
    <t>** 벽체 도장</t>
    <phoneticPr fontId="2" type="noConversion"/>
  </si>
  <si>
    <t>** 벽체 타일</t>
    <phoneticPr fontId="2" type="noConversion"/>
  </si>
  <si>
    <t>벽 타일붙임</t>
    <phoneticPr fontId="2" type="noConversion"/>
  </si>
  <si>
    <t>45*195 버건디 TL-01</t>
    <phoneticPr fontId="2" type="noConversion"/>
  </si>
  <si>
    <t>100*100 옐로우 TL-02</t>
    <phoneticPr fontId="2" type="noConversion"/>
  </si>
  <si>
    <t>(26.07*2.5+0.8*0.4)-(1.51*0.91)</t>
    <phoneticPr fontId="2" type="noConversion"/>
  </si>
  <si>
    <t>4.513*2.5</t>
    <phoneticPr fontId="2" type="noConversion"/>
  </si>
  <si>
    <t>7.545*2.5+2.886*2.5</t>
    <phoneticPr fontId="2" type="noConversion"/>
  </si>
  <si>
    <t>벽체 T200</t>
    <phoneticPr fontId="2" type="noConversion"/>
  </si>
  <si>
    <t>화단 옆 벽체 1.2*2</t>
    <phoneticPr fontId="2" type="noConversion"/>
  </si>
  <si>
    <t>화단 옆 벽체  철거 1.2*1*0.2</t>
    <phoneticPr fontId="2" type="noConversion"/>
  </si>
  <si>
    <t>남 화장실 통로전 1.05*2+1*2</t>
    <phoneticPr fontId="2" type="noConversion"/>
  </si>
  <si>
    <t>금고출입문 옆 출입문 주변 확장 2.5*2+1.68</t>
    <phoneticPr fontId="2" type="noConversion"/>
  </si>
  <si>
    <t>금고출입문 옆 출입문 주변 확장 (1.68*0.5+2.5*1)*0.3</t>
    <phoneticPr fontId="2" type="noConversion"/>
  </si>
  <si>
    <t>남 화장실 통로전 (0.6*1.05+0.3*1.05)*0.3</t>
    <phoneticPr fontId="2" type="noConversion"/>
  </si>
  <si>
    <t>석고판 철거</t>
  </si>
  <si>
    <t>석고판 철거</t>
    <phoneticPr fontId="2" type="noConversion"/>
  </si>
  <si>
    <t>벽 T9.5, 2P</t>
  </si>
  <si>
    <t>벽 T9.5, 2P</t>
    <phoneticPr fontId="2" type="noConversion"/>
  </si>
  <si>
    <t>4.175*2.5*2</t>
    <phoneticPr fontId="2" type="noConversion"/>
  </si>
  <si>
    <t>벽 Stud 65</t>
  </si>
  <si>
    <t>벽 Stud 65</t>
    <phoneticPr fontId="2" type="noConversion"/>
  </si>
  <si>
    <t>4.175*2.5*1</t>
    <phoneticPr fontId="2" type="noConversion"/>
  </si>
  <si>
    <t>로스팅룸 하부 0.8*1.2*0.3</t>
    <phoneticPr fontId="2" type="noConversion"/>
  </si>
  <si>
    <t>로스팅룸 하부 0.8+1.2*2</t>
    <phoneticPr fontId="2" type="noConversion"/>
  </si>
  <si>
    <t>바닥 T400</t>
    <phoneticPr fontId="2" type="noConversion"/>
  </si>
  <si>
    <t>로스팅룸 바닥 9.276</t>
    <phoneticPr fontId="2" type="noConversion"/>
  </si>
  <si>
    <t>로스팅룸 바닥 5.147*0.4</t>
    <phoneticPr fontId="2" type="noConversion"/>
  </si>
  <si>
    <t>경량벽체 철골틀 철거</t>
  </si>
  <si>
    <t>경량벽체 철골틀 철거</t>
    <phoneticPr fontId="2" type="noConversion"/>
  </si>
  <si>
    <t>도장면 바탕만들기</t>
    <phoneticPr fontId="2" type="noConversion"/>
  </si>
  <si>
    <t>천정, 콘크리트면</t>
    <phoneticPr fontId="2" type="noConversion"/>
  </si>
  <si>
    <t>전체 시공대상지 바닥면적 118-메인홀52</t>
    <phoneticPr fontId="2" type="noConversion"/>
  </si>
  <si>
    <t>경량철골 천정틀 설치</t>
    <phoneticPr fontId="2" type="noConversion"/>
  </si>
  <si>
    <t>M-Bar @600</t>
    <phoneticPr fontId="2" type="noConversion"/>
  </si>
  <si>
    <t>메인홀 부분 52M2</t>
    <phoneticPr fontId="2" type="noConversion"/>
  </si>
  <si>
    <t>석고판 설치</t>
    <phoneticPr fontId="2" type="noConversion"/>
  </si>
  <si>
    <t>천정 T9.5, 2P 붙임</t>
    <phoneticPr fontId="2" type="noConversion"/>
  </si>
  <si>
    <t>천정 합판 설치</t>
    <phoneticPr fontId="2" type="noConversion"/>
  </si>
  <si>
    <t>T5.0 목재합판</t>
    <phoneticPr fontId="2" type="noConversion"/>
  </si>
  <si>
    <t>목재면</t>
    <phoneticPr fontId="2" type="noConversion"/>
  </si>
  <si>
    <t>목재 전용도료 칠</t>
    <phoneticPr fontId="2" type="noConversion"/>
  </si>
  <si>
    <t>천정, 2회 투명칠</t>
    <phoneticPr fontId="2" type="noConversion"/>
  </si>
  <si>
    <t>천정 원목메지</t>
    <phoneticPr fontId="2" type="noConversion"/>
  </si>
  <si>
    <t>93*60 2단</t>
    <phoneticPr fontId="2" type="noConversion"/>
  </si>
  <si>
    <t>30*60 1단</t>
    <phoneticPr fontId="2" type="noConversion"/>
  </si>
  <si>
    <t>6.335+9.175+5.511+2.713+6.375</t>
    <phoneticPr fontId="2" type="noConversion"/>
  </si>
  <si>
    <t>6.375*2+9.175+6.38*2+2.665+2.72+1.25</t>
    <phoneticPr fontId="2" type="noConversion"/>
  </si>
  <si>
    <t>천정 점검구 설치</t>
    <phoneticPr fontId="2" type="noConversion"/>
  </si>
  <si>
    <t>300*300 금속(갈바)</t>
    <phoneticPr fontId="2" type="noConversion"/>
  </si>
  <si>
    <t>2개소 설치</t>
    <phoneticPr fontId="2" type="noConversion"/>
  </si>
  <si>
    <t>천정형 에어컨</t>
    <phoneticPr fontId="2" type="noConversion"/>
  </si>
  <si>
    <t>30평형, 4Way</t>
    <phoneticPr fontId="2" type="noConversion"/>
  </si>
  <si>
    <t>대</t>
    <phoneticPr fontId="2" type="noConversion"/>
  </si>
  <si>
    <t>메인 홀 2대 설치</t>
    <phoneticPr fontId="2" type="noConversion"/>
  </si>
  <si>
    <t>창고 클린룸 1대 설치</t>
    <phoneticPr fontId="2" type="noConversion"/>
  </si>
  <si>
    <t>25평형, 4Way</t>
    <phoneticPr fontId="2" type="noConversion"/>
  </si>
  <si>
    <t>벽걸이형 에어컨</t>
    <phoneticPr fontId="2" type="noConversion"/>
  </si>
  <si>
    <t>24.4m2 벽걸이형</t>
    <phoneticPr fontId="2" type="noConversion"/>
  </si>
  <si>
    <t>화장실 통로 1대 설치</t>
    <phoneticPr fontId="2" type="noConversion"/>
  </si>
  <si>
    <t>여자화장실 1대 설치</t>
    <phoneticPr fontId="2" type="noConversion"/>
  </si>
  <si>
    <t>환풍기 설치</t>
    <phoneticPr fontId="2" type="noConversion"/>
  </si>
  <si>
    <t>485*334*149 휴젠트</t>
    <phoneticPr fontId="2" type="noConversion"/>
  </si>
  <si>
    <t>205*205*H165 싸이클론</t>
    <phoneticPr fontId="2" type="noConversion"/>
  </si>
  <si>
    <t>남자화장실 1대설치</t>
    <phoneticPr fontId="2" type="noConversion"/>
  </si>
  <si>
    <t>공통가설공사</t>
    <phoneticPr fontId="2" type="noConversion"/>
  </si>
  <si>
    <t>인테리어 공사</t>
    <phoneticPr fontId="2" type="noConversion"/>
  </si>
  <si>
    <t>3-1. 벽체공사</t>
    <phoneticPr fontId="2" type="noConversion"/>
  </si>
  <si>
    <t>3-2. 천정공사</t>
    <phoneticPr fontId="2" type="noConversion"/>
  </si>
  <si>
    <t>3-3. 바닥공사</t>
    <phoneticPr fontId="2" type="noConversion"/>
  </si>
  <si>
    <t>냉난방 공사</t>
    <phoneticPr fontId="2" type="noConversion"/>
  </si>
  <si>
    <t>가구공사</t>
    <phoneticPr fontId="2" type="noConversion"/>
  </si>
  <si>
    <t>설비공사</t>
    <phoneticPr fontId="2" type="noConversion"/>
  </si>
  <si>
    <t>PVC 파이프</t>
    <phoneticPr fontId="2" type="noConversion"/>
  </si>
  <si>
    <t>D25</t>
    <phoneticPr fontId="2" type="noConversion"/>
  </si>
  <si>
    <t>엘보</t>
    <phoneticPr fontId="2" type="noConversion"/>
  </si>
  <si>
    <t>티이</t>
    <phoneticPr fontId="2" type="noConversion"/>
  </si>
  <si>
    <t>소켓</t>
    <phoneticPr fontId="2" type="noConversion"/>
  </si>
  <si>
    <t>12+4+10</t>
    <phoneticPr fontId="2" type="noConversion"/>
  </si>
  <si>
    <t>(12+4+10)/4</t>
    <phoneticPr fontId="2" type="noConversion"/>
  </si>
  <si>
    <t>소켓 접착제 접합 및 배관</t>
    <phoneticPr fontId="2" type="noConversion"/>
  </si>
  <si>
    <t>경질관 D25</t>
    <phoneticPr fontId="2" type="noConversion"/>
  </si>
  <si>
    <t>설치수량</t>
    <phoneticPr fontId="2" type="noConversion"/>
  </si>
  <si>
    <t>급수 배관 설치 길이</t>
    <phoneticPr fontId="2" type="noConversion"/>
  </si>
  <si>
    <t>D50</t>
  </si>
  <si>
    <t>경질관 D50</t>
  </si>
  <si>
    <t>전기온수기 설치</t>
    <phoneticPr fontId="2" type="noConversion"/>
  </si>
  <si>
    <t>15L 벽부형</t>
    <phoneticPr fontId="2" type="noConversion"/>
  </si>
  <si>
    <t>100L 벽부형</t>
    <phoneticPr fontId="2" type="noConversion"/>
  </si>
  <si>
    <t>설치 수량</t>
    <phoneticPr fontId="2" type="noConversion"/>
  </si>
  <si>
    <t>7+5+10+10</t>
    <phoneticPr fontId="2" type="noConversion"/>
  </si>
  <si>
    <t>배수, 오수 배관 설치 길이</t>
    <phoneticPr fontId="2" type="noConversion"/>
  </si>
  <si>
    <t>씽크대 설치</t>
    <phoneticPr fontId="2" type="noConversion"/>
  </si>
  <si>
    <t>카운터형 W800</t>
    <phoneticPr fontId="2" type="noConversion"/>
  </si>
  <si>
    <t>1층 메인홀 1개 설치</t>
    <phoneticPr fontId="2" type="noConversion"/>
  </si>
  <si>
    <t>씽크수전 설치</t>
    <phoneticPr fontId="2" type="noConversion"/>
  </si>
  <si>
    <t>거위목</t>
    <phoneticPr fontId="2" type="noConversion"/>
  </si>
  <si>
    <t>세면대 설치</t>
    <phoneticPr fontId="2" type="noConversion"/>
  </si>
  <si>
    <t>스테인리스</t>
    <phoneticPr fontId="2" type="noConversion"/>
  </si>
  <si>
    <t>세면대 수전설치</t>
    <phoneticPr fontId="2" type="noConversion"/>
  </si>
  <si>
    <t>니켈 원홀</t>
    <phoneticPr fontId="2" type="noConversion"/>
  </si>
  <si>
    <t>도기형</t>
    <phoneticPr fontId="2" type="noConversion"/>
  </si>
  <si>
    <t>니켈 탑볼 수전</t>
    <phoneticPr fontId="2" type="noConversion"/>
  </si>
  <si>
    <t>화장실 통로 1개</t>
    <phoneticPr fontId="2" type="noConversion"/>
  </si>
  <si>
    <t>청소수전 설치</t>
    <phoneticPr fontId="2" type="noConversion"/>
  </si>
  <si>
    <t>스프레이건,미니건</t>
    <phoneticPr fontId="2" type="noConversion"/>
  </si>
  <si>
    <t>남여화장실 각1개씩</t>
    <phoneticPr fontId="2" type="noConversion"/>
  </si>
  <si>
    <t>바닥 배수구 설치</t>
    <phoneticPr fontId="2" type="noConversion"/>
  </si>
  <si>
    <t>육가 150*150 실버</t>
    <phoneticPr fontId="2" type="noConversion"/>
  </si>
  <si>
    <t>여자화장실 및 통로 각1개</t>
    <phoneticPr fontId="2" type="noConversion"/>
  </si>
  <si>
    <t>메인홀 내 1개</t>
    <phoneticPr fontId="2" type="noConversion"/>
  </si>
  <si>
    <t>MD PD존 내 1개</t>
    <phoneticPr fontId="2" type="noConversion"/>
  </si>
  <si>
    <t>세면대장</t>
    <phoneticPr fontId="2" type="noConversion"/>
  </si>
  <si>
    <t>1650*550*H200</t>
    <phoneticPr fontId="2" type="noConversion"/>
  </si>
  <si>
    <t>여자화장실 세면대장1개</t>
    <phoneticPr fontId="2" type="noConversion"/>
  </si>
  <si>
    <t>화장실선반</t>
    <phoneticPr fontId="2" type="noConversion"/>
  </si>
  <si>
    <t>730*300*T30</t>
    <phoneticPr fontId="2" type="noConversion"/>
  </si>
  <si>
    <t>남자화장실 선반1개</t>
    <phoneticPr fontId="2" type="noConversion"/>
  </si>
  <si>
    <t>철재면</t>
    <phoneticPr fontId="2" type="noConversion"/>
  </si>
  <si>
    <t>유성페인트 칠</t>
    <phoneticPr fontId="2" type="noConversion"/>
  </si>
  <si>
    <t>보통인부 철거 투입인력</t>
    <phoneticPr fontId="2" type="noConversion"/>
  </si>
  <si>
    <t>철거공 철거 투입인력</t>
    <phoneticPr fontId="2" type="noConversion"/>
  </si>
  <si>
    <t>1층 내부 집기 등 기타시설철거</t>
  </si>
  <si>
    <t>1층 내부 집기 등 기타시설철거</t>
    <phoneticPr fontId="2" type="noConversion"/>
  </si>
  <si>
    <t>목재도어 설치</t>
    <phoneticPr fontId="2" type="noConversion"/>
  </si>
  <si>
    <t>방부목 900*2100</t>
    <phoneticPr fontId="2" type="noConversion"/>
  </si>
  <si>
    <t>좌측 통로 출입문1개 설치</t>
    <phoneticPr fontId="2" type="noConversion"/>
  </si>
  <si>
    <t>-</t>
    <phoneticPr fontId="2" type="noConversion"/>
  </si>
  <si>
    <t>외부 여닫이 설치</t>
    <phoneticPr fontId="2" type="noConversion"/>
  </si>
  <si>
    <t>콘크리트 류</t>
    <phoneticPr fontId="2" type="noConversion"/>
  </si>
  <si>
    <t>건설폐재류</t>
    <phoneticPr fontId="2" type="noConversion"/>
  </si>
  <si>
    <t>품명</t>
    <phoneticPr fontId="2" type="noConversion"/>
  </si>
  <si>
    <t>철거수량</t>
    <phoneticPr fontId="2" type="noConversion"/>
  </si>
  <si>
    <t>단위중량 Kg</t>
    <phoneticPr fontId="2" type="noConversion"/>
  </si>
  <si>
    <t>총중량(Ton)</t>
    <phoneticPr fontId="2" type="noConversion"/>
  </si>
  <si>
    <t>기타 철거시설물</t>
    <phoneticPr fontId="2" type="noConversion"/>
  </si>
  <si>
    <t>폐기물 총 계</t>
    <phoneticPr fontId="2" type="noConversion"/>
  </si>
  <si>
    <t>폐기물 상차</t>
    <phoneticPr fontId="2" type="noConversion"/>
  </si>
  <si>
    <t>폐기물 총 중량 계</t>
    <phoneticPr fontId="2" type="noConversion"/>
  </si>
  <si>
    <t>수량 집계표 (내부 수량 산출서 - 2층)</t>
    <phoneticPr fontId="2" type="noConversion"/>
  </si>
  <si>
    <t>입면 좌측 창 확장부위 (1.495*2+2.49*2)</t>
    <phoneticPr fontId="2" type="noConversion"/>
  </si>
  <si>
    <t>입면 좌측 창 확장부위 (0.2*2.49*2+1.495*1.2)*0.3</t>
    <phoneticPr fontId="2" type="noConversion"/>
  </si>
  <si>
    <t>입면 좌측 창 확장부위 (0.2*2.49*2+1.2*1.2)*0.3</t>
  </si>
  <si>
    <t>입면 우측 창 확장부위 (1.2*2+2.49*2)</t>
  </si>
  <si>
    <t>계단실 바닥턱 및 상부 (3*2+1.075*2)</t>
    <phoneticPr fontId="2" type="noConversion"/>
  </si>
  <si>
    <t>계단실 바닥턱 및 상부 (0.2*1.075+0.2+1.075*0.6*0.2)</t>
    <phoneticPr fontId="2" type="noConversion"/>
  </si>
  <si>
    <t>화장실 벽체 (3*2+1.35*2)</t>
    <phoneticPr fontId="2" type="noConversion"/>
  </si>
  <si>
    <t>화장실 벽체 (3*1.35*0.15)-(0.9*2.1*0.15)</t>
    <phoneticPr fontId="2" type="noConversion"/>
  </si>
  <si>
    <t>배란다 출입문 벽체 (2.1*2+1*2)</t>
    <phoneticPr fontId="2" type="noConversion"/>
  </si>
  <si>
    <t>배란다 출입문 벽체 (1*0.3*0.3)</t>
    <phoneticPr fontId="2" type="noConversion"/>
  </si>
  <si>
    <t>여닫이문 철거</t>
  </si>
  <si>
    <t>여닫이문 철거</t>
    <phoneticPr fontId="2" type="noConversion"/>
  </si>
  <si>
    <t>900*2100</t>
  </si>
  <si>
    <t>900*2100</t>
    <phoneticPr fontId="2" type="noConversion"/>
  </si>
  <si>
    <t>화장실 도어 1개 철거</t>
    <phoneticPr fontId="2" type="noConversion"/>
  </si>
  <si>
    <t>총 계</t>
    <phoneticPr fontId="2" type="noConversion"/>
  </si>
  <si>
    <t>전면창호4</t>
    <phoneticPr fontId="2" type="noConversion"/>
  </si>
  <si>
    <t>좌우측창</t>
    <phoneticPr fontId="2" type="noConversion"/>
  </si>
  <si>
    <t>출입문3</t>
    <phoneticPr fontId="2" type="noConversion"/>
  </si>
  <si>
    <t>(41.865*3)+(0.12*8*3)-(24.83)</t>
    <phoneticPr fontId="2" type="noConversion"/>
  </si>
  <si>
    <t>방화문 외 1.2*2.1+10</t>
    <phoneticPr fontId="2" type="noConversion"/>
  </si>
  <si>
    <t>61.5*188.5 스카이블루 TL-03</t>
    <phoneticPr fontId="2" type="noConversion"/>
  </si>
  <si>
    <t>화장실 벽체 7.142*3-0.9*2.1</t>
    <phoneticPr fontId="2" type="noConversion"/>
  </si>
  <si>
    <t>3745*T200*H3000</t>
    <phoneticPr fontId="2" type="noConversion"/>
  </si>
  <si>
    <t>스튜디오 아트월</t>
    <phoneticPr fontId="2" type="noConversion"/>
  </si>
  <si>
    <t>스튜디오 벽체  1개</t>
    <phoneticPr fontId="2" type="noConversion"/>
  </si>
  <si>
    <t>화장실 세면대장1개</t>
    <phoneticPr fontId="2" type="noConversion"/>
  </si>
  <si>
    <t>화장실 선반1개</t>
    <phoneticPr fontId="2" type="noConversion"/>
  </si>
  <si>
    <t>** 벽체 가벽</t>
    <phoneticPr fontId="2" type="noConversion"/>
  </si>
  <si>
    <t>원목 기둥설치</t>
    <phoneticPr fontId="2" type="noConversion"/>
  </si>
  <si>
    <t>라운드 가벽 내 4개</t>
    <phoneticPr fontId="2" type="noConversion"/>
  </si>
  <si>
    <t>D90*H3000</t>
    <phoneticPr fontId="2" type="noConversion"/>
  </si>
  <si>
    <t>D160*H3000</t>
    <phoneticPr fontId="2" type="noConversion"/>
  </si>
  <si>
    <t>스튜디오 내 1개</t>
    <phoneticPr fontId="2" type="noConversion"/>
  </si>
  <si>
    <t>금속 판넬 설치</t>
    <phoneticPr fontId="2" type="noConversion"/>
  </si>
  <si>
    <t>골강판 T0.5 무광 지정색</t>
    <phoneticPr fontId="2" type="noConversion"/>
  </si>
  <si>
    <t>창고 출입문</t>
    <phoneticPr fontId="2" type="noConversion"/>
  </si>
  <si>
    <t>1개 설치</t>
    <phoneticPr fontId="2" type="noConversion"/>
  </si>
  <si>
    <t>칸막이 벽체틀 설치</t>
    <phoneticPr fontId="2" type="noConversion"/>
  </si>
  <si>
    <t>90*90 각재 틀</t>
    <phoneticPr fontId="2" type="noConversion"/>
  </si>
  <si>
    <t>(6*2.4*1)</t>
    <phoneticPr fontId="2" type="noConversion"/>
  </si>
  <si>
    <t>벽체 합판 설치</t>
    <phoneticPr fontId="2" type="noConversion"/>
  </si>
  <si>
    <t>T4.5 오징어합판</t>
    <phoneticPr fontId="2" type="noConversion"/>
  </si>
  <si>
    <t>바닥 가공합판 붙임</t>
    <phoneticPr fontId="2" type="noConversion"/>
  </si>
  <si>
    <t>T18.0 CNC가공합판</t>
    <phoneticPr fontId="2" type="noConversion"/>
  </si>
  <si>
    <t>바닥 지지부 6미터</t>
    <phoneticPr fontId="2" type="noConversion"/>
  </si>
  <si>
    <t>777*2050 금속,문틀포함</t>
    <phoneticPr fontId="2" type="noConversion"/>
  </si>
  <si>
    <t>양변기 설치</t>
    <phoneticPr fontId="2" type="noConversion"/>
  </si>
  <si>
    <t>비데일체형</t>
    <phoneticPr fontId="2" type="noConversion"/>
  </si>
  <si>
    <t>전체 시공대상지 바닥면적 118-메인홀67.96</t>
  </si>
  <si>
    <t>메인홀 부분 67.96M2</t>
  </si>
  <si>
    <t>2.8*2+9.19+9.135*3</t>
    <phoneticPr fontId="2" type="noConversion"/>
  </si>
  <si>
    <t>2.8*1+7.68*2+9.135*5</t>
    <phoneticPr fontId="2" type="noConversion"/>
  </si>
  <si>
    <t>3개소 설치</t>
    <phoneticPr fontId="2" type="noConversion"/>
  </si>
  <si>
    <t>미송각재 30*30</t>
    <phoneticPr fontId="2" type="noConversion"/>
  </si>
  <si>
    <t>2.86*8.735*2단+1.915*2.86+1.465*2.86</t>
    <phoneticPr fontId="2" type="noConversion"/>
  </si>
  <si>
    <t>바닥 마루틀 설치</t>
    <phoneticPr fontId="2" type="noConversion"/>
  </si>
  <si>
    <t>마루바탕 설치</t>
    <phoneticPr fontId="2" type="noConversion"/>
  </si>
  <si>
    <t>목재합판 T12.5</t>
    <phoneticPr fontId="2" type="noConversion"/>
  </si>
  <si>
    <t>(2.86*8.735+2.86*0.15*2+8.735*0.15+1.915*0.3)*2겹</t>
    <phoneticPr fontId="2" type="noConversion"/>
  </si>
  <si>
    <t>40평형, 4Way</t>
    <phoneticPr fontId="2" type="noConversion"/>
  </si>
  <si>
    <t>스튜디오 내 1대 설치</t>
    <phoneticPr fontId="2" type="noConversion"/>
  </si>
  <si>
    <t>빔 프로젝터 설치</t>
    <phoneticPr fontId="2" type="noConversion"/>
  </si>
  <si>
    <t>1대 설치</t>
    <phoneticPr fontId="2" type="noConversion"/>
  </si>
  <si>
    <t>프로젝터 스크린</t>
    <phoneticPr fontId="2" type="noConversion"/>
  </si>
  <si>
    <t>전동  스크린 1개 설치</t>
    <phoneticPr fontId="2" type="noConversion"/>
  </si>
  <si>
    <t>화장실 1대설치</t>
    <phoneticPr fontId="2" type="noConversion"/>
  </si>
  <si>
    <t>화장실 1개</t>
    <phoneticPr fontId="2" type="noConversion"/>
  </si>
  <si>
    <t>휴지걸이</t>
    <phoneticPr fontId="2" type="noConversion"/>
  </si>
  <si>
    <t>원형 도기형,데보라</t>
    <phoneticPr fontId="2" type="noConversion"/>
  </si>
  <si>
    <t>5+10</t>
    <phoneticPr fontId="2" type="noConversion"/>
  </si>
  <si>
    <t>(6*2.4*2)*2겹</t>
    <phoneticPr fontId="2" type="noConversion"/>
  </si>
  <si>
    <t>1220*450*H300 인조대리석상판 T12</t>
    <phoneticPr fontId="2" type="noConversion"/>
  </si>
  <si>
    <t>L500 삼각형 코너형</t>
    <phoneticPr fontId="2" type="noConversion"/>
  </si>
  <si>
    <t>출입보안장치</t>
    <phoneticPr fontId="2" type="noConversion"/>
  </si>
  <si>
    <t>출입통제 보안시스템</t>
    <phoneticPr fontId="2" type="noConversion"/>
  </si>
  <si>
    <t>메인 출입문 세콤 설치</t>
    <phoneticPr fontId="2" type="noConversion"/>
  </si>
  <si>
    <t>메인출입문</t>
    <phoneticPr fontId="2" type="noConversion"/>
  </si>
  <si>
    <t>2475*H3280 상부고정창 T24로이투명 양개형</t>
    <phoneticPr fontId="2" type="noConversion"/>
  </si>
  <si>
    <t>920*H3280 상부고정창 T24로이투명 편개형</t>
    <phoneticPr fontId="2" type="noConversion"/>
  </si>
  <si>
    <t>계단실 보조출입문</t>
    <phoneticPr fontId="2" type="noConversion"/>
  </si>
  <si>
    <t>창고,로스팅룸</t>
    <phoneticPr fontId="2" type="noConversion"/>
  </si>
  <si>
    <t>1층 여 화장실</t>
    <phoneticPr fontId="2" type="noConversion"/>
  </si>
  <si>
    <t>1층 남 화장실</t>
    <phoneticPr fontId="2" type="noConversion"/>
  </si>
  <si>
    <t>1층 화장실복도</t>
    <phoneticPr fontId="2" type="noConversion"/>
  </si>
  <si>
    <t>2층 화장실도어</t>
    <phoneticPr fontId="2" type="noConversion"/>
  </si>
  <si>
    <t>** 출입문</t>
    <phoneticPr fontId="2" type="noConversion"/>
  </si>
  <si>
    <t>방부목 893*H1345(Var)+시건장치</t>
    <phoneticPr fontId="2" type="noConversion"/>
  </si>
  <si>
    <t>** 벽체 보강</t>
    <phoneticPr fontId="2" type="noConversion"/>
  </si>
  <si>
    <t>2개소</t>
    <phoneticPr fontId="2" type="noConversion"/>
  </si>
  <si>
    <t>벽체 보강</t>
    <phoneticPr fontId="2" type="noConversion"/>
  </si>
  <si>
    <t>1500*H2000</t>
    <phoneticPr fontId="2" type="noConversion"/>
  </si>
  <si>
    <t>1개소</t>
    <phoneticPr fontId="2" type="noConversion"/>
  </si>
  <si>
    <t>6375*H535</t>
    <phoneticPr fontId="2" type="noConversion"/>
  </si>
  <si>
    <t>1190*H2300</t>
    <phoneticPr fontId="2" type="noConversion"/>
  </si>
  <si>
    <t>벽체 보강은 선반 설치를 위해 바탕을 보강하는 작업?</t>
    <phoneticPr fontId="2" type="noConversion"/>
  </si>
  <si>
    <t>수량 집계표 (구매물품 산출서)</t>
    <phoneticPr fontId="2" type="noConversion"/>
  </si>
  <si>
    <t>렉선반</t>
    <phoneticPr fontId="2" type="noConversion"/>
  </si>
  <si>
    <t>사무용의자</t>
    <phoneticPr fontId="2" type="noConversion"/>
  </si>
  <si>
    <t>모션데스크</t>
    <phoneticPr fontId="2" type="noConversion"/>
  </si>
  <si>
    <t>1500x400x750</t>
  </si>
  <si>
    <t>1200x400x1950</t>
  </si>
  <si>
    <t>1500x400x1950</t>
  </si>
  <si>
    <t>1200x500x1950</t>
  </si>
  <si>
    <t>690x580x1205</t>
  </si>
  <si>
    <t>1600x700x683~1133</t>
  </si>
  <si>
    <t>FU-01</t>
    <phoneticPr fontId="2" type="noConversion"/>
  </si>
  <si>
    <t>FU-02</t>
  </si>
  <si>
    <t>FU-03</t>
  </si>
  <si>
    <t>FU-04</t>
  </si>
  <si>
    <t>FU-05</t>
  </si>
  <si>
    <t>FU-06</t>
  </si>
  <si>
    <t>커피 그라인더</t>
  </si>
  <si>
    <t>커피 포트</t>
  </si>
  <si>
    <t>온수 디스펜서</t>
  </si>
  <si>
    <t>제빙기</t>
  </si>
  <si>
    <t>2도어 냉장고</t>
  </si>
  <si>
    <t>반찬냉장고</t>
  </si>
  <si>
    <t>1구 인덕션</t>
  </si>
  <si>
    <t>스탠바이미</t>
  </si>
  <si>
    <t>쇼케이스 냉장고</t>
  </si>
  <si>
    <t>간택기</t>
  </si>
  <si>
    <t>식기세척기</t>
  </si>
  <si>
    <t>싱크대</t>
  </si>
  <si>
    <t>로스팅기</t>
  </si>
  <si>
    <t>제연기</t>
  </si>
  <si>
    <t>4도어 냉장고</t>
  </si>
  <si>
    <t>245*430*645</t>
  </si>
  <si>
    <t>269*142*194</t>
  </si>
  <si>
    <t>240*300*555</t>
  </si>
  <si>
    <t>448*400*798</t>
  </si>
  <si>
    <t>1500*700*800</t>
  </si>
  <si>
    <t>900*700*800</t>
  </si>
  <si>
    <t>350*480*140</t>
  </si>
  <si>
    <t>623x398x1265</t>
  </si>
  <si>
    <t>1500x760x1900</t>
  </si>
  <si>
    <t>900*600*800(h)</t>
  </si>
  <si>
    <t>650*650*1350
(오픈시1800)</t>
  </si>
  <si>
    <t>1200*600*800</t>
  </si>
  <si>
    <t>1035x830x1480</t>
  </si>
  <si>
    <t>660×990×1705</t>
  </si>
  <si>
    <t>1260*800*1910</t>
  </si>
  <si>
    <t>KT-01</t>
    <phoneticPr fontId="2" type="noConversion"/>
  </si>
  <si>
    <t>KT-02</t>
  </si>
  <si>
    <t>KT-03</t>
  </si>
  <si>
    <t>KT-04</t>
  </si>
  <si>
    <t>KT-05</t>
  </si>
  <si>
    <t>KT-06</t>
  </si>
  <si>
    <t>KT-07</t>
  </si>
  <si>
    <t>KT-08</t>
  </si>
  <si>
    <t>KT-09</t>
  </si>
  <si>
    <t>KT-10</t>
  </si>
  <si>
    <t>KT-11</t>
  </si>
  <si>
    <t>KT-12</t>
  </si>
  <si>
    <t>KT-13</t>
  </si>
  <si>
    <t>KT-14</t>
  </si>
  <si>
    <t>KT-15</t>
  </si>
  <si>
    <t>편집기</t>
  </si>
  <si>
    <t>허브</t>
  </si>
  <si>
    <t>마우스</t>
  </si>
  <si>
    <t>키보드</t>
  </si>
  <si>
    <t>마우스패드</t>
  </si>
  <si>
    <t>모니터</t>
  </si>
  <si>
    <t>데이터 서버</t>
  </si>
  <si>
    <t>ET-10</t>
  </si>
  <si>
    <t>ET-11</t>
  </si>
  <si>
    <t>ET-12</t>
  </si>
  <si>
    <t>ET-13</t>
  </si>
  <si>
    <t>ET-14</t>
  </si>
  <si>
    <t>ET-15</t>
  </si>
  <si>
    <t>ET-16</t>
  </si>
  <si>
    <t>Mac mini pro M4
M4 pro / 12코어 cpu, 16코어 gpu
24gb  / 512gb / 기가비트 이더넷</t>
  </si>
  <si>
    <t xml:space="preserve">벨킨 connect USB C 7in1 멀티 포트 허브
어댑터 AVC009fqSGY V2
</t>
  </si>
  <si>
    <t>에이티케이 블루투스 게이밍 유무선 마우스 VXE R1 SE+</t>
  </si>
  <si>
    <t>한성컴퓨터 OfficeMaster 유무선 저소음 멤브레인 키보드</t>
  </si>
  <si>
    <t>요이치 게이밍 마우스 장패드 800 x 300 x 5 mm</t>
  </si>
  <si>
    <t>27MS500</t>
  </si>
  <si>
    <t>DS925+ NAS 4bay</t>
  </si>
  <si>
    <t>주방용품</t>
    <phoneticPr fontId="2" type="noConversion"/>
  </si>
  <si>
    <t>가구류</t>
    <phoneticPr fontId="2" type="noConversion"/>
  </si>
  <si>
    <t>기타구매품</t>
    <phoneticPr fontId="2" type="noConversion"/>
  </si>
  <si>
    <t>메인홀주방</t>
    <phoneticPr fontId="2" type="noConversion"/>
  </si>
  <si>
    <t>MD DP룸</t>
    <phoneticPr fontId="2" type="noConversion"/>
  </si>
  <si>
    <t>메인홀금고옆</t>
    <phoneticPr fontId="2" type="noConversion"/>
  </si>
  <si>
    <t>캐드 길이 9.13*0.4폭</t>
    <phoneticPr fontId="2" type="noConversion"/>
  </si>
  <si>
    <t>입구천정</t>
    <phoneticPr fontId="2" type="noConversion"/>
  </si>
  <si>
    <t>타일철거부위+입구천정</t>
    <phoneticPr fontId="2" type="noConversion"/>
  </si>
  <si>
    <t>(9.13*3.4)-(0.92*3.4+2.475*3.4+3.845*2.345)+0.6*3.4*8+3.65</t>
    <phoneticPr fontId="2" type="noConversion"/>
  </si>
  <si>
    <t>외부시설및마감공사</t>
    <phoneticPr fontId="2" type="noConversion"/>
  </si>
  <si>
    <t>구조 보강공사</t>
    <phoneticPr fontId="2" type="noConversion"/>
  </si>
  <si>
    <t>보 탄소섬유 보강</t>
    <phoneticPr fontId="2" type="noConversion"/>
  </si>
  <si>
    <t>보 철판 보강</t>
    <phoneticPr fontId="2" type="noConversion"/>
  </si>
  <si>
    <t>메인홀 가로보 7.36</t>
    <phoneticPr fontId="2" type="noConversion"/>
  </si>
  <si>
    <t>창고 클린룸 세로 보 4.725</t>
    <phoneticPr fontId="2" type="noConversion"/>
  </si>
  <si>
    <t>1층</t>
    <phoneticPr fontId="2" type="noConversion"/>
  </si>
  <si>
    <t>Type1 - G1 300*500 (측면,하부2P All)</t>
    <phoneticPr fontId="2" type="noConversion"/>
  </si>
  <si>
    <t>Type2 - G2 300*500 (T9.0 측면,하부 All)</t>
    <phoneticPr fontId="2" type="noConversion"/>
  </si>
  <si>
    <t>Type3 - G1 300*500 (하부2P All)</t>
    <phoneticPr fontId="2" type="noConversion"/>
  </si>
  <si>
    <t>Type4 - B1 300*500 (단면복원 및 탄소섬유보강 2P All)</t>
    <phoneticPr fontId="2" type="noConversion"/>
  </si>
  <si>
    <t>2층</t>
    <phoneticPr fontId="2" type="noConversion"/>
  </si>
  <si>
    <t>스튜디오 가로보 7.09</t>
    <phoneticPr fontId="2" type="noConversion"/>
  </si>
  <si>
    <t>스튜디오 세로보 2.80</t>
    <phoneticPr fontId="2" type="noConversion"/>
  </si>
  <si>
    <t>수량 집계표 (구조보강공사 산출서)</t>
    <phoneticPr fontId="2" type="noConversion"/>
  </si>
  <si>
    <t>** 커튼박스</t>
    <phoneticPr fontId="2" type="noConversion"/>
  </si>
  <si>
    <t>커튼박스 설치</t>
    <phoneticPr fontId="2" type="noConversion"/>
  </si>
  <si>
    <t>(1.395+1.5)</t>
    <phoneticPr fontId="2" type="noConversion"/>
  </si>
  <si>
    <t>0.95+0.81+0.865+1.2+1.485+1.495+1.495+1.5+1.495</t>
    <phoneticPr fontId="2" type="noConversion"/>
  </si>
  <si>
    <t>3000Ansi 포터블</t>
    <phoneticPr fontId="2" type="noConversion"/>
  </si>
  <si>
    <t>100인치 포터블</t>
    <phoneticPr fontId="2" type="noConversion"/>
  </si>
  <si>
    <t>3단 주방선반 1</t>
    <phoneticPr fontId="2" type="noConversion"/>
  </si>
  <si>
    <t>3단 주방선반 2</t>
  </si>
  <si>
    <t>3단 주방선반 3</t>
  </si>
  <si>
    <t>3단 주방선반 4</t>
  </si>
  <si>
    <t>3단 주방선반 5</t>
  </si>
  <si>
    <t>3단 주방선반 6</t>
  </si>
  <si>
    <t>900*750*H850</t>
    <phoneticPr fontId="2" type="noConversion"/>
  </si>
  <si>
    <t>1500*750*H850</t>
    <phoneticPr fontId="2" type="noConversion"/>
  </si>
  <si>
    <t>950*750*H850</t>
    <phoneticPr fontId="2" type="noConversion"/>
  </si>
  <si>
    <t>400*600*H800</t>
    <phoneticPr fontId="2" type="noConversion"/>
  </si>
  <si>
    <t>960*600*H800</t>
    <phoneticPr fontId="2" type="noConversion"/>
  </si>
  <si>
    <t>355*535*H800</t>
    <phoneticPr fontId="2" type="noConversion"/>
  </si>
  <si>
    <t>주방 내 설치 수량</t>
    <phoneticPr fontId="2" type="noConversion"/>
  </si>
  <si>
    <t>벽체 선반</t>
    <phoneticPr fontId="2" type="noConversion"/>
  </si>
  <si>
    <t>2900*250*T30</t>
    <phoneticPr fontId="2" type="noConversion"/>
  </si>
  <si>
    <t>EA</t>
    <phoneticPr fontId="2" type="noConversion"/>
  </si>
  <si>
    <t>클린룸 씽크대 선반</t>
    <phoneticPr fontId="2" type="noConversion"/>
  </si>
  <si>
    <t>** 벽체 금속마감</t>
    <phoneticPr fontId="2" type="noConversion"/>
  </si>
  <si>
    <t>화구 벽체 금속마감</t>
    <phoneticPr fontId="2" type="noConversion"/>
  </si>
  <si>
    <t>씽크대 벽체 금속마감</t>
    <phoneticPr fontId="2" type="noConversion"/>
  </si>
  <si>
    <t>1750*1890 SST T2.0</t>
    <phoneticPr fontId="2" type="noConversion"/>
  </si>
  <si>
    <t>2900*600 SST T2.0</t>
    <phoneticPr fontId="2" type="noConversion"/>
  </si>
  <si>
    <t>화구 벽면 금속 마감</t>
    <phoneticPr fontId="2" type="noConversion"/>
  </si>
  <si>
    <t>씽크대 벽면 금속 마감</t>
    <phoneticPr fontId="2" type="noConversion"/>
  </si>
  <si>
    <t>화장실 상부창철거</t>
    <phoneticPr fontId="2" type="noConversion"/>
  </si>
  <si>
    <t>화장실 외부 나가는 출입문 상부</t>
    <phoneticPr fontId="2" type="noConversion"/>
  </si>
  <si>
    <t>800*400</t>
    <phoneticPr fontId="2" type="noConversion"/>
  </si>
  <si>
    <t>보 탄소섬유 시트보강</t>
    <phoneticPr fontId="2" type="noConversion"/>
  </si>
  <si>
    <t>300G</t>
    <phoneticPr fontId="2" type="noConversion"/>
  </si>
  <si>
    <t>S=(0.5*2+0.3)*2</t>
    <phoneticPr fontId="2" type="noConversion"/>
  </si>
  <si>
    <t>M2</t>
    <phoneticPr fontId="2" type="noConversion"/>
  </si>
  <si>
    <t>열연강판</t>
    <phoneticPr fontId="2" type="noConversion"/>
  </si>
  <si>
    <t>T9.0 후판</t>
    <phoneticPr fontId="2" type="noConversion"/>
  </si>
  <si>
    <t>S'=S*1.1 강판할증</t>
    <phoneticPr fontId="2" type="noConversion"/>
  </si>
  <si>
    <t>W=S'*70.65Kg</t>
    <phoneticPr fontId="2" type="noConversion"/>
  </si>
  <si>
    <t>Ton</t>
    <phoneticPr fontId="2" type="noConversion"/>
  </si>
  <si>
    <t>강판 타공</t>
    <phoneticPr fontId="2" type="noConversion"/>
  </si>
  <si>
    <t>펀치타공</t>
    <phoneticPr fontId="2" type="noConversion"/>
  </si>
  <si>
    <t>개소</t>
    <phoneticPr fontId="2" type="noConversion"/>
  </si>
  <si>
    <t>앵커볼트</t>
    <phoneticPr fontId="2" type="noConversion"/>
  </si>
  <si>
    <t>M16</t>
    <phoneticPr fontId="2" type="noConversion"/>
  </si>
  <si>
    <t>앵커볼트 설치</t>
    <phoneticPr fontId="2" type="noConversion"/>
  </si>
  <si>
    <t>D16이하</t>
    <phoneticPr fontId="2" type="noConversion"/>
  </si>
  <si>
    <t>에폭시 충진</t>
    <phoneticPr fontId="2" type="noConversion"/>
  </si>
  <si>
    <t>L=4</t>
    <phoneticPr fontId="2" type="noConversion"/>
  </si>
  <si>
    <t>M</t>
    <phoneticPr fontId="2" type="noConversion"/>
  </si>
  <si>
    <t>잡철물 제작 및 설치</t>
    <phoneticPr fontId="2" type="noConversion"/>
  </si>
  <si>
    <t>일반철재</t>
    <phoneticPr fontId="2" type="noConversion"/>
  </si>
  <si>
    <t>W=열연강판 중량 정미량</t>
    <phoneticPr fontId="2" type="noConversion"/>
  </si>
  <si>
    <t>N=5</t>
    <phoneticPr fontId="2" type="noConversion"/>
  </si>
  <si>
    <t>콘크리트면 바탕정리</t>
    <phoneticPr fontId="2" type="noConversion"/>
  </si>
  <si>
    <t>S=0.5*2+0.3</t>
    <phoneticPr fontId="2" type="noConversion"/>
  </si>
  <si>
    <t>S=(0.3)*2</t>
    <phoneticPr fontId="2" type="noConversion"/>
  </si>
  <si>
    <t>N=1</t>
    <phoneticPr fontId="2" type="noConversion"/>
  </si>
  <si>
    <t>창호유리</t>
    <phoneticPr fontId="2" type="noConversion"/>
  </si>
  <si>
    <t>1395*1395 AL, T24 로이투명</t>
    <phoneticPr fontId="2" type="noConversion"/>
  </si>
  <si>
    <t>S=창호면적</t>
    <phoneticPr fontId="2" type="noConversion"/>
  </si>
  <si>
    <t>M2</t>
    <phoneticPr fontId="2" type="noConversion"/>
  </si>
  <si>
    <t>창호유리 설치</t>
    <phoneticPr fontId="2" type="noConversion"/>
  </si>
  <si>
    <t>복층유리 T24이하</t>
    <phoneticPr fontId="2" type="noConversion"/>
  </si>
  <si>
    <t>N=1</t>
    <phoneticPr fontId="2" type="noConversion"/>
  </si>
  <si>
    <t>EA</t>
    <phoneticPr fontId="2" type="noConversion"/>
  </si>
  <si>
    <t>목재창호 설치</t>
    <phoneticPr fontId="2" type="noConversion"/>
  </si>
  <si>
    <t>1M2 이하</t>
    <phoneticPr fontId="2" type="noConversion"/>
  </si>
  <si>
    <t>창호주위 코킹</t>
    <phoneticPr fontId="2" type="noConversion"/>
  </si>
  <si>
    <t>실링마감</t>
    <phoneticPr fontId="2" type="noConversion"/>
  </si>
  <si>
    <t>M</t>
    <phoneticPr fontId="2" type="noConversion"/>
  </si>
  <si>
    <t>L=창호 둘레길이*2양쪽</t>
    <phoneticPr fontId="2" type="noConversion"/>
  </si>
  <si>
    <t>3~6M2 이하</t>
    <phoneticPr fontId="2" type="noConversion"/>
  </si>
  <si>
    <t>1~3M2 이하</t>
    <phoneticPr fontId="2" type="noConversion"/>
  </si>
  <si>
    <t>로이복층유리 T24(5+14+5)</t>
    <phoneticPr fontId="2" type="noConversion"/>
  </si>
  <si>
    <t>로이복층유리 저철분 T24(5+14+5)</t>
    <phoneticPr fontId="2" type="noConversion"/>
  </si>
  <si>
    <t>알루미늄 창호설치</t>
    <phoneticPr fontId="2" type="noConversion"/>
  </si>
  <si>
    <t>창호주위 충전</t>
    <phoneticPr fontId="2" type="noConversion"/>
  </si>
  <si>
    <t>구조용 각형강관</t>
    <phoneticPr fontId="2" type="noConversion"/>
  </si>
  <si>
    <t>40*40*T2.3</t>
    <phoneticPr fontId="2" type="noConversion"/>
  </si>
  <si>
    <t>L=3.845*6+2.33*2</t>
    <phoneticPr fontId="2" type="noConversion"/>
  </si>
  <si>
    <t>잡철물 제작 및 설치</t>
    <phoneticPr fontId="2" type="noConversion"/>
  </si>
  <si>
    <t>경량철재,현장설치</t>
    <phoneticPr fontId="2" type="noConversion"/>
  </si>
  <si>
    <t>W=구조용 각형강관 중량</t>
    <phoneticPr fontId="2" type="noConversion"/>
  </si>
  <si>
    <t>폴딩도어 레일</t>
    <phoneticPr fontId="2" type="noConversion"/>
  </si>
  <si>
    <t>L=3.845*2</t>
    <phoneticPr fontId="2" type="noConversion"/>
  </si>
  <si>
    <t>유리 브라켓</t>
    <phoneticPr fontId="2" type="noConversion"/>
  </si>
  <si>
    <t>L470</t>
    <phoneticPr fontId="2" type="noConversion"/>
  </si>
  <si>
    <t>N=8*2</t>
    <phoneticPr fontId="2" type="noConversion"/>
  </si>
  <si>
    <t>로이복층 강화유리 T24</t>
    <phoneticPr fontId="2" type="noConversion"/>
  </si>
  <si>
    <t>S=3.845*2.33</t>
    <phoneticPr fontId="2" type="noConversion"/>
  </si>
  <si>
    <t>유리주위 코킹</t>
    <phoneticPr fontId="2" type="noConversion"/>
  </si>
  <si>
    <t>강재 창호 설치</t>
    <phoneticPr fontId="2" type="noConversion"/>
  </si>
  <si>
    <t>강재창호 설치</t>
    <phoneticPr fontId="2" type="noConversion"/>
  </si>
  <si>
    <t>N=8</t>
    <phoneticPr fontId="2" type="noConversion"/>
  </si>
  <si>
    <t>Ton</t>
    <phoneticPr fontId="2" type="noConversion"/>
  </si>
  <si>
    <t>금속레일</t>
    <phoneticPr fontId="2" type="noConversion"/>
  </si>
  <si>
    <t>L=3.845*2*8+2.33*4*2</t>
    <phoneticPr fontId="2" type="noConversion"/>
  </si>
  <si>
    <t>6.0~8.0M2이하</t>
  </si>
  <si>
    <t>L=창호 둘레길이</t>
    <phoneticPr fontId="2" type="noConversion"/>
  </si>
  <si>
    <t>L=2.475*5+2.4*4</t>
    <phoneticPr fontId="2" type="noConversion"/>
  </si>
  <si>
    <t>아연도 강판</t>
    <phoneticPr fontId="2" type="noConversion"/>
  </si>
  <si>
    <t>S=1*2.475*2</t>
    <phoneticPr fontId="2" type="noConversion"/>
  </si>
  <si>
    <t>W=아연도 강판 중량</t>
    <phoneticPr fontId="2" type="noConversion"/>
  </si>
  <si>
    <t>강판 가공</t>
    <phoneticPr fontId="2" type="noConversion"/>
  </si>
  <si>
    <t>절단,절곡,면처리</t>
    <phoneticPr fontId="2" type="noConversion"/>
  </si>
  <si>
    <t>S=아연도강판 면적</t>
    <phoneticPr fontId="2" type="noConversion"/>
  </si>
  <si>
    <t>도장면 바탕만들기</t>
    <phoneticPr fontId="2" type="noConversion"/>
  </si>
  <si>
    <t>철재면</t>
    <phoneticPr fontId="2" type="noConversion"/>
  </si>
  <si>
    <t>유성 페인트 칠</t>
    <phoneticPr fontId="2" type="noConversion"/>
  </si>
  <si>
    <t>지정색3회칠</t>
    <phoneticPr fontId="2" type="noConversion"/>
  </si>
  <si>
    <t>S=2.475*2.28</t>
    <phoneticPr fontId="2" type="noConversion"/>
  </si>
  <si>
    <t>L=(2.475*4+2.28*6)*2</t>
    <phoneticPr fontId="2" type="noConversion"/>
  </si>
  <si>
    <t>N=4</t>
    <phoneticPr fontId="2" type="noConversion"/>
  </si>
  <si>
    <t>도어 손잡이</t>
    <phoneticPr fontId="2" type="noConversion"/>
  </si>
  <si>
    <t>지정제품</t>
    <phoneticPr fontId="2" type="noConversion"/>
  </si>
  <si>
    <t>플로어 힌지 설치</t>
    <phoneticPr fontId="2" type="noConversion"/>
  </si>
  <si>
    <t>강화유리문용</t>
    <phoneticPr fontId="2" type="noConversion"/>
  </si>
  <si>
    <t>N=2</t>
    <phoneticPr fontId="2" type="noConversion"/>
  </si>
  <si>
    <t>T1.6</t>
    <phoneticPr fontId="2" type="noConversion"/>
  </si>
  <si>
    <t>L=3.706*2+0.92*4</t>
    <phoneticPr fontId="2" type="noConversion"/>
  </si>
  <si>
    <t>S=0.92*3.28</t>
    <phoneticPr fontId="2" type="noConversion"/>
  </si>
  <si>
    <t>L=(0.92*+3.706*4)*2</t>
    <phoneticPr fontId="2" type="noConversion"/>
  </si>
  <si>
    <t>전체 시공대상지 바닥면적 85</t>
  </si>
  <si>
    <t>벽,3회 붓칠</t>
    <phoneticPr fontId="2" type="noConversion"/>
  </si>
  <si>
    <t>700*H1420 ABS 필름</t>
  </si>
  <si>
    <t>700*H1420 ABS 필름</t>
    <phoneticPr fontId="2" type="noConversion"/>
  </si>
  <si>
    <t>각관길이</t>
    <phoneticPr fontId="2" type="noConversion"/>
  </si>
  <si>
    <t>중량</t>
    <phoneticPr fontId="2" type="noConversion"/>
  </si>
  <si>
    <t>합판</t>
    <phoneticPr fontId="2" type="noConversion"/>
  </si>
  <si>
    <t>냉난방기 실외기</t>
    <phoneticPr fontId="2" type="noConversion"/>
  </si>
  <si>
    <t>멀티 실외기</t>
    <phoneticPr fontId="2" type="noConversion"/>
  </si>
  <si>
    <t>대</t>
    <phoneticPr fontId="2" type="noConversion"/>
  </si>
  <si>
    <t>동관</t>
    <phoneticPr fontId="2" type="noConversion"/>
  </si>
  <si>
    <t>L - Type 19.5mm</t>
    <phoneticPr fontId="2" type="noConversion"/>
  </si>
  <si>
    <t>소켓</t>
    <phoneticPr fontId="2" type="noConversion"/>
  </si>
  <si>
    <t>엘보</t>
    <phoneticPr fontId="2" type="noConversion"/>
  </si>
  <si>
    <t>19.05mm</t>
    <phoneticPr fontId="2" type="noConversion"/>
  </si>
  <si>
    <t>M</t>
  </si>
  <si>
    <t>M</t>
    <phoneticPr fontId="2" type="noConversion"/>
  </si>
  <si>
    <t>EA</t>
    <phoneticPr fontId="2" type="noConversion"/>
  </si>
  <si>
    <t>동관 용접 접합</t>
    <phoneticPr fontId="2" type="noConversion"/>
  </si>
  <si>
    <t>D20</t>
    <phoneticPr fontId="2" type="noConversion"/>
  </si>
  <si>
    <t>개소</t>
    <phoneticPr fontId="2" type="noConversion"/>
  </si>
  <si>
    <t>설치 수량</t>
    <phoneticPr fontId="2" type="noConversion"/>
  </si>
  <si>
    <t>05-01</t>
    <phoneticPr fontId="2" type="noConversion"/>
  </si>
  <si>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</si>
  <si>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</si>
  <si>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</si>
  <si>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</si>
  <si>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</si>
  <si>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</si>
  <si>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</si>
  <si>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</si>
  <si>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</si>
  <si>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</si>
  <si>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</si>
  <si>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</si>
  <si>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</si>
  <si>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</si>
  <si>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</si>
  <si>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</si>
  <si>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</si>
  <si>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</si>
  <si>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</si>
  <si>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</si>
  <si>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</si>
  <si>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</si>
  <si>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</si>
  <si>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</si>
  <si>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</si>
  <si>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</si>
  <si>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M-Bar @450</t>
    <phoneticPr fontId="2" type="noConversion"/>
  </si>
  <si>
    <t>스테인리스 덕트 설치</t>
    <phoneticPr fontId="2" type="noConversion"/>
  </si>
  <si>
    <t>T1.0</t>
    <phoneticPr fontId="2" type="noConversion"/>
  </si>
  <si>
    <t>M2</t>
    <phoneticPr fontId="2" type="noConversion"/>
  </si>
  <si>
    <t>0.9*0.745*2+0.9*0.6*2+0.745*0.6*2</t>
    <phoneticPr fontId="2" type="noConversion"/>
  </si>
  <si>
    <t>스파이럴 덕트 설치</t>
  </si>
  <si>
    <t>스파이럴 덕트 설치</t>
    <phoneticPr fontId="2" type="noConversion"/>
  </si>
  <si>
    <t>D150</t>
    <phoneticPr fontId="2" type="noConversion"/>
  </si>
  <si>
    <t>10미터</t>
    <phoneticPr fontId="2" type="noConversion"/>
  </si>
  <si>
    <t>총괄 집계표</t>
    <phoneticPr fontId="75" type="noConversion"/>
  </si>
  <si>
    <t>공 종 명</t>
  </si>
  <si>
    <t>재 료 비</t>
  </si>
  <si>
    <t>노 무 비</t>
  </si>
  <si>
    <t>경    비</t>
  </si>
  <si>
    <t>합    계</t>
  </si>
  <si>
    <t>비 고</t>
  </si>
  <si>
    <t>단 가</t>
  </si>
  <si>
    <t>금 액</t>
  </si>
  <si>
    <t>할 증</t>
  </si>
  <si>
    <t>화폐변환</t>
  </si>
  <si>
    <t>OP값</t>
  </si>
  <si>
    <t>EQ</t>
  </si>
  <si>
    <t>LA</t>
  </si>
  <si>
    <t>MA</t>
  </si>
  <si>
    <t>금액계상</t>
  </si>
  <si>
    <t>김제시 죽산면 죽산로126(구 새마을 금고)내·외부공사</t>
  </si>
  <si>
    <t>01. 구조보강공사</t>
  </si>
  <si>
    <t>식</t>
  </si>
  <si>
    <t>10</t>
  </si>
  <si>
    <t>A01</t>
  </si>
  <si>
    <t>02. 외부공사</t>
  </si>
  <si>
    <t>20</t>
  </si>
  <si>
    <t>A02</t>
  </si>
  <si>
    <t>03. 내부공사</t>
  </si>
  <si>
    <t>30</t>
  </si>
  <si>
    <t>A03</t>
  </si>
  <si>
    <t>04. 구매물품</t>
  </si>
  <si>
    <t>40</t>
  </si>
  <si>
    <t>*</t>
  </si>
  <si>
    <t>A04</t>
  </si>
  <si>
    <t>50</t>
  </si>
  <si>
    <t>60</t>
  </si>
  <si>
    <t>70</t>
  </si>
  <si>
    <t>80</t>
  </si>
  <si>
    <t>90</t>
  </si>
  <si>
    <t>100</t>
  </si>
  <si>
    <t>110</t>
  </si>
  <si>
    <t>120</t>
  </si>
  <si>
    <t>130</t>
  </si>
  <si>
    <t>140</t>
  </si>
  <si>
    <t xml:space="preserve">MA+ = </t>
  </si>
  <si>
    <t xml:space="preserve">MA = </t>
  </si>
  <si>
    <t>직  접  공  사  비</t>
  </si>
  <si>
    <t>150</t>
  </si>
  <si>
    <t>F</t>
  </si>
  <si>
    <t xml:space="preserve">MA = MA(1, -1,140) _x000D_
LA = LA(1, -1,140) _x000D_
EQ = EQ(1, -1,140) </t>
  </si>
  <si>
    <t xml:space="preserve">LA+ = </t>
  </si>
  <si>
    <t xml:space="preserve">LA = </t>
  </si>
  <si>
    <t>내역서</t>
  </si>
  <si>
    <t>보 탄소섬유 보강</t>
  </si>
  <si>
    <t>Type1 - G1 300*500 (측면,하부2P All)</t>
  </si>
  <si>
    <t>_0001</t>
  </si>
  <si>
    <t>T</t>
  </si>
  <si>
    <t>보 철판 보강</t>
  </si>
  <si>
    <t>Type2 - G2 300*500 (T9.0 측면,하부 All)</t>
  </si>
  <si>
    <t>_0002</t>
  </si>
  <si>
    <t>Type3 - G1 300*500 (하부2P All)</t>
  </si>
  <si>
    <t>_0003</t>
  </si>
  <si>
    <t>Type4 - B1 300*500 (단면복원 및 탄소섬유보강 2P All)</t>
  </si>
  <si>
    <t>_0004</t>
  </si>
  <si>
    <t>02-01. 가설공사</t>
  </si>
  <si>
    <t>A02-01</t>
  </si>
  <si>
    <t>02-02. 철거공사</t>
  </si>
  <si>
    <t>A02-02</t>
  </si>
  <si>
    <t>02-03. 외부시설및마감공사</t>
  </si>
  <si>
    <t>A02-03</t>
  </si>
  <si>
    <t>02-04. 창호공사</t>
  </si>
  <si>
    <t>A02-04</t>
  </si>
  <si>
    <t>02-05. 폐기물 처리비</t>
  </si>
  <si>
    <t>합산 별도</t>
  </si>
  <si>
    <t>A02-05</t>
  </si>
  <si>
    <t>교통통제 및 안전처리</t>
  </si>
  <si>
    <t>안전시설물 설치</t>
  </si>
  <si>
    <t>T1-1-1/1</t>
  </si>
  <si>
    <t>_0011</t>
  </si>
  <si>
    <t>_0012</t>
  </si>
  <si>
    <t>_0013</t>
  </si>
  <si>
    <t>화장실 상부창 철거</t>
  </si>
  <si>
    <t>800*400</t>
  </si>
  <si>
    <t>_0014</t>
  </si>
  <si>
    <t>_0015</t>
  </si>
  <si>
    <t>_0016</t>
  </si>
  <si>
    <t>_0017</t>
  </si>
  <si>
    <t>_0018</t>
  </si>
  <si>
    <t>_0019</t>
  </si>
  <si>
    <t>_0020</t>
  </si>
  <si>
    <t>_0021</t>
  </si>
  <si>
    <t>_0022</t>
  </si>
  <si>
    <t>_0023</t>
  </si>
  <si>
    <t>벽타일 철거</t>
  </si>
  <si>
    <t>_0024</t>
  </si>
  <si>
    <t>조적벽 철거/헐기</t>
  </si>
  <si>
    <t>벽체</t>
  </si>
  <si>
    <t>_0025</t>
  </si>
  <si>
    <t>폐기물상차(혼합건설폐기물)</t>
  </si>
  <si>
    <t>24톤암롤, 30km</t>
  </si>
  <si>
    <t>160</t>
  </si>
  <si>
    <t>ZZ64</t>
  </si>
  <si>
    <t>170</t>
  </si>
  <si>
    <t>콘크리트 면정리</t>
  </si>
  <si>
    <t>바탕 연마기정리</t>
  </si>
  <si>
    <t>_0026</t>
  </si>
  <si>
    <t>목재도어 설치</t>
  </si>
  <si>
    <t>방부목 900*2100</t>
  </si>
  <si>
    <t>_0027</t>
  </si>
  <si>
    <t>금속 어닝 설치</t>
  </si>
  <si>
    <t>L3845*510*H1030</t>
  </si>
  <si>
    <t>_0030</t>
  </si>
  <si>
    <t>시스템 고정창호</t>
  </si>
  <si>
    <t>395*1395 AL, T24 로이투명</t>
  </si>
  <si>
    <t>_0031</t>
  </si>
  <si>
    <t>1495*2490 AL, T24 로이투명</t>
  </si>
  <si>
    <t>_0032</t>
  </si>
  <si>
    <t>시스템 미서기창호</t>
  </si>
  <si>
    <t>1500*2085 AL, T24 로이투명</t>
  </si>
  <si>
    <t>_0033</t>
  </si>
  <si>
    <t>1495*2085 AL, T24 로이투명</t>
  </si>
  <si>
    <t>_0034</t>
  </si>
  <si>
    <t>1485*2085 AL, T24 로이투명</t>
  </si>
  <si>
    <t>_0035</t>
  </si>
  <si>
    <t>1200*2490 AL, T24 로이투명</t>
  </si>
  <si>
    <t>_0036</t>
  </si>
  <si>
    <t>시스템 여닫이 도어</t>
  </si>
  <si>
    <t>950*2150 AL, T24 로이투명</t>
  </si>
  <si>
    <t>_0037</t>
  </si>
  <si>
    <t>시스템 슬라이딩 도어</t>
  </si>
  <si>
    <t>1500*1495 AL, T24 로이투명</t>
  </si>
  <si>
    <t>_0038</t>
  </si>
  <si>
    <t>900*890 AL, T24 로이투명</t>
  </si>
  <si>
    <t>_0039</t>
  </si>
  <si>
    <t>785*390 AL, T24 로이투명</t>
  </si>
  <si>
    <t>_0040</t>
  </si>
  <si>
    <t>시스템 프로젝트창호</t>
  </si>
  <si>
    <t>865*925 AL, T24 로이투명</t>
  </si>
  <si>
    <t>_0041</t>
  </si>
  <si>
    <t>810*840 AL, T24 로이투명</t>
  </si>
  <si>
    <t>_0042</t>
  </si>
  <si>
    <t>프레임리스 폴딩도어</t>
  </si>
  <si>
    <t>3845*H2330 상부고정창 T24 로이투명</t>
  </si>
  <si>
    <t>_0043</t>
  </si>
  <si>
    <t>강화유리문도어</t>
  </si>
  <si>
    <t>2475*H3280 상부고정창 T24로이투명 양개형</t>
  </si>
  <si>
    <t>_0044</t>
  </si>
  <si>
    <t>920*H3280 상부고정창 T24로이투명 편개형</t>
  </si>
  <si>
    <t>_0045</t>
  </si>
  <si>
    <t>외부 여닫이 설치</t>
  </si>
  <si>
    <t>방부목 893*H1345(Var)+시건장치</t>
  </si>
  <si>
    <t>_0046</t>
  </si>
  <si>
    <t>운반트럭</t>
  </si>
  <si>
    <t>2.5 ton</t>
  </si>
  <si>
    <t>HR</t>
  </si>
  <si>
    <t>E000006020025000001</t>
  </si>
  <si>
    <t>고소작업차</t>
  </si>
  <si>
    <t>5 ton</t>
  </si>
  <si>
    <t>180</t>
  </si>
  <si>
    <t>E00002106000500000</t>
  </si>
  <si>
    <t>190</t>
  </si>
  <si>
    <t>폐기물 운반(건설폐재류)</t>
  </si>
  <si>
    <t>24톤덤프, 30km</t>
  </si>
  <si>
    <t>ZZ71</t>
  </si>
  <si>
    <t>폐기물 운반(혼합건설폐기물)</t>
  </si>
  <si>
    <t>ZZ74</t>
  </si>
  <si>
    <t>폐기물 처리비</t>
  </si>
  <si>
    <t>폐 콘크리트</t>
  </si>
  <si>
    <t>ZZ81</t>
  </si>
  <si>
    <t>혼합건설폐기물(불연+가연)</t>
  </si>
  <si>
    <t>ZZ86</t>
  </si>
  <si>
    <t>02-01. 1층 내부공사</t>
  </si>
  <si>
    <t>A03-01</t>
  </si>
  <si>
    <t>02-02. 2층 내부공사</t>
  </si>
  <si>
    <t>A03-02</t>
  </si>
  <si>
    <t>03-01. 1층 내부공사</t>
  </si>
  <si>
    <t>03-01-01. 공통 가설공사</t>
  </si>
  <si>
    <t>A03-01-01</t>
  </si>
  <si>
    <t>03-01-02. 철거공사</t>
  </si>
  <si>
    <t>A03-01-02</t>
  </si>
  <si>
    <t>03-01-03. 인테리어공사</t>
  </si>
  <si>
    <t>A03-01-03</t>
  </si>
  <si>
    <t>03-01-04. 냉난방 공사</t>
  </si>
  <si>
    <t>A03-01-04</t>
  </si>
  <si>
    <t>03-01-05. 설비공사</t>
  </si>
  <si>
    <t>A03-01-05</t>
  </si>
  <si>
    <t>03-01-06. 가구공사</t>
  </si>
  <si>
    <t>A03-01-06</t>
  </si>
  <si>
    <t>03-01-07. 폐기물 처리비</t>
  </si>
  <si>
    <t>A03-01-07</t>
  </si>
  <si>
    <t>먹매김(일반-학교,공장,사무실등)</t>
  </si>
  <si>
    <t>구조부 먹매김</t>
  </si>
  <si>
    <t>P4-1-1/4</t>
  </si>
  <si>
    <t>리모델링 현장(준공청소제외)</t>
  </si>
  <si>
    <t>R2-11-2/7</t>
  </si>
  <si>
    <t>비닐 깔기</t>
  </si>
  <si>
    <t>R2-11-1/0</t>
  </si>
  <si>
    <t>오염제거,준공청소, 뒷정리</t>
  </si>
  <si>
    <t>R2-11-3/1</t>
  </si>
  <si>
    <t>강관 조립말비계(이동식)설치 및 해체</t>
  </si>
  <si>
    <t>높이2미터(3개월이내)</t>
  </si>
  <si>
    <t>R2-11-23</t>
  </si>
  <si>
    <t>콘크리트 절단</t>
  </si>
  <si>
    <t>콘크리트</t>
  </si>
  <si>
    <t>SE0039-4</t>
  </si>
  <si>
    <t>콘크리트구조물 헐기/깨기(인력)</t>
  </si>
  <si>
    <t>철근콘크리트</t>
  </si>
  <si>
    <t>PP12-1-1-2</t>
  </si>
  <si>
    <t>PP12-2-6/1</t>
  </si>
  <si>
    <t>경량벽체철골틀 철거</t>
  </si>
  <si>
    <t>PP12-2-5/1</t>
  </si>
  <si>
    <t>내부집기 등 기타 철거</t>
  </si>
  <si>
    <t>철거공 품 적용</t>
  </si>
  <si>
    <t>인</t>
  </si>
  <si>
    <t>R2-11-26</t>
  </si>
  <si>
    <t>보통인부 품 적용</t>
  </si>
  <si>
    <t>R2-11-25</t>
  </si>
  <si>
    <t>1) 벽체공사</t>
  </si>
  <si>
    <t>콘크리트면 바탕정리</t>
  </si>
  <si>
    <t>바닥 연마기 면정리 3.6m이하</t>
  </si>
  <si>
    <t>P9-2-1/1</t>
  </si>
  <si>
    <t>재도장시 바탕처리</t>
  </si>
  <si>
    <t>콘크리트,모르타르면</t>
  </si>
  <si>
    <t>PP12-3-1/1</t>
  </si>
  <si>
    <t>지정색 스터코 칠</t>
  </si>
  <si>
    <t>벽, 무늬코트칠</t>
  </si>
  <si>
    <t>PP11-3-1/1</t>
  </si>
  <si>
    <t>비닐 페인트 칠</t>
  </si>
  <si>
    <t>벽면, 2회칠,롤러칠</t>
  </si>
  <si>
    <t>PP11-2-2/1</t>
  </si>
  <si>
    <t>무광 투명 코팅 칠</t>
  </si>
  <si>
    <t>벽2회,메페플로어</t>
  </si>
  <si>
    <t>PP11-2-8/1</t>
  </si>
  <si>
    <t>도장면 바탕만들기</t>
  </si>
  <si>
    <t>철재면</t>
  </si>
  <si>
    <t>PP11-1-3/1</t>
  </si>
  <si>
    <t>유성페인트 칠</t>
  </si>
  <si>
    <t>철재면 3회칠</t>
  </si>
  <si>
    <t>PP11-2-4/100</t>
  </si>
  <si>
    <t>벽 타일붙임</t>
  </si>
  <si>
    <t>45*195 버건디 TL-01</t>
  </si>
  <si>
    <t>_0051</t>
  </si>
  <si>
    <t>100*100 옐로우 TL-02</t>
  </si>
  <si>
    <t>_0052</t>
  </si>
  <si>
    <t>커튼박스 설치</t>
  </si>
  <si>
    <t>지정 커튼박스</t>
  </si>
  <si>
    <t>P4-2-5/1</t>
  </si>
  <si>
    <t>미닫이 도어</t>
  </si>
  <si>
    <t>820*H2070 ABS 필름</t>
  </si>
  <si>
    <t>_0061</t>
  </si>
  <si>
    <t>여닫이 도어</t>
  </si>
  <si>
    <t>690*H1795 ABS 필름</t>
  </si>
  <si>
    <t>_0062</t>
  </si>
  <si>
    <t>695*H1795 ABS 필름</t>
  </si>
  <si>
    <t>_0063</t>
  </si>
  <si>
    <t>_0064</t>
  </si>
  <si>
    <t>벽체 보강</t>
  </si>
  <si>
    <t>1500*H2000</t>
  </si>
  <si>
    <t>_0071</t>
  </si>
  <si>
    <t>6375*H535</t>
  </si>
  <si>
    <t>_0072</t>
  </si>
  <si>
    <t>1190*H2300</t>
  </si>
  <si>
    <t>_0073</t>
  </si>
  <si>
    <t>화구 벽체 금속마감</t>
  </si>
  <si>
    <t>1750*1890 SST T2.0</t>
  </si>
  <si>
    <t>_0076</t>
  </si>
  <si>
    <t>씽크대 벽체 금속마감</t>
  </si>
  <si>
    <t>2900*600 SST T2.0</t>
  </si>
  <si>
    <t>200</t>
  </si>
  <si>
    <t>_0077</t>
  </si>
  <si>
    <t>210</t>
  </si>
  <si>
    <t>2) 천정공사</t>
  </si>
  <si>
    <t>220</t>
  </si>
  <si>
    <t>재도장시 바탕처리(천정)</t>
  </si>
  <si>
    <t>230</t>
  </si>
  <si>
    <t>PP12-3-1/2</t>
  </si>
  <si>
    <t>천정, 2회칠,롤러칠</t>
  </si>
  <si>
    <t>240</t>
  </si>
  <si>
    <t>PP11-2-2/2</t>
  </si>
  <si>
    <t>경량천장철골틀 설치(재료+노무)</t>
  </si>
  <si>
    <t>M-Bar 바간격 450mm</t>
  </si>
  <si>
    <t>250</t>
  </si>
  <si>
    <t>P8-2-4/51</t>
  </si>
  <si>
    <t>석고판 설치(나사고정)</t>
  </si>
  <si>
    <t>천장, 바탕용2겹 붙임</t>
  </si>
  <si>
    <t>260</t>
  </si>
  <si>
    <t>P5-2-3/2</t>
  </si>
  <si>
    <t>(목재)합판 설치</t>
  </si>
  <si>
    <t>천정,목재합판 T5.0</t>
  </si>
  <si>
    <t>270</t>
  </si>
  <si>
    <t>P4-2-3/0</t>
  </si>
  <si>
    <t>목재면(천장)</t>
  </si>
  <si>
    <t>280</t>
  </si>
  <si>
    <t>PP11-1-4/2</t>
  </si>
  <si>
    <t>목재 전용도료칠</t>
  </si>
  <si>
    <t>천정, 투명,붓칠 2회</t>
  </si>
  <si>
    <t>290</t>
  </si>
  <si>
    <t>PP11-2-7/2</t>
  </si>
  <si>
    <t>천정 원목메지</t>
  </si>
  <si>
    <t>93*60 2단</t>
  </si>
  <si>
    <t>310</t>
  </si>
  <si>
    <t>P8-1-5/3</t>
  </si>
  <si>
    <t>30*60 1단</t>
  </si>
  <si>
    <t>320</t>
  </si>
  <si>
    <t>P8-1-5/4</t>
  </si>
  <si>
    <t>천장점검구 설치</t>
  </si>
  <si>
    <t>금속 300*300</t>
  </si>
  <si>
    <t>330</t>
  </si>
  <si>
    <t>P8-1-6/1</t>
  </si>
  <si>
    <t>340</t>
  </si>
  <si>
    <t>3) 바닥공사</t>
  </si>
  <si>
    <t>350</t>
  </si>
  <si>
    <t>입구 바닥계단</t>
  </si>
  <si>
    <t>2314*1530*H792 / 3단 각관+합판</t>
  </si>
  <si>
    <t>360</t>
  </si>
  <si>
    <t>_0080</t>
  </si>
  <si>
    <t>370</t>
  </si>
  <si>
    <t>천장형 에어컨 설치</t>
  </si>
  <si>
    <t>30평형, 4Wya</t>
  </si>
  <si>
    <t>S8-2-4/2</t>
  </si>
  <si>
    <t>25평형, 4Wya</t>
  </si>
  <si>
    <t>S8-2-4/3</t>
  </si>
  <si>
    <t>벽걸이 에어컨 설치</t>
  </si>
  <si>
    <t>벽걸이형</t>
  </si>
  <si>
    <t>S8-2-4/5</t>
  </si>
  <si>
    <t>동관(L)</t>
  </si>
  <si>
    <t>19.05 x 1.07㎜</t>
  </si>
  <si>
    <t>ｍ</t>
  </si>
  <si>
    <t>M5103009</t>
  </si>
  <si>
    <t>엘보(동관이음쇠)</t>
  </si>
  <si>
    <t>19A (5/8")19.05㎜</t>
  </si>
  <si>
    <t>M5106011</t>
  </si>
  <si>
    <t>소켓(동관이음쇠)</t>
  </si>
  <si>
    <t>M5115011</t>
  </si>
  <si>
    <t>동관 용접접합</t>
  </si>
  <si>
    <t>ø20</t>
  </si>
  <si>
    <t>S1-2-1/4</t>
  </si>
  <si>
    <t>환풍기 설치</t>
  </si>
  <si>
    <t>205*205*H165 싸이클론</t>
  </si>
  <si>
    <t>개</t>
  </si>
  <si>
    <t>S4-2-2/1</t>
  </si>
  <si>
    <t>485*334*149 휴젠트</t>
  </si>
  <si>
    <t>S4-2-2/3</t>
  </si>
  <si>
    <t>PVC 파이프 (수도용)</t>
  </si>
  <si>
    <t>D25mm</t>
  </si>
  <si>
    <t>MZZ1011427</t>
  </si>
  <si>
    <t>PVC 엘보</t>
  </si>
  <si>
    <t>MZZ1011523</t>
  </si>
  <si>
    <t>PVC 티이</t>
  </si>
  <si>
    <t>MZZ1011473</t>
  </si>
  <si>
    <t>PVC 소켓</t>
  </si>
  <si>
    <t>MZZ1011442</t>
  </si>
  <si>
    <t>소켓 접착제 접합 및 배관</t>
  </si>
  <si>
    <t>경질관 D25</t>
  </si>
  <si>
    <t>S1-5-2/05</t>
  </si>
  <si>
    <t>PVC파이프(일반관),광주</t>
  </si>
  <si>
    <t>D=50mm(VG2)</t>
  </si>
  <si>
    <t>MZZ1002902</t>
  </si>
  <si>
    <t>D50mm</t>
  </si>
  <si>
    <t>MZZ1011527</t>
  </si>
  <si>
    <t>MZZ1011446</t>
  </si>
  <si>
    <t>MZZ1011476</t>
  </si>
  <si>
    <t>S1-5-2/09</t>
  </si>
  <si>
    <t>전기온수기(벽걸이형)설치</t>
  </si>
  <si>
    <t>15L</t>
  </si>
  <si>
    <t>S8-4-2/1</t>
  </si>
  <si>
    <t>100L</t>
  </si>
  <si>
    <t>S8-4-2/3</t>
  </si>
  <si>
    <t>씽크대 설치</t>
  </si>
  <si>
    <t>카운터형 W800</t>
  </si>
  <si>
    <t>S7-1-4/8</t>
  </si>
  <si>
    <t>씽크수전 설치</t>
  </si>
  <si>
    <t>거위목</t>
  </si>
  <si>
    <t>S7-2-4/1</t>
  </si>
  <si>
    <t>세면기 설치</t>
  </si>
  <si>
    <t>스테인리스</t>
  </si>
  <si>
    <t>S7-1-4/1</t>
  </si>
  <si>
    <t>세면기 수전설치</t>
  </si>
  <si>
    <t>니켈 원홀 수전</t>
  </si>
  <si>
    <t>S7-2-3/2</t>
  </si>
  <si>
    <t>도기형 세면기</t>
  </si>
  <si>
    <t>S7-1-3/1</t>
  </si>
  <si>
    <t>니켈 탑볼 수전</t>
  </si>
  <si>
    <t>S7-2-3/1</t>
  </si>
  <si>
    <t>청소용 수전설치</t>
  </si>
  <si>
    <t>스프레이건,미니건</t>
  </si>
  <si>
    <t>205</t>
  </si>
  <si>
    <t>S7-2-5/1</t>
  </si>
  <si>
    <t>바닥 배수구 설치</t>
  </si>
  <si>
    <t>육가 150*150 실버</t>
  </si>
  <si>
    <t>S7-3-3/3</t>
  </si>
  <si>
    <t>대변기(양변기) 설치</t>
  </si>
  <si>
    <t>비데일체형</t>
  </si>
  <si>
    <t>S7-1-2/2</t>
  </si>
  <si>
    <t>휴지걸이 설치</t>
  </si>
  <si>
    <t>S7-3-2/3</t>
  </si>
  <si>
    <t>출입 보안장치</t>
  </si>
  <si>
    <t>출입 통제 보안시스템</t>
  </si>
  <si>
    <t>Set</t>
  </si>
  <si>
    <t>MZZ9000084</t>
  </si>
  <si>
    <t>스테인리스 덕트설치</t>
  </si>
  <si>
    <t>각형 T1.0</t>
  </si>
  <si>
    <t>S2-1-3-04</t>
  </si>
  <si>
    <t>T0.6* Ø200</t>
  </si>
  <si>
    <t>S2-1-1/1</t>
  </si>
  <si>
    <t>메인홀 카운터</t>
  </si>
  <si>
    <t>5700*850*H1050 합판 위 도색</t>
  </si>
  <si>
    <t>MZZ9000116</t>
  </si>
  <si>
    <t>가마솥 선반</t>
  </si>
  <si>
    <t>1500*600*H950 STS 구조,판넬</t>
  </si>
  <si>
    <t>MZZ9000117</t>
  </si>
  <si>
    <t>벽측 수납장</t>
  </si>
  <si>
    <t>6375*600*H950+2160*250*H950 목재위도색</t>
  </si>
  <si>
    <t>MZZ9000118</t>
  </si>
  <si>
    <t>벽측 수납장선반</t>
  </si>
  <si>
    <t>6375*190*T30 목재위도색</t>
  </si>
  <si>
    <t>MZZ9000119</t>
  </si>
  <si>
    <t>쇼케이스</t>
  </si>
  <si>
    <t>2720*300*H2450 목재</t>
  </si>
  <si>
    <t>MZZ9000120</t>
  </si>
  <si>
    <t>세면대장</t>
  </si>
  <si>
    <t>1650*550*H200</t>
  </si>
  <si>
    <t>MZZ9000121</t>
  </si>
  <si>
    <t>화장실선반</t>
  </si>
  <si>
    <t>730*300*T30</t>
  </si>
  <si>
    <t>MZZ9000122</t>
  </si>
  <si>
    <t>3단 주방선반 1</t>
  </si>
  <si>
    <t>900*750*H850</t>
  </si>
  <si>
    <t>MZZ9000123</t>
  </si>
  <si>
    <t>1500*750*H850</t>
  </si>
  <si>
    <t>MZZ9000124</t>
  </si>
  <si>
    <t>950*750*H850</t>
  </si>
  <si>
    <t>MZZ9000125</t>
  </si>
  <si>
    <t>400*600*H800</t>
  </si>
  <si>
    <t>MZZ9000126</t>
  </si>
  <si>
    <t>960*600*H800</t>
  </si>
  <si>
    <t>MZZ9000127</t>
  </si>
  <si>
    <t>355*535*H800</t>
  </si>
  <si>
    <t>MZZ9000128</t>
  </si>
  <si>
    <t>벽체 선반</t>
  </si>
  <si>
    <t>2900*250*T30</t>
  </si>
  <si>
    <t>MZZ9000129</t>
  </si>
  <si>
    <t>03-02. 2층 내부공사</t>
  </si>
  <si>
    <t>A03-02-01</t>
  </si>
  <si>
    <t>A03-02-02</t>
  </si>
  <si>
    <t>A03-02-03</t>
  </si>
  <si>
    <t>A03-02-04</t>
  </si>
  <si>
    <t>A03-02-05</t>
  </si>
  <si>
    <t>A03-02-06</t>
  </si>
  <si>
    <t>A03-02-07</t>
  </si>
  <si>
    <t>여닫이/1.0~3.0M2이하</t>
  </si>
  <si>
    <t>PP10-1-1/20</t>
  </si>
  <si>
    <t>원목기둥 설치</t>
  </si>
  <si>
    <t>D90*H3000</t>
  </si>
  <si>
    <t>MZZ9000025</t>
  </si>
  <si>
    <t>칸막이 벽체틀 설치</t>
  </si>
  <si>
    <t>90*90 각재틀</t>
  </si>
  <si>
    <t>P4-2-2/1</t>
  </si>
  <si>
    <t>T4.5 벽체,오징어합판</t>
  </si>
  <si>
    <t>P4-2-3/1</t>
  </si>
  <si>
    <t>바닥 가공합판 붙임</t>
  </si>
  <si>
    <t>T18.0 CNC가공합판</t>
  </si>
  <si>
    <t>MZZ9000027</t>
  </si>
  <si>
    <t>금속 판넬 벽 설치</t>
  </si>
  <si>
    <t>골강판 T0.5 무광</t>
  </si>
  <si>
    <t>85</t>
  </si>
  <si>
    <t>PP10-4-2/3</t>
  </si>
  <si>
    <t>D160*H3000</t>
  </si>
  <si>
    <t>MZZ9000026</t>
  </si>
  <si>
    <t>타일붙임(벽면-떠붙이기)</t>
  </si>
  <si>
    <t>61.5*188.5 스카이블루 TL-03</t>
  </si>
  <si>
    <t>P3-1-1/13</t>
  </si>
  <si>
    <t>685*H1880 ABS 필름</t>
  </si>
  <si>
    <t>_0065</t>
  </si>
  <si>
    <t>창고 출입문</t>
  </si>
  <si>
    <t>777*2050 금속, 문틀포함</t>
  </si>
  <si>
    <t>_0066</t>
  </si>
  <si>
    <t>빔 프로젝터 설치</t>
  </si>
  <si>
    <t>3000Ansi 포터블</t>
  </si>
  <si>
    <t>Z08-07-11-20</t>
  </si>
  <si>
    <t>프로젝터 스크린</t>
  </si>
  <si>
    <t>윤씨네 CLR-PEH 초단초점 전동 포터블 텐션 빔스크린 가정용 홈시어터 256.4cm(100),</t>
  </si>
  <si>
    <t>MZZ9000042</t>
  </si>
  <si>
    <t>마루틀 설치</t>
  </si>
  <si>
    <t>미송각재 30*30</t>
  </si>
  <si>
    <t>300</t>
  </si>
  <si>
    <t>P4-1-2/1</t>
  </si>
  <si>
    <t>마루바탕 설치</t>
  </si>
  <si>
    <t>장선위 합판깔기 T12</t>
  </si>
  <si>
    <t>P4-1-3/1</t>
  </si>
  <si>
    <t>40평형, 4Wya</t>
  </si>
  <si>
    <t>S8-2-4/1</t>
  </si>
  <si>
    <t>원형 도기형, 데보라</t>
  </si>
  <si>
    <t>S7-1-3/2</t>
  </si>
  <si>
    <t>스튜디오 아트월</t>
  </si>
  <si>
    <t>3745*T200*H3000</t>
  </si>
  <si>
    <t>MZZ9000131</t>
  </si>
  <si>
    <t>1220*450*H300 인조대리석상판 T12</t>
  </si>
  <si>
    <t>MZZ9000132</t>
  </si>
  <si>
    <t>L500 삼각형 코너형</t>
  </si>
  <si>
    <t>MZZ9000133</t>
  </si>
  <si>
    <t>04-01. 가구류</t>
  </si>
  <si>
    <t>A04-01</t>
  </si>
  <si>
    <t>04-02. 주방용품</t>
  </si>
  <si>
    <t>A04-02</t>
  </si>
  <si>
    <t>04-03. 기타구매품</t>
  </si>
  <si>
    <t>A04-03</t>
  </si>
  <si>
    <t>렉선반</t>
  </si>
  <si>
    <t>MZZ9000091</t>
  </si>
  <si>
    <t>MZZ9000092</t>
  </si>
  <si>
    <t>MZZ9000093</t>
  </si>
  <si>
    <t>MZZ9000094</t>
  </si>
  <si>
    <t>사무용 의자</t>
  </si>
  <si>
    <t>MZZ9000095</t>
  </si>
  <si>
    <t>모션데스크 책상</t>
  </si>
  <si>
    <t>MZZ9000096</t>
  </si>
  <si>
    <t>MAZZER ZM 일렉트로닉</t>
  </si>
  <si>
    <t>MZZ9000101</t>
  </si>
  <si>
    <t>BALMUDA The Pot
(White)</t>
  </si>
  <si>
    <t>MZZ9000102</t>
  </si>
  <si>
    <t>나이스3 NS-3000 핫워터디스펜서</t>
  </si>
  <si>
    <t>MZZ9000103</t>
  </si>
  <si>
    <t>21센추리 업소용제빙기 50KG
ICE-50K</t>
  </si>
  <si>
    <t>MZZ9000104</t>
  </si>
  <si>
    <t>우성 업소용 냉장고 냉동고 1500 700</t>
  </si>
  <si>
    <t>MZZ9000105</t>
  </si>
  <si>
    <t>우성 반찬냉장고900 반찬4구 CWSM-090RB</t>
  </si>
  <si>
    <t>MZZ9000106</t>
  </si>
  <si>
    <t>인스템 인덕션레인지 KISP035-N</t>
  </si>
  <si>
    <t>MZZ9000107</t>
  </si>
  <si>
    <t>스탠바이미 2
27LX6TEGA</t>
  </si>
  <si>
    <t>MZZ9000108</t>
  </si>
  <si>
    <t>COLOMBO SD_슬라이딩 도어</t>
  </si>
  <si>
    <t>MZZ9000109</t>
  </si>
  <si>
    <t>900 3구 업소용 간택기 가스렌지 영업용 화구 버너 도시가스 LPG</t>
  </si>
  <si>
    <t>MZZ9000110</t>
  </si>
  <si>
    <t>우성 업소용 냉수로 식기세척기 WSD-8100 식당용 영업용</t>
  </si>
  <si>
    <t>MZZ9000111</t>
  </si>
  <si>
    <t>업소용 싱크대 1200 1조</t>
  </si>
  <si>
    <t>MZZ9000112</t>
  </si>
  <si>
    <t>S8X</t>
  </si>
  <si>
    <t>MZZ9000113</t>
  </si>
  <si>
    <t>JT</t>
  </si>
  <si>
    <t>MZZ9000114</t>
  </si>
  <si>
    <t>에너지 1등급 냉동/냉장고
GWMD-1260RFEC1</t>
  </si>
  <si>
    <t>MZZ9000115</t>
  </si>
  <si>
    <t>MZZ9000050</t>
  </si>
  <si>
    <t>벨킨 connect USB C 7in1 멀티 포트 허브
어댑터 AVC009fqSGY V2</t>
  </si>
  <si>
    <t>MZZ9000051</t>
  </si>
  <si>
    <t>MZZ9000052</t>
  </si>
  <si>
    <t>MZZ9000053</t>
  </si>
  <si>
    <t>MZZ9000054</t>
  </si>
  <si>
    <t>MZZ9000055</t>
  </si>
  <si>
    <t>MZZ9000056</t>
  </si>
  <si>
    <t>일위대가목록</t>
  </si>
  <si>
    <t>수 량</t>
  </si>
  <si>
    <t>단 위</t>
  </si>
  <si>
    <t>재료비</t>
  </si>
  <si>
    <t>노무비</t>
  </si>
  <si>
    <t>경 비</t>
  </si>
  <si>
    <t>합 계</t>
  </si>
  <si>
    <t>비교검토</t>
  </si>
  <si>
    <t>No.1 보 탄소섬유 보강</t>
  </si>
  <si>
    <t>No.2 보 철판 보강</t>
  </si>
  <si>
    <t>No.3 보 탄소섬유 보강</t>
  </si>
  <si>
    <t>No.4 보 탄소섬유 보강</t>
  </si>
  <si>
    <t>No.5 콘크리트면 바탕정리</t>
  </si>
  <si>
    <t>미장공사9-2-1</t>
  </si>
  <si>
    <t>No.6 강판 구멍뚫기(펀치뚫기)</t>
  </si>
  <si>
    <t>D21mm 타공</t>
  </si>
  <si>
    <t>기계설비13-4-2</t>
  </si>
  <si>
    <t>S913-4-2/1</t>
  </si>
  <si>
    <t>No.7 잡철물 제작 및 설치</t>
  </si>
  <si>
    <t>제품설치/일반철재</t>
  </si>
  <si>
    <t>금속공사8-3-1</t>
  </si>
  <si>
    <t>P8-3-1/1</t>
  </si>
  <si>
    <t>No.8 앵커 볼트 설치</t>
  </si>
  <si>
    <t>ø16이하</t>
  </si>
  <si>
    <t>철골공사1-2-6</t>
  </si>
  <si>
    <t>P1-2-5/1</t>
  </si>
  <si>
    <t>No.9 에폭시 충진</t>
  </si>
  <si>
    <t>유지보수공사1-3-3</t>
  </si>
  <si>
    <t>PPU1-3-4</t>
  </si>
  <si>
    <t>No.10 콘크리트 단면복구</t>
  </si>
  <si>
    <t>균열폭 10mm 이하</t>
  </si>
  <si>
    <t>유지보수공사1-3-2</t>
  </si>
  <si>
    <t>PPU1-3-2</t>
  </si>
  <si>
    <t>No.11 교통통제 및 안전처리</t>
  </si>
  <si>
    <t>도로포장공사1-1-1</t>
  </si>
  <si>
    <t>No.12 금속 천정판 철거</t>
  </si>
  <si>
    <t>No.13 강재창호 철거</t>
  </si>
  <si>
    <t>No.14 강재창호 철거</t>
  </si>
  <si>
    <t>No.15 화장실 상부창 철거</t>
  </si>
  <si>
    <t>No.16 알루미늄 창호철거(정면)</t>
  </si>
  <si>
    <t>No.17 알루미늄 창호철거(정면)</t>
  </si>
  <si>
    <t>No.18 알루미늄 창호철거(좌측면)</t>
  </si>
  <si>
    <t>No.19 알루미늄 창호철거(좌측면)</t>
  </si>
  <si>
    <t>No.20 알루미늄 창호철거(좌측면)</t>
  </si>
  <si>
    <t>No.21 알루미늄 창호철거(우측면)</t>
  </si>
  <si>
    <t>No.22 알루미늄 창호철거(우측면)</t>
  </si>
  <si>
    <t>No.23 벽면 목재철거</t>
  </si>
  <si>
    <t>No.24 목재 구조틀 철거</t>
  </si>
  <si>
    <t>No.25 타일 철거</t>
  </si>
  <si>
    <t>유지보수공사12-2-9</t>
  </si>
  <si>
    <t>No.26 조적벽 철거/헐기</t>
  </si>
  <si>
    <t>유지보수공사12-2-4</t>
  </si>
  <si>
    <t>No.27 폐기물상차(혼합건설폐기물)</t>
  </si>
  <si>
    <t>No.28 콘크리트 면정리</t>
  </si>
  <si>
    <t>No.29 목재도어 설치</t>
  </si>
  <si>
    <t>창호및유리공사10-1-1</t>
  </si>
  <si>
    <t>No.30 금속 어닝 설치</t>
  </si>
  <si>
    <t>No.31 시스템 고정창호</t>
  </si>
  <si>
    <t>WW-01</t>
  </si>
  <si>
    <t>No.32 시스템 고정창호</t>
  </si>
  <si>
    <t>No.33 시스템 미서기창호</t>
  </si>
  <si>
    <t>No.34 시스템 미서기창호</t>
  </si>
  <si>
    <t>No.35 시스템 미서기창호</t>
  </si>
  <si>
    <t>No.36 시스템 고정창호</t>
  </si>
  <si>
    <t>No.37 시스템 여닫이 도어</t>
  </si>
  <si>
    <t>WD-01</t>
  </si>
  <si>
    <t>No.38 시스템 슬라이딩 도어</t>
  </si>
  <si>
    <t>AW-01</t>
  </si>
  <si>
    <t>No.39 시스템 고정창호</t>
  </si>
  <si>
    <t>No.40 시스템 고정창호</t>
  </si>
  <si>
    <t>No.41 시스템 프로젝트창호</t>
  </si>
  <si>
    <t>No.42 시스템 프로젝트창호</t>
  </si>
  <si>
    <t>No.43 프레임리스 폴딩도어</t>
  </si>
  <si>
    <t>No.44 강화유리문도어</t>
  </si>
  <si>
    <t>No.45 강화유리문도어</t>
  </si>
  <si>
    <t>No.46 외부 여닫이 설치</t>
  </si>
  <si>
    <t>No.47 폐기물 운반(건설폐재류)</t>
  </si>
  <si>
    <t>No.48 폐기물 운반(혼합건설폐기물)</t>
  </si>
  <si>
    <t>No.49 폐기물 처리비</t>
  </si>
  <si>
    <t>No.50 폐기물 처리비</t>
  </si>
  <si>
    <t>No.51 열경화성수지천장판 철거(해체)</t>
  </si>
  <si>
    <t>천정 알루미늄판</t>
  </si>
  <si>
    <t>수장공사5-2-2</t>
  </si>
  <si>
    <t>P5-2-2/110</t>
  </si>
  <si>
    <t>No.52 강재창호 철거(해체)</t>
  </si>
  <si>
    <t>창호및유리공사10-1-2</t>
  </si>
  <si>
    <t>PP10-1-2/40</t>
  </si>
  <si>
    <t>No.53 강재창호 철거(해체)</t>
  </si>
  <si>
    <t>3.0~6.0M2이하</t>
  </si>
  <si>
    <t>PP10-1-2/30</t>
  </si>
  <si>
    <t>No.54 알루미늄창호 철거</t>
  </si>
  <si>
    <t>1.0M2이하</t>
  </si>
  <si>
    <t>창호및유리공사10-1-3</t>
  </si>
  <si>
    <t>PP10-1-3/10</t>
  </si>
  <si>
    <t>No.55 알루미늄창호 철거</t>
  </si>
  <si>
    <t>PP10-1-3/30</t>
  </si>
  <si>
    <t>No.56 알루미늄창호 철거</t>
  </si>
  <si>
    <t>9.0~12M2이하</t>
  </si>
  <si>
    <t>PP10-1-3/50</t>
  </si>
  <si>
    <t>No.57 알루미늄창호 철거</t>
  </si>
  <si>
    <t>1.0~3.0M2이하</t>
  </si>
  <si>
    <t>PP10-1-3/20</t>
  </si>
  <si>
    <t>No.58 목재데크 철거</t>
  </si>
  <si>
    <t>데크재</t>
  </si>
  <si>
    <t>목공사4-3-3</t>
  </si>
  <si>
    <t>P4-3-3/0</t>
  </si>
  <si>
    <t>No.59 잡철물 철거</t>
  </si>
  <si>
    <t>경량철재</t>
  </si>
  <si>
    <t>Kg</t>
  </si>
  <si>
    <t>R2-11-29</t>
  </si>
  <si>
    <t>No.60 창호유리 설치</t>
  </si>
  <si>
    <t>복층유리 24mm이하</t>
  </si>
  <si>
    <t>창호및유리공사10-3-1</t>
  </si>
  <si>
    <t>PP10-3-1/9</t>
  </si>
  <si>
    <t>No.61 목재창호 설치</t>
  </si>
  <si>
    <t>미서기/1.0~3.0M2이하</t>
  </si>
  <si>
    <t>PP10-1-1/6</t>
  </si>
  <si>
    <t>No.62 유리주위 코킹</t>
  </si>
  <si>
    <t>패널 수밀코킹</t>
  </si>
  <si>
    <t>창호및유리공사10-4-3</t>
  </si>
  <si>
    <t>PP10-4-3/1</t>
  </si>
  <si>
    <t>No.63 창호주위 모르타르 충전</t>
  </si>
  <si>
    <t>미장공사9-3-1</t>
  </si>
  <si>
    <t>P9-3-1/1</t>
  </si>
  <si>
    <t>No.64 알루미늄창호 설치</t>
  </si>
  <si>
    <t>PP10-1-3/2</t>
  </si>
  <si>
    <t>No.65 잡철물 제작 및 설치</t>
  </si>
  <si>
    <t>현장제작 설치/경량철재</t>
  </si>
  <si>
    <t>P8-3-1/6</t>
  </si>
  <si>
    <t>No.66 강관 도색-유성페인트칠</t>
  </si>
  <si>
    <t>D50mm 이하</t>
  </si>
  <si>
    <t>기계설비9-2-3</t>
  </si>
  <si>
    <t>S9-2-3/0</t>
  </si>
  <si>
    <t>No.67 강재창호 설치</t>
  </si>
  <si>
    <t>PP10-1-2/4</t>
  </si>
  <si>
    <t>No.68 강재창호 설치</t>
  </si>
  <si>
    <t>PP10-1-2/1</t>
  </si>
  <si>
    <t>No.69 도장면 바탕만들기</t>
  </si>
  <si>
    <t>칠공사11-1-3</t>
  </si>
  <si>
    <t>No.70 유성페인트 칠</t>
  </si>
  <si>
    <t>칠공사11-2-4</t>
  </si>
  <si>
    <t>No.71 도어록 설치</t>
  </si>
  <si>
    <t>일반도어록/강재창호</t>
  </si>
  <si>
    <t>창호및유리공사10-2-3</t>
  </si>
  <si>
    <t>PP10-2-3/2</t>
  </si>
  <si>
    <t>No.72 플로어힌지 설치</t>
  </si>
  <si>
    <t>창호및유리공사10-2-2</t>
  </si>
  <si>
    <t>PP10-2-2/1</t>
  </si>
  <si>
    <t>No.73 목재창호 설치</t>
  </si>
  <si>
    <t>PP10-1-1/2</t>
  </si>
  <si>
    <t>No.74 먹매김(일반-학교,공장,사무실등)</t>
  </si>
  <si>
    <t>목공사4-1-1</t>
  </si>
  <si>
    <t>No.75 건축물 현장정리</t>
  </si>
  <si>
    <t>서울형 품셈</t>
  </si>
  <si>
    <t>No.76 건축물 보양</t>
  </si>
  <si>
    <t>가설2-11-1</t>
  </si>
  <si>
    <t>No.77 준공청소</t>
  </si>
  <si>
    <t>공통2-11-3</t>
  </si>
  <si>
    <t>No.78 강관 조립말비계(이동식)설치 및 해체</t>
  </si>
  <si>
    <t>가설2-7-4</t>
  </si>
  <si>
    <t>No.79 콘크리트 절단</t>
  </si>
  <si>
    <t>서울형품셈 토목-39</t>
  </si>
  <si>
    <t>No.80 콘크리트구조물 헐기/깨기(인력)</t>
  </si>
  <si>
    <t>유지보수공사3-1-1</t>
  </si>
  <si>
    <t>No.81 석고판 철거</t>
  </si>
  <si>
    <t>유지보수공사12-2-6</t>
  </si>
  <si>
    <t>No.82 경량벽체철골틀 철거</t>
  </si>
  <si>
    <t>유지보수공사12-2-5</t>
  </si>
  <si>
    <t>No.83 내부집기 등 기타 철거</t>
  </si>
  <si>
    <t>No.84 내부집기 등 기타 철거</t>
  </si>
  <si>
    <t>No.85 재도장시 바탕처리</t>
  </si>
  <si>
    <t>유지보수공사12-3-1</t>
  </si>
  <si>
    <t>No.86 지정색 스터코 칠</t>
  </si>
  <si>
    <t>벽, 무늬코트 칠</t>
  </si>
  <si>
    <t>칠공사11-3-1</t>
  </si>
  <si>
    <t>No.87 비닐 페인트 칠</t>
  </si>
  <si>
    <t>칠공사11-2-2</t>
  </si>
  <si>
    <t>No.88 무광 투명 코팅 칠</t>
  </si>
  <si>
    <t>칠공사11-2-8</t>
  </si>
  <si>
    <t>No.89 벽 타일붙임</t>
  </si>
  <si>
    <t>No.90 벽 타일붙임</t>
  </si>
  <si>
    <t>No.91 커튼박스 설치</t>
  </si>
  <si>
    <t>목공사4-2-5</t>
  </si>
  <si>
    <t>No.92 미닫이 도어</t>
  </si>
  <si>
    <t>No.93 여닫이 도어</t>
  </si>
  <si>
    <t>No.94 여닫이 도어</t>
  </si>
  <si>
    <t>No.95 여닫이 도어</t>
  </si>
  <si>
    <t>No.96 벽체 보강</t>
  </si>
  <si>
    <t>No.97 벽체 보강</t>
  </si>
  <si>
    <t>No.98 벽체 보강</t>
  </si>
  <si>
    <t>No.99 화구 벽체 금속마감</t>
  </si>
  <si>
    <t>No.100 씽크대 벽체 금속마감</t>
  </si>
  <si>
    <t>No.101 재도장시 바탕처리(천정)</t>
  </si>
  <si>
    <t>No.102 비닐 페인트 칠</t>
  </si>
  <si>
    <t>No.103 경량천장철골틀 설치(재료+노무)</t>
  </si>
  <si>
    <t>금속공사8-2-4</t>
  </si>
  <si>
    <t>No.104 석고판 설치(나사고정)</t>
  </si>
  <si>
    <t>수장공사5-2-3</t>
  </si>
  <si>
    <t>No.105 (목재)합판 설치</t>
  </si>
  <si>
    <t>목공사4-2-3</t>
  </si>
  <si>
    <t>No.106 도장면 바탕만들기</t>
  </si>
  <si>
    <t>칠공사11-1-4</t>
  </si>
  <si>
    <t>No.107 목재 전용도료칠</t>
  </si>
  <si>
    <t>칠공사11-2-7</t>
  </si>
  <si>
    <t>No.108 천정 원목메지</t>
  </si>
  <si>
    <t>금속공사8-1-5</t>
  </si>
  <si>
    <t>No.109 천정 원목메지</t>
  </si>
  <si>
    <t>No.110 천장점검구 설치</t>
  </si>
  <si>
    <t>금속공사8-1-6</t>
  </si>
  <si>
    <t>No.111 입구 바닥계단</t>
  </si>
  <si>
    <t>No.112 천장형 에어컨 설치</t>
  </si>
  <si>
    <t>기계설비8-2-4</t>
  </si>
  <si>
    <t>No.113 천장형 에어컨 설치</t>
  </si>
  <si>
    <t>No.114 벽걸이 에어컨 설치</t>
  </si>
  <si>
    <t>No.115 동관 용접접합</t>
  </si>
  <si>
    <t>기계설비1-2-1</t>
  </si>
  <si>
    <t>No.116 환풍기 설치</t>
  </si>
  <si>
    <t>기계설비4-2-2</t>
  </si>
  <si>
    <t>No.117 환풍기 설치</t>
  </si>
  <si>
    <t>No.118 소켓 접착제 접합 및 배관</t>
  </si>
  <si>
    <t>기계설비1-5-2</t>
  </si>
  <si>
    <t>No.119 소켓 접착제 접합 및 배관</t>
  </si>
  <si>
    <t>No.120 전기온수기(벽걸이형)설치</t>
  </si>
  <si>
    <t>기계설비8-4-2</t>
  </si>
  <si>
    <t>No.121 전기온수기(벽걸이형)설치</t>
  </si>
  <si>
    <t>No.122 씽크대 설치</t>
  </si>
  <si>
    <t>기계설비7-1-4</t>
  </si>
  <si>
    <t>No.123 씽크수전 설치</t>
  </si>
  <si>
    <t>기계설비7-2-4</t>
  </si>
  <si>
    <t>No.124 세면기 설치</t>
  </si>
  <si>
    <t>No.125 세면기 수전설치</t>
  </si>
  <si>
    <t>기계설비7-2-3</t>
  </si>
  <si>
    <t>No.126 세면기 설치</t>
  </si>
  <si>
    <t>기계설비7-1-3</t>
  </si>
  <si>
    <t>No.127 세면기 수전설치</t>
  </si>
  <si>
    <t>No.128 청소용 수전설치</t>
  </si>
  <si>
    <t>기계설비7-2-5</t>
  </si>
  <si>
    <t>No.129 바닥 배수구 설치</t>
  </si>
  <si>
    <t>기계설비7-3-3</t>
  </si>
  <si>
    <t>No.130 대변기(양변기) 설치</t>
  </si>
  <si>
    <t>기계설비7-1-2</t>
  </si>
  <si>
    <t>No.131 휴지걸이 설치</t>
  </si>
  <si>
    <t>휴지걸이-노출형</t>
  </si>
  <si>
    <t>기계설비7-3-2</t>
  </si>
  <si>
    <t>No.132 스테인리스 덕트설치</t>
  </si>
  <si>
    <t>기계설비2-1-3</t>
  </si>
  <si>
    <t>No.133 스파이럴 덕트 설치</t>
  </si>
  <si>
    <t>기계설비2-1-2</t>
  </si>
  <si>
    <t>No.134 여닫이문 철거</t>
  </si>
  <si>
    <t>No.135 칸막이 벽체틀 설치</t>
  </si>
  <si>
    <t>목공사4-2-2</t>
  </si>
  <si>
    <t>No.136 (목재)합판 설치</t>
  </si>
  <si>
    <t>No.137 금속 판넬 벽 설치</t>
  </si>
  <si>
    <t>창호및유리공사10-4-2</t>
  </si>
  <si>
    <t>No.138 타일붙임(벽면-떠붙이기)</t>
  </si>
  <si>
    <t>타일공사3-2-1</t>
  </si>
  <si>
    <t>No.139 여닫이 도어</t>
  </si>
  <si>
    <t>No.140 창고 출입문</t>
  </si>
  <si>
    <t>No.141 빔 프로젝터 설치</t>
  </si>
  <si>
    <t>정보통신7-11-1</t>
  </si>
  <si>
    <t>No.142 마루틀 설치</t>
  </si>
  <si>
    <t>콘크리트 위 장선목</t>
  </si>
  <si>
    <t>목공사4-1-2</t>
  </si>
  <si>
    <t>No.143 마루바탕 설치</t>
  </si>
  <si>
    <t>목공사4-1-3</t>
  </si>
  <si>
    <t>No.144 천장형 에어컨 설치</t>
  </si>
  <si>
    <t>No.145 세면기 설치</t>
  </si>
  <si>
    <t>No.146 타일 바탕고르기(벽면)</t>
  </si>
  <si>
    <t>T24 모르타르,2회바름</t>
  </si>
  <si>
    <t>타일공사3-1-1</t>
  </si>
  <si>
    <t>P3-1-1/10</t>
  </si>
  <si>
    <t>No.147 타일붙임(벽면-떠붙이기)</t>
  </si>
  <si>
    <t>P3-1-1/11</t>
  </si>
  <si>
    <t>No.148 타일줄눈 모르타르(벽면)</t>
  </si>
  <si>
    <t>떠붙이기</t>
  </si>
  <si>
    <t>타일공사3-1-2</t>
  </si>
  <si>
    <t>P3-1-1/15</t>
  </si>
  <si>
    <t>No.149 타일줄눈 설치(벽면)</t>
  </si>
  <si>
    <t>0.04~0.10m2이하</t>
  </si>
  <si>
    <t>P3-1-1/16</t>
  </si>
  <si>
    <t>No.150 타일붙임(벽면-떠붙이기)</t>
  </si>
  <si>
    <t>P3-1-1/12</t>
  </si>
  <si>
    <t>No.151 도어록 설치</t>
  </si>
  <si>
    <t>일반도어록/목재창호</t>
  </si>
  <si>
    <t>PP10-2-3/1</t>
  </si>
  <si>
    <t>No.152 목재면 바탕만들기</t>
  </si>
  <si>
    <t>불순물제거 및 연마</t>
  </si>
  <si>
    <t>PP11-1-4/6</t>
  </si>
  <si>
    <t>No.153 목재 전용도료칠</t>
  </si>
  <si>
    <t>바닥, 투명,붓칠 2회</t>
  </si>
  <si>
    <t>PP11-2-7/1</t>
  </si>
  <si>
    <t>No.154 강재창호 설치</t>
  </si>
  <si>
    <t>PP10-1-2/2</t>
  </si>
  <si>
    <t>No.155 모르타르 배합(체가름포함)</t>
  </si>
  <si>
    <t>시멘트1:모래1</t>
  </si>
  <si>
    <t>미장공사9-1-1</t>
  </si>
  <si>
    <t>P9-1-1/1</t>
  </si>
  <si>
    <t>일위대가_호표</t>
  </si>
  <si>
    <t>No.1  보 탄소섬유 보강</t>
  </si>
  <si>
    <t>탄소섬유 시트 보강</t>
  </si>
  <si>
    <t>탄소섬유시트 300g</t>
  </si>
  <si>
    <t>MZZ2000004</t>
  </si>
  <si>
    <t>No.2  보 철판 보강</t>
  </si>
  <si>
    <t>열연후판</t>
  </si>
  <si>
    <t>8.0  ＜T≤  9.0  2438x6096mm SS275</t>
  </si>
  <si>
    <t>M/T</t>
  </si>
  <si>
    <t>M0063057</t>
  </si>
  <si>
    <t>강판 구멍뚫기(펀치뚫기)</t>
  </si>
  <si>
    <t>잡철물 제작 및 설치</t>
  </si>
  <si>
    <t>앵커볼트</t>
  </si>
  <si>
    <t>HSA-M16×137</t>
  </si>
  <si>
    <t>MZZ1002683</t>
  </si>
  <si>
    <t>앵커 볼트 설치</t>
  </si>
  <si>
    <t>에폭시 충진</t>
  </si>
  <si>
    <t>No.3  보 탄소섬유 보강</t>
  </si>
  <si>
    <t>No.4  보 탄소섬유 보강</t>
  </si>
  <si>
    <t>콘크리트 단면복구</t>
  </si>
  <si>
    <t>No.5  콘크리트면 바탕정리</t>
  </si>
  <si>
    <t>견출공</t>
  </si>
  <si>
    <t>일반공사 직종</t>
  </si>
  <si>
    <t>L001010101000022</t>
  </si>
  <si>
    <t>공구손료</t>
  </si>
  <si>
    <t>인력품의 3%</t>
  </si>
  <si>
    <t>%</t>
  </si>
  <si>
    <t>MA=LA(10)*0.03</t>
  </si>
  <si>
    <t>No.6  강판 구멍뚫기(펀치뚫기)</t>
  </si>
  <si>
    <t>철골공</t>
  </si>
  <si>
    <t>L001010101000011</t>
  </si>
  <si>
    <t xml:space="preserve">EQ+ = </t>
  </si>
  <si>
    <t xml:space="preserve">EQ = </t>
  </si>
  <si>
    <t>공구손료 및 기계경비</t>
  </si>
  <si>
    <t>인력품의 2%</t>
  </si>
  <si>
    <t>eq=LA(10)*0.02</t>
  </si>
  <si>
    <t>No.7  잡철물 제작 및 설치</t>
  </si>
  <si>
    <t>철공</t>
  </si>
  <si>
    <t>L001010101000009</t>
  </si>
  <si>
    <t>용접공</t>
  </si>
  <si>
    <t>L001010101000012</t>
  </si>
  <si>
    <t>특별인부</t>
  </si>
  <si>
    <t>L001010101000003</t>
  </si>
  <si>
    <t>보통인부</t>
  </si>
  <si>
    <t>L001010101000002</t>
  </si>
  <si>
    <t>인력품의 5%</t>
  </si>
  <si>
    <t>eq=LA(10,20,30,40)*0.05</t>
  </si>
  <si>
    <t>잡재료비</t>
  </si>
  <si>
    <t>MA=LA(10,20,30,40)*0.03</t>
  </si>
  <si>
    <t>No.8  앵커 볼트 설치</t>
  </si>
  <si>
    <t>공구손료 및 경장비</t>
  </si>
  <si>
    <t>eq=LA(10,20)*0.02</t>
  </si>
  <si>
    <t>No.9  에폭시 충진</t>
  </si>
  <si>
    <t>주입용 에폭시</t>
  </si>
  <si>
    <t>G7</t>
  </si>
  <si>
    <t>kg</t>
  </si>
  <si>
    <t>M3121003</t>
  </si>
  <si>
    <t xml:space="preserve">eq=LA(20,30)*0.03_x000D_
</t>
  </si>
  <si>
    <t>No.10  콘크리트 단면복구</t>
  </si>
  <si>
    <t>단면복구용 몰탈</t>
  </si>
  <si>
    <t>LDS-Mortar</t>
  </si>
  <si>
    <t>M0801011</t>
  </si>
  <si>
    <t>eq=LA(20,30)*0.02</t>
  </si>
  <si>
    <t>No.11  교통통제 및 안전처리</t>
  </si>
  <si>
    <t>No.12  금속 천정판 철거</t>
  </si>
  <si>
    <t>열경화성수지천장판 철거(해체)</t>
  </si>
  <si>
    <t>No.13  강재창호 철거</t>
  </si>
  <si>
    <t>강재창호 철거(해체)</t>
  </si>
  <si>
    <t>No.14  강재창호 철거</t>
  </si>
  <si>
    <t>No.15  화장실 상부창 철거</t>
  </si>
  <si>
    <t>알루미늄창호 철거</t>
  </si>
  <si>
    <t>No.16  알루미늄 창호철거(정면)</t>
  </si>
  <si>
    <t>No.17  알루미늄 창호철거(정면)</t>
  </si>
  <si>
    <t>No.18  알루미늄 창호철거(좌측면)</t>
  </si>
  <si>
    <t>No.19  알루미늄 창호철거(좌측면)</t>
  </si>
  <si>
    <t>No.20  알루미늄 창호철거(좌측면)</t>
  </si>
  <si>
    <t>No.21  알루미늄 창호철거(우측면)</t>
  </si>
  <si>
    <t>No.22  알루미늄 창호철거(우측면)</t>
  </si>
  <si>
    <t>No.23  벽면 목재철거</t>
  </si>
  <si>
    <t>목재데크 철거</t>
  </si>
  <si>
    <t>No.24  목재 구조틀 철거</t>
  </si>
  <si>
    <t>잡철물 철거</t>
  </si>
  <si>
    <t>No.25  타일 철거</t>
  </si>
  <si>
    <t>타일공</t>
  </si>
  <si>
    <t>L001010101000028</t>
  </si>
  <si>
    <t>인력품의 6%</t>
  </si>
  <si>
    <t>eq=LA(10,20)*0.06</t>
  </si>
  <si>
    <t>No.26  조적벽 철거/헐기</t>
  </si>
  <si>
    <t>조적공</t>
  </si>
  <si>
    <t>L001010101000021</t>
  </si>
  <si>
    <t>No.27  폐기물상차(혼합건설폐기물)</t>
  </si>
  <si>
    <t>G</t>
  </si>
  <si>
    <t>No.28  콘크리트 면정리</t>
  </si>
  <si>
    <t>연마지</t>
  </si>
  <si>
    <t>150-800#230x280㎜  (공연마용)</t>
  </si>
  <si>
    <t>매</t>
  </si>
  <si>
    <t>M8916015</t>
  </si>
  <si>
    <t xml:space="preserve">MA=LA(20)*0.03_x000D_
</t>
  </si>
  <si>
    <t>No.29  목재도어 설치</t>
  </si>
  <si>
    <t>방부목 목재도어</t>
  </si>
  <si>
    <t>900*2100 틀,하드웨어 포함</t>
  </si>
  <si>
    <t>MZZ2000001</t>
  </si>
  <si>
    <t>창호공</t>
  </si>
  <si>
    <t>L001010101000024</t>
  </si>
  <si>
    <t xml:space="preserve">MA=LA(70,80)*0.03_x000D_
</t>
  </si>
  <si>
    <t>No.30  금속 어닝 설치</t>
  </si>
  <si>
    <t>금속 어닝설치</t>
  </si>
  <si>
    <t>MZZ2000005</t>
  </si>
  <si>
    <t>No.31  시스템 고정창호</t>
  </si>
  <si>
    <t>MZZ9000001</t>
  </si>
  <si>
    <t>로이 복층유리</t>
  </si>
  <si>
    <t>T24(5+14+5) 저철분</t>
  </si>
  <si>
    <t>MZZ9000013</t>
  </si>
  <si>
    <t>창호유리 설치</t>
  </si>
  <si>
    <t>목재창호 설치</t>
  </si>
  <si>
    <t>유리주위 코킹</t>
  </si>
  <si>
    <t>창호주위 충전</t>
  </si>
  <si>
    <t>No.32  시스템 고정창호</t>
  </si>
  <si>
    <t>MZZ9000002</t>
  </si>
  <si>
    <t>No.33  시스템 미서기창호</t>
  </si>
  <si>
    <t>MZZ9000003</t>
  </si>
  <si>
    <t>No.34  시스템 미서기창호</t>
  </si>
  <si>
    <t>MZZ9000004</t>
  </si>
  <si>
    <t>No.35  시스템 미서기창호</t>
  </si>
  <si>
    <t>MZZ9000005</t>
  </si>
  <si>
    <t>No.36  시스템 고정창호</t>
  </si>
  <si>
    <t>MZZ9000006</t>
  </si>
  <si>
    <t>No.37  시스템 여닫이 도어</t>
  </si>
  <si>
    <t>MZZ9000007</t>
  </si>
  <si>
    <t>투명로이복층유리(5+14+5)</t>
  </si>
  <si>
    <t>24mm,(투명+건조공기+투명로이)</t>
  </si>
  <si>
    <t>㎡</t>
  </si>
  <si>
    <t>M4036023</t>
  </si>
  <si>
    <t>25</t>
  </si>
  <si>
    <t>알루미늄창호 설치</t>
  </si>
  <si>
    <t>창호주위 모르타르 충전</t>
  </si>
  <si>
    <t>No.38  시스템 슬라이딩 도어</t>
  </si>
  <si>
    <t>MZZ9000008</t>
  </si>
  <si>
    <t>No.39  시스템 고정창호</t>
  </si>
  <si>
    <t>MZZ9000009</t>
  </si>
  <si>
    <t>No.40  시스템 고정창호</t>
  </si>
  <si>
    <t>MZZ9000010</t>
  </si>
  <si>
    <t>No.41  시스템 프로젝트창호</t>
  </si>
  <si>
    <t>MZZ9000011</t>
  </si>
  <si>
    <t>No.42  시스템 프로젝트창호</t>
  </si>
  <si>
    <t>MZZ9000012</t>
  </si>
  <si>
    <t>No.43  프레임리스 폴딩도어</t>
  </si>
  <si>
    <t>구조용각관(백관,아연도)</t>
  </si>
  <si>
    <t>40 × 40×2.3mm  2.62KG/M</t>
  </si>
  <si>
    <t>M0131019</t>
  </si>
  <si>
    <t>강관 도색-유성페인트칠</t>
  </si>
  <si>
    <t>폴딩도어 레일</t>
  </si>
  <si>
    <t>금속레일</t>
  </si>
  <si>
    <t>MZZ9000014</t>
  </si>
  <si>
    <t>유리 브라켓</t>
  </si>
  <si>
    <t>L470</t>
  </si>
  <si>
    <t>MZZ9000015</t>
  </si>
  <si>
    <t>복층유리</t>
  </si>
  <si>
    <t>복층유리, 로이, 양면반강화, 24mm</t>
  </si>
  <si>
    <t>MJD07918</t>
  </si>
  <si>
    <t>강재창호 설치</t>
  </si>
  <si>
    <t>No.44  강화유리문도어</t>
  </si>
  <si>
    <t>아연도강판</t>
  </si>
  <si>
    <t>1.60x914x1829M/M (3'x6')</t>
  </si>
  <si>
    <t>M0078032</t>
  </si>
  <si>
    <t>강판 가공(금속)</t>
  </si>
  <si>
    <t>치수절단,절곡,면처리</t>
  </si>
  <si>
    <t>MVP1003</t>
  </si>
  <si>
    <t>슬라이딩 도어 손잡이</t>
  </si>
  <si>
    <t>도무스 매입손잡이 SH91 NI</t>
  </si>
  <si>
    <t>MZZ9000064</t>
  </si>
  <si>
    <t>도어록 설치</t>
  </si>
  <si>
    <t>도어 힌지</t>
  </si>
  <si>
    <t>플로어힌지 GEZE 게제TS500N EN3</t>
  </si>
  <si>
    <t>MZZ9000075</t>
  </si>
  <si>
    <t>플로어힌지 설치</t>
  </si>
  <si>
    <t>No.45  강화유리문도어</t>
  </si>
  <si>
    <t>No.46  외부 여닫이 설치</t>
  </si>
  <si>
    <t>외부 여닫이문</t>
  </si>
  <si>
    <t>MZZ9000083</t>
  </si>
  <si>
    <t>No.47  폐기물 운반(건설폐재류)</t>
  </si>
  <si>
    <t>No.48  폐기물 운반(혼합건설폐기물)</t>
  </si>
  <si>
    <t>No.49  폐기물 처리비</t>
  </si>
  <si>
    <t>No.50  폐기물 처리비</t>
  </si>
  <si>
    <t>No.51  열경화성수지천장판 철거(해체)</t>
  </si>
  <si>
    <t>내장공</t>
  </si>
  <si>
    <t>L001010101000030</t>
  </si>
  <si>
    <t>철거품 적용</t>
  </si>
  <si>
    <t>설치품의 30%</t>
  </si>
  <si>
    <t>LA=LA(10,20)*0.3</t>
  </si>
  <si>
    <t>No.52  강재창호 철거(해체)</t>
  </si>
  <si>
    <t>No.53  강재창호 철거(해체)</t>
  </si>
  <si>
    <t>No.54  알루미늄창호 철거</t>
  </si>
  <si>
    <t>No.55  알루미늄창호 철거</t>
  </si>
  <si>
    <t>No.56  알루미늄창호 철거</t>
  </si>
  <si>
    <t>No.57  알루미늄창호 철거</t>
  </si>
  <si>
    <t>No.58  목재데크 철거</t>
  </si>
  <si>
    <t>건축목공</t>
  </si>
  <si>
    <t>L001010101000023</t>
  </si>
  <si>
    <t>No.59  잡철물 철거</t>
  </si>
  <si>
    <t>인력품의 30%</t>
  </si>
  <si>
    <t>LA=LA(10,20,30,40)*0.3</t>
  </si>
  <si>
    <t>No.60  창호유리 설치</t>
  </si>
  <si>
    <t>유리공</t>
  </si>
  <si>
    <t>L001010101000025</t>
  </si>
  <si>
    <t>No.61  목재창호 설치</t>
  </si>
  <si>
    <t>eq=LA(10,20)*0.03</t>
  </si>
  <si>
    <t>No.62  유리주위 코킹</t>
  </si>
  <si>
    <t>코킹재</t>
  </si>
  <si>
    <t>㎏</t>
  </si>
  <si>
    <t>M2061815</t>
  </si>
  <si>
    <t>No.63  창호주위 모르타르 충전</t>
  </si>
  <si>
    <t>보통시멘트</t>
  </si>
  <si>
    <t>40kg/대 (포장품)</t>
  </si>
  <si>
    <t>KG</t>
  </si>
  <si>
    <t>56100087101</t>
  </si>
  <si>
    <t>M0747003</t>
  </si>
  <si>
    <t>강모래(광주)</t>
  </si>
  <si>
    <t>세사 (시내도착도)</t>
  </si>
  <si>
    <t>㎥</t>
  </si>
  <si>
    <t>M07170A3</t>
  </si>
  <si>
    <t>미장공</t>
  </si>
  <si>
    <t>L001010101000027</t>
  </si>
  <si>
    <t>No.64  알루미늄창호 설치</t>
  </si>
  <si>
    <t>No.65  잡철물 제작 및 설치</t>
  </si>
  <si>
    <t>인력품의 4%</t>
  </si>
  <si>
    <t>eq=LA(10,20,30,40)*0.04</t>
  </si>
  <si>
    <t>MA=LA(10,20,30,40)*0.02</t>
  </si>
  <si>
    <t>No.66  강관 도색-유성페인트칠</t>
  </si>
  <si>
    <t>에나멜페인트(알키드수지)</t>
  </si>
  <si>
    <t>KSM6020 1급 백색 18ℓ</t>
  </si>
  <si>
    <t>L</t>
  </si>
  <si>
    <t>80100507061</t>
  </si>
  <si>
    <t>M4080003</t>
  </si>
  <si>
    <t>도장공</t>
  </si>
  <si>
    <t>L001010101000029</t>
  </si>
  <si>
    <t xml:space="preserve">eq=LA(20,30)*0.02_x000D_
</t>
  </si>
  <si>
    <t>No.67  강재창호 설치</t>
  </si>
  <si>
    <t>No.68  강재창호 설치</t>
  </si>
  <si>
    <t>No.69  도장면 바탕만들기</t>
  </si>
  <si>
    <t>eq=LA(20,30)*0.03</t>
  </si>
  <si>
    <t>No.70  유성페인트 칠</t>
  </si>
  <si>
    <t>eq=LA(30,40)*0.02</t>
  </si>
  <si>
    <t>No.71  도어록 설치</t>
  </si>
  <si>
    <t>No.72  플로어힌지 설치</t>
  </si>
  <si>
    <t>No.73  목재창호 설치</t>
  </si>
  <si>
    <t>eq=LA(30,40)*0.03</t>
  </si>
  <si>
    <t>No.74  먹매김(일반-학교,공장,사무실등)</t>
  </si>
  <si>
    <t>No.75  건축물 현장정리</t>
  </si>
  <si>
    <t>No.76  건축물 보양</t>
  </si>
  <si>
    <t>PE필름(저밀도)</t>
  </si>
  <si>
    <t>0.1㎜ x 90cmx 91m</t>
  </si>
  <si>
    <t>M9247008</t>
  </si>
  <si>
    <t>No.77  준공청소</t>
  </si>
  <si>
    <t>No.78  강관 조립말비계(이동식)설치 및 해체</t>
  </si>
  <si>
    <t>비계안정장치</t>
  </si>
  <si>
    <t>비계안정장치, 비계기본틀, 기둥, 1.2*1.7m</t>
  </si>
  <si>
    <t>MVP3105</t>
  </si>
  <si>
    <t>비계안정장치, 가새, 1.2*1.9m</t>
  </si>
  <si>
    <t>MVP3102</t>
  </si>
  <si>
    <t>비계안정장치, 수평띠장, 1829mm</t>
  </si>
  <si>
    <t>MVP3103</t>
  </si>
  <si>
    <t>비계안정장치, 바퀴</t>
  </si>
  <si>
    <t>MVP3104</t>
  </si>
  <si>
    <t>비계안정장치, 발판, 500*1829</t>
  </si>
  <si>
    <t>장</t>
  </si>
  <si>
    <t>MVP3107</t>
  </si>
  <si>
    <t>비계공</t>
  </si>
  <si>
    <t>L001010101000006</t>
  </si>
  <si>
    <t>손율 적용 (7%)</t>
  </si>
  <si>
    <t>3개월내</t>
  </si>
  <si>
    <t>MA=MA(10,20,30)*0.07</t>
  </si>
  <si>
    <t>손율 적용 (9%)</t>
  </si>
  <si>
    <t>MA=MA(40,50)*0.09</t>
  </si>
  <si>
    <t>No.79  콘크리트 절단</t>
  </si>
  <si>
    <t>커터(콘크리트및아스팔트용)</t>
  </si>
  <si>
    <t>320-400 mm</t>
  </si>
  <si>
    <t>E00004430040000000</t>
  </si>
  <si>
    <t>동력분무기</t>
  </si>
  <si>
    <t>4.85Kw</t>
  </si>
  <si>
    <t>E00007210048500000</t>
  </si>
  <si>
    <t>덤프트럭</t>
  </si>
  <si>
    <t>E00000602002500000</t>
  </si>
  <si>
    <t>블레이드</t>
  </si>
  <si>
    <t>7"×2.3mm(마른날)</t>
  </si>
  <si>
    <t>MZZ1005631</t>
  </si>
  <si>
    <t>No.80  콘크리트구조물 헐기/깨기(인력)</t>
  </si>
  <si>
    <t>착암공</t>
  </si>
  <si>
    <t>L001010101000015</t>
  </si>
  <si>
    <t>소형브레이커(전기식)</t>
  </si>
  <si>
    <t>1.5kW</t>
  </si>
  <si>
    <t>E00005220001500000</t>
  </si>
  <si>
    <t>치즐 등 (인력품의1%)</t>
  </si>
  <si>
    <t>MA=LA(10,20)*0.01</t>
  </si>
  <si>
    <t>No.81  석고판 철거</t>
  </si>
  <si>
    <t>No.82  경량벽체철골틀 철거</t>
  </si>
  <si>
    <t>No.83  내부집기 등 기타 철거</t>
  </si>
  <si>
    <t>철거공</t>
  </si>
  <si>
    <t>L001010501000124</t>
  </si>
  <si>
    <t>No.84  내부집기 등 기타 철거</t>
  </si>
  <si>
    <t>No.85  재도장시 바탕처리</t>
  </si>
  <si>
    <t>No.86  지정색 스터코 칠</t>
  </si>
  <si>
    <t>스타코 마감코트</t>
  </si>
  <si>
    <t>스타고 마감재</t>
  </si>
  <si>
    <t>MVP2122</t>
  </si>
  <si>
    <t>No.87  비닐 페인트 칠</t>
  </si>
  <si>
    <t>수성페인트</t>
  </si>
  <si>
    <t>수성페인트, KSM6010-1종1급, 백색</t>
  </si>
  <si>
    <t>MJD12358</t>
  </si>
  <si>
    <t>No.88  무광 투명 코팅 칠</t>
  </si>
  <si>
    <t>에폭시계 프라이머</t>
  </si>
  <si>
    <t>ℓ</t>
  </si>
  <si>
    <t>MZZ1003411</t>
  </si>
  <si>
    <t>후막형 에폭시계 도료</t>
  </si>
  <si>
    <t>MZZ1003409</t>
  </si>
  <si>
    <t>No.89  벽 타일붙임</t>
  </si>
  <si>
    <t>타일 바탕고르기(벽면)</t>
  </si>
  <si>
    <t>타일줄눈 모르타르(벽면)</t>
  </si>
  <si>
    <t>타일줄눈 설치(벽면)</t>
  </si>
  <si>
    <t>No.90  벽 타일붙임</t>
  </si>
  <si>
    <t>No.91  커튼박스 설치</t>
  </si>
  <si>
    <t>5</t>
  </si>
  <si>
    <t>MZZ9000018</t>
  </si>
  <si>
    <t>No.92  미닫이 도어</t>
  </si>
  <si>
    <t>MZZ9000020</t>
  </si>
  <si>
    <t>스텐경첩</t>
  </si>
  <si>
    <t>2.0T×102× 89mm</t>
  </si>
  <si>
    <t>53400357001</t>
  </si>
  <si>
    <t>M3894003</t>
  </si>
  <si>
    <t>목문 도어 손잡이</t>
  </si>
  <si>
    <t>도무스 759 NI 니켈 방문손잡이</t>
  </si>
  <si>
    <t>MZZ9000076</t>
  </si>
  <si>
    <t>No.93  여닫이 도어</t>
  </si>
  <si>
    <t>MZZ9000019</t>
  </si>
  <si>
    <t>No.94  여닫이 도어</t>
  </si>
  <si>
    <t>MZZ9000021</t>
  </si>
  <si>
    <t>No.95  여닫이 도어</t>
  </si>
  <si>
    <t>MZZ9000023</t>
  </si>
  <si>
    <t>No.96  벽체 보강</t>
  </si>
  <si>
    <t>No.97  벽체 보강</t>
  </si>
  <si>
    <t>No.98  벽체 보강</t>
  </si>
  <si>
    <t>No.99  화구 벽체 금속마감</t>
  </si>
  <si>
    <t>스테인리스판(STS304)</t>
  </si>
  <si>
    <t>2.0M/M</t>
  </si>
  <si>
    <t>95150167031</t>
  </si>
  <si>
    <t>M0195024</t>
  </si>
  <si>
    <t>No.100  씽크대 벽체 금속마감</t>
  </si>
  <si>
    <t>No.101  재도장시 바탕처리(천정)</t>
  </si>
  <si>
    <t>천정시공 품할증</t>
  </si>
  <si>
    <t>인력품의 20%</t>
  </si>
  <si>
    <t>LA=LA(10,20)*0.2</t>
  </si>
  <si>
    <t>No.102  비닐 페인트 칠</t>
  </si>
  <si>
    <t>LA=LA(30,40)*0.2</t>
  </si>
  <si>
    <t>No.103  경량천장철골틀 설치(재료+노무)</t>
  </si>
  <si>
    <t>* 철골 재료비</t>
  </si>
  <si>
    <t>경량철골천정틀</t>
  </si>
  <si>
    <t>인서트,Φ6mm Φ9mm</t>
  </si>
  <si>
    <t>MZZ1007925</t>
  </si>
  <si>
    <t>달대볼트,Φ6×1000mm</t>
  </si>
  <si>
    <t>MZZ1007926</t>
  </si>
  <si>
    <t>캐링찬넬, 1.2t×38×12</t>
  </si>
  <si>
    <t>MZZ1007928</t>
  </si>
  <si>
    <t>행거및핀, L100mm</t>
  </si>
  <si>
    <t>조</t>
  </si>
  <si>
    <t>MZZ1007930</t>
  </si>
  <si>
    <t>찬넬클립</t>
  </si>
  <si>
    <t>MZZ1007940</t>
  </si>
  <si>
    <t>캐링조인트</t>
  </si>
  <si>
    <t>MZZ1007941</t>
  </si>
  <si>
    <t>M-BAR, 0.5t×50×25</t>
  </si>
  <si>
    <t>MZZ1007932</t>
  </si>
  <si>
    <t>M-BAR 클립</t>
  </si>
  <si>
    <t>MZZ1007942</t>
  </si>
  <si>
    <t>* 철골 시공비</t>
  </si>
  <si>
    <t>MA=LA(130,140)*0.06</t>
  </si>
  <si>
    <t>No.104  석고판 설치(나사고정)</t>
  </si>
  <si>
    <t>인력품의 1%</t>
  </si>
  <si>
    <t>MA=LA(20,30)*0.01</t>
  </si>
  <si>
    <t>No.105  (목재)합판 설치</t>
  </si>
  <si>
    <t>보통합판</t>
  </si>
  <si>
    <t>4.8x 910x1820㎜ (1급T-II)</t>
  </si>
  <si>
    <t>M4329005</t>
  </si>
  <si>
    <t>천정 시공품 할증</t>
  </si>
  <si>
    <t>LA=LA(20,30)*0.2</t>
  </si>
  <si>
    <t>No.106  도장면 바탕만들기</t>
  </si>
  <si>
    <t>* 불순물 제거</t>
  </si>
  <si>
    <t>* 퍼티 및 연마</t>
  </si>
  <si>
    <t>eq=LA(40,50,80,90)*0.03</t>
  </si>
  <si>
    <t>천정품 할증</t>
  </si>
  <si>
    <t>LA=LA(40,50,80,90)*0.2</t>
  </si>
  <si>
    <t>No.107  목재 전용도료칠</t>
  </si>
  <si>
    <t>오일스테인</t>
  </si>
  <si>
    <t>침투성,노빌레</t>
  </si>
  <si>
    <t>MVP2021</t>
  </si>
  <si>
    <t>No.108  천정 원목메지</t>
  </si>
  <si>
    <t>미송대패가공목재(㎥)</t>
  </si>
  <si>
    <t>3600×200×200mm미만</t>
  </si>
  <si>
    <t>M0980005</t>
  </si>
  <si>
    <t>33</t>
  </si>
  <si>
    <t xml:space="preserve">eq=LA(40)*0.04_x000D_
</t>
  </si>
  <si>
    <t>No.109  천정 원목메지</t>
  </si>
  <si>
    <t xml:space="preserve">eq=LA(50)*0.04_x000D_
</t>
  </si>
  <si>
    <t>No.110  천장점검구 설치</t>
  </si>
  <si>
    <t>천정점검구</t>
  </si>
  <si>
    <t>300x300  (일반용)</t>
  </si>
  <si>
    <t>56802387001</t>
  </si>
  <si>
    <t>M3429506</t>
  </si>
  <si>
    <t xml:space="preserve">eq=LA(30,40)*0.03_x000D_
</t>
  </si>
  <si>
    <t>No.111  입구 바닥계단</t>
  </si>
  <si>
    <t>30 × 30×1.6mm  1.38KG/M</t>
  </si>
  <si>
    <t>M0131009</t>
  </si>
  <si>
    <t>18 x 910x1820㎜ (1급T-II)</t>
  </si>
  <si>
    <t>M4329015</t>
  </si>
  <si>
    <t>장선위 합판깔기</t>
  </si>
  <si>
    <t>목재면 바탕만들기</t>
  </si>
  <si>
    <t>No.112  천장형 에어컨 설치</t>
  </si>
  <si>
    <t>냉난방기 4Way(천정형)</t>
  </si>
  <si>
    <t>30평형, 무풍</t>
  </si>
  <si>
    <t>MZZ9000030</t>
  </si>
  <si>
    <t>* 실내기 설치</t>
  </si>
  <si>
    <t>기계설비공</t>
  </si>
  <si>
    <t>L001010101000051</t>
  </si>
  <si>
    <t>* 실외기 설치</t>
  </si>
  <si>
    <t xml:space="preserve">eq=LA(50,60,90,100)*0.02_x000D_
</t>
  </si>
  <si>
    <t>No.113  천장형 에어컨 설치</t>
  </si>
  <si>
    <t>25평형 무풍</t>
  </si>
  <si>
    <t>MZZ9000031</t>
  </si>
  <si>
    <t xml:space="preserve">eq=LA(40,50,80,90)*0.02_x000D_
</t>
  </si>
  <si>
    <t>No.114  벽걸이 에어컨 설치</t>
  </si>
  <si>
    <t>냉난방기(벽걸이)</t>
  </si>
  <si>
    <t>무풍 AI 콤보</t>
  </si>
  <si>
    <t>MZZ9000032</t>
  </si>
  <si>
    <t xml:space="preserve">eq=LA(30,40,70,80)*0.02_x000D_
</t>
  </si>
  <si>
    <t>No.115  동관 용접접합</t>
  </si>
  <si>
    <t>No.116  환풍기 설치</t>
  </si>
  <si>
    <t>환풍기</t>
  </si>
  <si>
    <t>싸이클론
JV-201M</t>
  </si>
  <si>
    <t>MZZ9000074</t>
  </si>
  <si>
    <t>No.117  환풍기 설치</t>
  </si>
  <si>
    <t>휴젠뜨 노바
FHD2_C150P_NOVA_T0002</t>
  </si>
  <si>
    <t>MZZ9000073</t>
  </si>
  <si>
    <t>No.118  소켓 접착제 접합 및 배관</t>
  </si>
  <si>
    <t>배관공</t>
  </si>
  <si>
    <t>L001010101000039</t>
  </si>
  <si>
    <t>No.119  소켓 접착제 접합 및 배관</t>
  </si>
  <si>
    <t>No.120  전기온수기(벽걸이형)설치</t>
  </si>
  <si>
    <t>순간 온수기</t>
  </si>
  <si>
    <t>스테인리스 온수기 벽걸이형 15L (REW-SM15W)</t>
  </si>
  <si>
    <t>MZZ9000044</t>
  </si>
  <si>
    <t>보일러공</t>
  </si>
  <si>
    <t>L001010101000041</t>
  </si>
  <si>
    <t>No.121  전기온수기(벽걸이형)설치</t>
  </si>
  <si>
    <t>순간온수기</t>
  </si>
  <si>
    <t>프리미엄 스테인레스 온수기 벽걸이형 100L (REW-SA100W)</t>
  </si>
  <si>
    <t>MZZ9000045</t>
  </si>
  <si>
    <t>No.122  씽크대 설치</t>
  </si>
  <si>
    <t>카운터 싱크</t>
  </si>
  <si>
    <t>RIVA_U</t>
  </si>
  <si>
    <t>MZZ9000062</t>
  </si>
  <si>
    <t>위생공</t>
  </si>
  <si>
    <t>L001010101000042</t>
  </si>
  <si>
    <t>No.123  씽크수전 설치</t>
  </si>
  <si>
    <t>카운터 싱크 수전</t>
  </si>
  <si>
    <t>백조 사각싱크볼 콰이어트800</t>
  </si>
  <si>
    <t>MZZ9000061</t>
  </si>
  <si>
    <t>No.124  세면기 설치</t>
  </si>
  <si>
    <t>세면대</t>
  </si>
  <si>
    <t>스텐 화장실 세면대</t>
  </si>
  <si>
    <t>MZZ9000066</t>
  </si>
  <si>
    <t>No.125  세면기 수전설치</t>
  </si>
  <si>
    <t>세면대 수전</t>
  </si>
  <si>
    <t>더죤테크 니켈 원홀 욕실 세면대수전 하프단101</t>
  </si>
  <si>
    <t>MZZ9000065</t>
  </si>
  <si>
    <t>No.126  세면기 설치</t>
  </si>
  <si>
    <t>누오보 세면대 무광 화이트 탑볼 세면기 176 4538MW</t>
  </si>
  <si>
    <t>MZZ9000070</t>
  </si>
  <si>
    <t>No.127  세면기 수전설치</t>
  </si>
  <si>
    <t>No.128  청소용 수전설치</t>
  </si>
  <si>
    <t>청소 수전</t>
  </si>
  <si>
    <t>TB-S113N 스프레이건, 욕실청소용 미니건</t>
  </si>
  <si>
    <t>MZZ9000072</t>
  </si>
  <si>
    <t>No.129  바닥 배수구 설치</t>
  </si>
  <si>
    <t>배수 유가</t>
  </si>
  <si>
    <t>도무스 라인 육가 유가 S 150X150 실버</t>
  </si>
  <si>
    <t>MZZ9000081</t>
  </si>
  <si>
    <t>No.130  대변기(양변기) 설치</t>
  </si>
  <si>
    <t>양변기</t>
  </si>
  <si>
    <t>플랫네추럴 (비데일체형)</t>
  </si>
  <si>
    <t>MZZ9000067</t>
  </si>
  <si>
    <t>No.131  휴지걸이 설치</t>
  </si>
  <si>
    <t>휴지 걸이</t>
  </si>
  <si>
    <t>TB-PH0310 니켈 무광 스테인리스 국산 고퀄리티 선반형 휴지걸이</t>
  </si>
  <si>
    <t>MZZ9000068</t>
  </si>
  <si>
    <t>eq=LA(20)*0.02</t>
  </si>
  <si>
    <t>No.132  스테인리스 덕트설치</t>
  </si>
  <si>
    <t>1.0M/M</t>
  </si>
  <si>
    <t>95150167022</t>
  </si>
  <si>
    <t>M0195015</t>
  </si>
  <si>
    <t>덕트공</t>
  </si>
  <si>
    <t>L001010101000043</t>
  </si>
  <si>
    <t>1일 시공량 환산</t>
  </si>
  <si>
    <t>1일 11M2 시공</t>
  </si>
  <si>
    <t xml:space="preserve">LA=LA(20,30)/11_x000D_
</t>
  </si>
  <si>
    <t xml:space="preserve">eq=LA(40)*0.02_x000D_
</t>
  </si>
  <si>
    <t>No.133  스파이럴 덕트 설치</t>
  </si>
  <si>
    <t>스파이럴심 덕트관</t>
  </si>
  <si>
    <t>T0.6x200㎜</t>
  </si>
  <si>
    <t>M1775021</t>
  </si>
  <si>
    <t>단위환산</t>
  </si>
  <si>
    <t>1일 22M시공</t>
  </si>
  <si>
    <t>LA=LA(10,20)/22</t>
  </si>
  <si>
    <t>eq=LA(30)*0.02</t>
  </si>
  <si>
    <t>No.134  여닫이문 철거</t>
  </si>
  <si>
    <t>eq=LA(10,20)*0.3</t>
  </si>
  <si>
    <t>No.135  칸막이 벽체틀 설치</t>
  </si>
  <si>
    <t>미송각재</t>
  </si>
  <si>
    <t>3.6ｍ x 3.0cm x 3.0cm (상품)</t>
  </si>
  <si>
    <t>M0882021</t>
  </si>
  <si>
    <t>잡재료 및 소모재료</t>
  </si>
  <si>
    <t>주재료비의 5%</t>
  </si>
  <si>
    <t>MA=MA(10)*0.05</t>
  </si>
  <si>
    <t>No.136  (목재)합판 설치</t>
  </si>
  <si>
    <t>No.137  금속 판넬 벽 설치</t>
  </si>
  <si>
    <t>골함석(아연도강판)</t>
  </si>
  <si>
    <t>0.50x914x1829 (가공비포함)</t>
  </si>
  <si>
    <t>M3144012</t>
  </si>
  <si>
    <t>No.138  타일붙임(벽면-떠붙이기)</t>
  </si>
  <si>
    <t>MZZ90000171</t>
  </si>
  <si>
    <t>No.139  여닫이 도어</t>
  </si>
  <si>
    <t>No.140  창고 출입문</t>
  </si>
  <si>
    <t>777*2050 금속,문틀포함</t>
  </si>
  <si>
    <t>MZZ9000024</t>
  </si>
  <si>
    <t>No.141  빔 프로젝터 설치</t>
  </si>
  <si>
    <t>빔프로젝터</t>
  </si>
  <si>
    <t>LG전자 시네빔 HU915QE 사은제공 NT</t>
  </si>
  <si>
    <t>MZZ9000041</t>
  </si>
  <si>
    <t>** 프로젝터 설치</t>
  </si>
  <si>
    <t>통신관련산업기사</t>
  </si>
  <si>
    <t>기타 직종</t>
  </si>
  <si>
    <t>L001010501000112</t>
  </si>
  <si>
    <t>통신설비공</t>
  </si>
  <si>
    <t>L001010101000087</t>
  </si>
  <si>
    <t>** 프로젝터 설치조정</t>
  </si>
  <si>
    <t>통신관련기사</t>
  </si>
  <si>
    <t>L001010501000111</t>
  </si>
  <si>
    <t>** 프로젝터 시험 및 측정</t>
  </si>
  <si>
    <t>No.142  마루틀 설치</t>
  </si>
  <si>
    <t>eq=LA(10,20)*0.04</t>
  </si>
  <si>
    <t>No.143  마루바탕 설치</t>
  </si>
  <si>
    <t>12 x 910x1820㎜ (1급T-II)</t>
  </si>
  <si>
    <t>M4329011</t>
  </si>
  <si>
    <t>No.144  천장형 에어컨 설치</t>
  </si>
  <si>
    <t>40평형, 무풍</t>
  </si>
  <si>
    <t>MZZ9000033</t>
  </si>
  <si>
    <t>eq=LA(50,60,90,100)*0.02</t>
  </si>
  <si>
    <t>No.145  세면기 설치</t>
  </si>
  <si>
    <t>HSTB 데보라1035WH 화이트</t>
  </si>
  <si>
    <t>MZZ9000071</t>
  </si>
  <si>
    <t>No.146  타일 바탕고르기(벽면)</t>
  </si>
  <si>
    <t>No.147  타일붙임(벽면-떠붙이기)</t>
  </si>
  <si>
    <t>MZZ9000016</t>
  </si>
  <si>
    <t>No.148  타일줄눈 모르타르(벽면)</t>
  </si>
  <si>
    <t>모르타르 배합</t>
  </si>
  <si>
    <t>No.149  타일줄눈 설치(벽면)</t>
  </si>
  <si>
    <t>줄눈공</t>
  </si>
  <si>
    <t>L001010101000034</t>
  </si>
  <si>
    <t>No.150  타일붙임(벽면-떠붙이기)</t>
  </si>
  <si>
    <t>MZZ9000017</t>
  </si>
  <si>
    <t>No.151  도어록 설치</t>
  </si>
  <si>
    <t>eq=LA(20)*0.04</t>
  </si>
  <si>
    <t>No.152  목재면 바탕만들기</t>
  </si>
  <si>
    <t>No.153  목재 전용도료칠</t>
  </si>
  <si>
    <t>No.154  강재창호 설치</t>
  </si>
  <si>
    <t>No.155  모르타르 배합(체가름포함)</t>
  </si>
  <si>
    <t>* 모르타르 배합 재료비</t>
  </si>
  <si>
    <t>* 모르타르 배합 노무비</t>
  </si>
  <si>
    <t>중기사용료목록</t>
  </si>
  <si>
    <t>단 위</t>
    <phoneticPr fontId="75" type="noConversion"/>
  </si>
  <si>
    <t>중기사용료</t>
  </si>
  <si>
    <t>중 기 명</t>
  </si>
  <si>
    <t>덤프트럭2.5 ton</t>
  </si>
  <si>
    <t>중기가격</t>
  </si>
  <si>
    <t xml:space="preserve">21,982 천원  </t>
  </si>
  <si>
    <t>명  칭</t>
  </si>
  <si>
    <t>규        격</t>
  </si>
  <si>
    <t>2.5 톤</t>
  </si>
  <si>
    <t xml:space="preserve">천원  </t>
  </si>
  <si>
    <t>G0000060200250000</t>
  </si>
  <si>
    <t>.sang=1200, jung=1067,kwan=700</t>
  </si>
  <si>
    <t>소계</t>
  </si>
  <si>
    <t>경 유</t>
  </si>
  <si>
    <t xml:space="preserve">L     </t>
  </si>
  <si>
    <t>M9366005</t>
  </si>
  <si>
    <t>잡 품</t>
  </si>
  <si>
    <t xml:space="preserve">%     </t>
  </si>
  <si>
    <t>F/M1</t>
  </si>
  <si>
    <t>화물차운전사</t>
  </si>
  <si>
    <t xml:space="preserve">인    </t>
  </si>
  <si>
    <t>56900017059</t>
  </si>
  <si>
    <t>15</t>
  </si>
  <si>
    <t>L001010101000049</t>
  </si>
  <si>
    <t>총계</t>
  </si>
  <si>
    <t>운반트럭2.5 ton</t>
  </si>
  <si>
    <t>고소작업차5 ton</t>
  </si>
  <si>
    <t xml:space="preserve">140,857 천원  </t>
  </si>
  <si>
    <t>G0000210600050000</t>
  </si>
  <si>
    <t>.sang=1286,jung=357,kwan=955</t>
  </si>
  <si>
    <t>커터(콘크리트및아스팔트용)320-400 mm</t>
  </si>
  <si>
    <t xml:space="preserve">3,249 천원  </t>
  </si>
  <si>
    <t>G0000443004000000</t>
  </si>
  <si>
    <t>.sang=4000, jung=1333, kwan=1021</t>
  </si>
  <si>
    <t>휘 발 유</t>
  </si>
  <si>
    <t>M1510150620282203</t>
  </si>
  <si>
    <t>일반기계운전사</t>
  </si>
  <si>
    <t>56900017058</t>
  </si>
  <si>
    <t>L001010101000050</t>
  </si>
  <si>
    <t>소형브레이커(전기식)1.5kW</t>
  </si>
  <si>
    <t xml:space="preserve">1,375 천원  </t>
  </si>
  <si>
    <t>G0000522000150000</t>
  </si>
  <si>
    <t>.sang=2500,jung=0  , kwan=0</t>
  </si>
  <si>
    <t>동력분무기4.85Kw</t>
  </si>
  <si>
    <t xml:space="preserve">922 천원  </t>
  </si>
  <si>
    <t>G0000721004850000</t>
  </si>
  <si>
    <t>.sang=1125 ,jung=1000 ,kwan=674</t>
  </si>
  <si>
    <t>중기기초자료</t>
  </si>
  <si>
    <t>명 칭</t>
  </si>
  <si>
    <t>천원</t>
  </si>
  <si>
    <t>2026.09.10</t>
  </si>
  <si>
    <t>2026.09.01</t>
  </si>
  <si>
    <t>자재</t>
  </si>
  <si>
    <t>단  위</t>
    <phoneticPr fontId="75" type="noConversion"/>
  </si>
  <si>
    <t>단    가</t>
  </si>
  <si>
    <t>비  고</t>
    <phoneticPr fontId="75" type="noConversion"/>
  </si>
  <si>
    <t>거가/62(2609)/</t>
  </si>
  <si>
    <t>물자/1-16(2609)/</t>
  </si>
  <si>
    <t>거가/70(2609)/</t>
  </si>
  <si>
    <t>물정/1-26(2609)/</t>
  </si>
  <si>
    <t>물자/1-62(2609)/</t>
  </si>
  <si>
    <t>물정/1-58(2609)/</t>
  </si>
  <si>
    <t>물자/1-85(2609)/</t>
  </si>
  <si>
    <t>유물/73(2609)/</t>
  </si>
  <si>
    <t>물자/1-102(2609)/</t>
  </si>
  <si>
    <t>물정/1-121(2609)/</t>
  </si>
  <si>
    <t>물자/1-252(2609)/</t>
  </si>
  <si>
    <t>물정/1-461(2609)/</t>
  </si>
  <si>
    <t>물자/1-501(2609)/</t>
  </si>
  <si>
    <t>물정/(2609)/</t>
  </si>
  <si>
    <t>물자/1-576(2609)/</t>
  </si>
  <si>
    <t>물자/1-585(2609)/</t>
  </si>
  <si>
    <t>물자/1-588(2609)/</t>
  </si>
  <si>
    <t>유물/407(2609)/</t>
  </si>
  <si>
    <t>거가/667(2609)/</t>
  </si>
  <si>
    <t>물정/1-714(2609)/</t>
  </si>
  <si>
    <t>거가/786(2609)/</t>
  </si>
  <si>
    <t>물자/1-1412(2609)/</t>
  </si>
  <si>
    <t>거가/1460(2609)/</t>
  </si>
  <si>
    <t>견단/조달청가격정/</t>
  </si>
  <si>
    <t>견단//</t>
  </si>
  <si>
    <t>거가/627/</t>
  </si>
  <si>
    <t>거가/1523/</t>
  </si>
  <si>
    <t>거가/166/</t>
  </si>
  <si>
    <t>거가/167/</t>
  </si>
  <si>
    <t>물자/54(26.7)/</t>
  </si>
  <si>
    <t>물자/754(26.7)/</t>
  </si>
  <si>
    <t>물자/649(22.4)/</t>
  </si>
  <si>
    <t>물자/1414(26.7)/</t>
  </si>
  <si>
    <t>물자/505(26.3)/</t>
  </si>
  <si>
    <t>유물/415(13.3)/</t>
  </si>
  <si>
    <t>물정/656(22.8)/</t>
  </si>
  <si>
    <t>거가/794(26.7)/</t>
  </si>
  <si>
    <t>거가/121/</t>
  </si>
  <si>
    <t>/</t>
  </si>
  <si>
    <t>자재조서</t>
  </si>
  <si>
    <t>코 드</t>
  </si>
  <si>
    <t>규    격</t>
  </si>
  <si>
    <t>적용단가</t>
  </si>
  <si>
    <t>물가정보</t>
  </si>
  <si>
    <t>거래가격</t>
  </si>
  <si>
    <t>물가자료</t>
  </si>
  <si>
    <t>유통물가</t>
  </si>
  <si>
    <t>견적단가</t>
  </si>
  <si>
    <t>적용방법</t>
  </si>
  <si>
    <t>적용일시</t>
  </si>
  <si>
    <t>단가</t>
  </si>
  <si>
    <t>Page</t>
  </si>
  <si>
    <t>1-14(2609)</t>
  </si>
  <si>
    <t>62(2609)</t>
  </si>
  <si>
    <t>26(2609)</t>
  </si>
  <si>
    <t>최저단가</t>
  </si>
  <si>
    <t>2026-09-12 09:13:41</t>
  </si>
  <si>
    <t>66(2609)</t>
  </si>
  <si>
    <t>1-16(2609)</t>
  </si>
  <si>
    <t>2026-09-12 09:13:42</t>
  </si>
  <si>
    <t>70(2609)</t>
  </si>
  <si>
    <t>1-26(2609)</t>
  </si>
  <si>
    <t>2026-09-12 09:13:47</t>
  </si>
  <si>
    <t>73(2609)</t>
  </si>
  <si>
    <t>1-30(2609)</t>
  </si>
  <si>
    <t>36(2609)</t>
  </si>
  <si>
    <t>2026-09-12 09:13:50</t>
  </si>
  <si>
    <t>세사       (시내도착도)</t>
  </si>
  <si>
    <t>1-55(2609)</t>
  </si>
  <si>
    <t>1-62(2609)</t>
  </si>
  <si>
    <t>61(2609)</t>
  </si>
  <si>
    <t>2026-09-12 09:14:20</t>
  </si>
  <si>
    <t>1-58(2609)</t>
  </si>
  <si>
    <t>102(2609)</t>
  </si>
  <si>
    <t>1-65(2609)</t>
  </si>
  <si>
    <t>2026-09-12 09:14:38</t>
  </si>
  <si>
    <t>1-85(2609)</t>
  </si>
  <si>
    <t>2026-09-12 09:15:04</t>
  </si>
  <si>
    <t>147(2609)</t>
  </si>
  <si>
    <t>1-98(2609)</t>
  </si>
  <si>
    <t>2026-09-12 09:15:05</t>
  </si>
  <si>
    <t>152(2609)</t>
  </si>
  <si>
    <t>1-102(2609)</t>
  </si>
  <si>
    <t>2026-09-12 09:15:06</t>
  </si>
  <si>
    <t>1-121(2609)</t>
  </si>
  <si>
    <t>108(2609)</t>
  </si>
  <si>
    <t>2026-09-12 09:16:48</t>
  </si>
  <si>
    <t>1-252(2609)</t>
  </si>
  <si>
    <t>2026-09-12 09:17:06</t>
  </si>
  <si>
    <t>1-461(2609)</t>
  </si>
  <si>
    <t>2026-09-12 09:17:32</t>
  </si>
  <si>
    <t>1-501(2609)</t>
  </si>
  <si>
    <t>425(2609)\</t>
  </si>
  <si>
    <t>2026-09-27 21:39:50</t>
  </si>
  <si>
    <t>(2609)</t>
  </si>
  <si>
    <t>1-505(2609)</t>
  </si>
  <si>
    <t>2026-09-12 09:17:35</t>
  </si>
  <si>
    <t>658(2609)</t>
  </si>
  <si>
    <t>1-576(2609)</t>
  </si>
  <si>
    <t>451(2609)</t>
  </si>
  <si>
    <t>2026-09-12 09:17:36</t>
  </si>
  <si>
    <t>1-585(2609)</t>
  </si>
  <si>
    <t>2026-09-12 09:17:39</t>
  </si>
  <si>
    <t>1-588(2609)</t>
  </si>
  <si>
    <t>1-587(2609)</t>
  </si>
  <si>
    <t>667(2609)</t>
  </si>
  <si>
    <t>1-670(2609)</t>
  </si>
  <si>
    <t>407(2609)</t>
  </si>
  <si>
    <t>2026-09-12 09:17:43</t>
  </si>
  <si>
    <t>1-714(2609)</t>
  </si>
  <si>
    <t>785(2609)</t>
  </si>
  <si>
    <t>1-734(2609)</t>
  </si>
  <si>
    <t>546(2609)</t>
  </si>
  <si>
    <t>2026-09-12 09:18:26</t>
  </si>
  <si>
    <t>19A (5/8")   19.05㎜</t>
  </si>
  <si>
    <t>1-715(2609)</t>
  </si>
  <si>
    <t>786(2609)</t>
  </si>
  <si>
    <t>2026-09-12 09:18:27</t>
  </si>
  <si>
    <t>150-800#   230x280㎜  (공연마용)</t>
  </si>
  <si>
    <t>1-1078(2609)</t>
  </si>
  <si>
    <t>1337(2609)</t>
  </si>
  <si>
    <t>1-1412(2609)</t>
  </si>
  <si>
    <t>1168(2609)</t>
  </si>
  <si>
    <t>2026-09-12 09:23:00</t>
  </si>
  <si>
    <t>1460(2609)</t>
  </si>
  <si>
    <t>2-18(2609)</t>
  </si>
  <si>
    <t>1182(2609)</t>
  </si>
  <si>
    <t>2026-09-12 09:23:04</t>
  </si>
  <si>
    <t>조달청가격정보</t>
  </si>
  <si>
    <t>2026-08-07 12:39:33</t>
  </si>
  <si>
    <t>627</t>
  </si>
  <si>
    <t>1523</t>
  </si>
  <si>
    <t>166</t>
  </si>
  <si>
    <t>82</t>
  </si>
  <si>
    <t>2026-07-29 16:16:10</t>
  </si>
  <si>
    <t>167</t>
  </si>
  <si>
    <t>54(26.7)</t>
  </si>
  <si>
    <t>2026-07-06 19:07:50</t>
  </si>
  <si>
    <t>720(26.7)</t>
  </si>
  <si>
    <t>793(26.7)</t>
  </si>
  <si>
    <t>754(26.7)</t>
  </si>
  <si>
    <t>554(26.7)</t>
  </si>
  <si>
    <t>624(22.7)</t>
  </si>
  <si>
    <t>649(22.4)</t>
  </si>
  <si>
    <t>2026-07-06 19:07:51</t>
  </si>
  <si>
    <t>1080(26.7)</t>
  </si>
  <si>
    <t>1414(26.7)</t>
  </si>
  <si>
    <t>2026-07-06 19:07:52</t>
  </si>
  <si>
    <t>641(26.3)</t>
  </si>
  <si>
    <t>673(26.5)</t>
  </si>
  <si>
    <t>505(26.3)</t>
  </si>
  <si>
    <t>420(26.4)</t>
  </si>
  <si>
    <t>2026-07-06 19:07:54</t>
  </si>
  <si>
    <t>415(13.3)</t>
  </si>
  <si>
    <t>656(22.8)</t>
  </si>
  <si>
    <t>2026-07-06 19:07:56</t>
  </si>
  <si>
    <t>721(26.7)</t>
  </si>
  <si>
    <t>794(26.7)</t>
  </si>
  <si>
    <t>755(26.7)</t>
  </si>
  <si>
    <t>2026-09-27 22:11:51</t>
  </si>
  <si>
    <t>121</t>
  </si>
  <si>
    <t>2026-09-26 11:10:54</t>
  </si>
  <si>
    <t>입력단가</t>
  </si>
  <si>
    <t>2026-09-26 11:58:51</t>
  </si>
  <si>
    <t>2026-09-27 08:14:04</t>
  </si>
  <si>
    <t>2026-09-27 09:22:00</t>
  </si>
  <si>
    <t>2026-09-27 09:22:02</t>
  </si>
  <si>
    <t>2026-09-27 19:36:35</t>
  </si>
  <si>
    <t>2026-09-27 19:36:40</t>
  </si>
  <si>
    <t>2026-09-27 19:39:05</t>
  </si>
  <si>
    <t>2026-09-27 19:42:16</t>
  </si>
  <si>
    <t>2026-09-27 19:42:18</t>
  </si>
  <si>
    <t>2026-09-27 19:42:20</t>
  </si>
  <si>
    <t>2026-09-27 21:29:14</t>
  </si>
  <si>
    <t>2026-09-27 21:31:42</t>
  </si>
  <si>
    <t>2026-09-27 21:42:15</t>
  </si>
  <si>
    <t>2026-09-27 21:42:18</t>
  </si>
  <si>
    <t>2026-09-27 21:45:13</t>
  </si>
  <si>
    <t>2026-09-27 21:14:02</t>
  </si>
  <si>
    <t>2026-09-27 20:18:56</t>
  </si>
  <si>
    <t>2026-09-27 21:14:25</t>
  </si>
  <si>
    <t>2026-09-27 21:14:47</t>
  </si>
  <si>
    <t>2026-09-27 09:44:31</t>
  </si>
  <si>
    <t>2026-09-27 20:41:26</t>
  </si>
  <si>
    <t>2026-09-27 22:16:56</t>
  </si>
  <si>
    <t>2026-09-27 22:18:06</t>
  </si>
  <si>
    <t>2026-09-27 22:18:19</t>
  </si>
  <si>
    <t>2026-09-27 22:18:38</t>
  </si>
  <si>
    <t>2026-09-27 22:19:23</t>
  </si>
  <si>
    <t>2026-09-27 22:20:17</t>
  </si>
  <si>
    <t>2026-09-27 22:20:30</t>
  </si>
  <si>
    <t>2026-09-27 22:20:58</t>
  </si>
  <si>
    <t>2026-09-27 22:21:19</t>
  </si>
  <si>
    <t>2026-09-27 22:21:25</t>
  </si>
  <si>
    <t>2026-09-27 22:21:32</t>
  </si>
  <si>
    <t>2026-09-27 22:21:46</t>
  </si>
  <si>
    <t>2026-09-27 22:21:49</t>
  </si>
  <si>
    <t>2026-09-27 22:22:21</t>
  </si>
  <si>
    <t>2026-09-27 22:23:29</t>
  </si>
  <si>
    <t>2026-09-27 22:22:47</t>
  </si>
  <si>
    <t>2026-09-27 22:23:45</t>
  </si>
  <si>
    <t>노임</t>
  </si>
  <si>
    <t>변 수 명</t>
  </si>
  <si>
    <t>형 식</t>
  </si>
  <si>
    <t xml:space="preserve">   값   </t>
  </si>
  <si>
    <t>비    고</t>
  </si>
  <si>
    <t>중기전역변수</t>
  </si>
  <si>
    <t>QCODE</t>
  </si>
  <si>
    <t>문자</t>
  </si>
  <si>
    <t>100000000001</t>
  </si>
  <si>
    <t>QUS2WON</t>
  </si>
  <si>
    <t>숫자</t>
  </si>
  <si>
    <t>환율(장비가격10만불이하)</t>
  </si>
  <si>
    <t>QUS2WON1</t>
  </si>
  <si>
    <t>환율(장비가격10만불이상)</t>
  </si>
  <si>
    <t>QYEN2WON</t>
  </si>
  <si>
    <t>환율(엔화)</t>
  </si>
  <si>
    <t>QDM2WON</t>
  </si>
  <si>
    <t>환율(마르크화)</t>
  </si>
  <si>
    <t>QSDR2WON</t>
  </si>
  <si>
    <t>환율(IMF특별인출권)</t>
  </si>
  <si>
    <t>QECU2WON</t>
  </si>
  <si>
    <t>환율(유로화)</t>
  </si>
  <si>
    <t>QEQTY1</t>
  </si>
  <si>
    <t>(SANG + JUNG + KWAN)*10^-4</t>
  </si>
  <si>
    <t>중기주간경비산출계수</t>
  </si>
  <si>
    <t>QEQTY2</t>
  </si>
  <si>
    <t>중기야간경비산출계수</t>
  </si>
  <si>
    <t>QEQTY3</t>
  </si>
  <si>
    <t>(SANG + JUNG + int(KWAN/3))*10^-4</t>
  </si>
  <si>
    <t>중기주야간경비산출계수</t>
  </si>
  <si>
    <t>QEINC2</t>
  </si>
  <si>
    <t>중기야간할증계수</t>
  </si>
  <si>
    <t>QEINC3</t>
  </si>
  <si>
    <t>중기주야간할증계수</t>
  </si>
  <si>
    <t>QDECPEQ</t>
  </si>
  <si>
    <t>0</t>
  </si>
  <si>
    <t>경비단가소숫점</t>
  </si>
  <si>
    <t>QDECCEQ</t>
  </si>
  <si>
    <t>경비금액소숫점</t>
  </si>
  <si>
    <t>QDECEQ</t>
  </si>
  <si>
    <t>경비계금액소숫점</t>
  </si>
  <si>
    <t>QH1</t>
  </si>
  <si>
    <t>시간당노임산출계수(일반구간)</t>
  </si>
  <si>
    <t>QH2</t>
  </si>
  <si>
    <t>시간당노임산출계수(터널구간)</t>
  </si>
  <si>
    <t>QH21</t>
  </si>
  <si>
    <t>시간당노임산출계수(장대터널)</t>
  </si>
  <si>
    <t>QH31</t>
  </si>
  <si>
    <t>시간당노임산출계수(해상장비:펌프준설선)</t>
  </si>
  <si>
    <t>QH32</t>
  </si>
  <si>
    <t>시간당노임산출계수(해상장비:GRAB준설선)</t>
  </si>
  <si>
    <t>QH33</t>
  </si>
  <si>
    <t>시간당노임산출계수(해상장비:버켓준설선)</t>
  </si>
  <si>
    <t>QLINC1</t>
  </si>
  <si>
    <t>노임할증계수(일반구간:주간)</t>
  </si>
  <si>
    <t>QLINC2</t>
  </si>
  <si>
    <t>노임할증계수(일반구간:야간)</t>
  </si>
  <si>
    <t>QLINC3</t>
  </si>
  <si>
    <t>노임할증계수(일반구간:주야간)</t>
  </si>
  <si>
    <t>QLINCA</t>
  </si>
  <si>
    <t>노임할증계수(터널구간:주간)</t>
  </si>
  <si>
    <t>QLINCB</t>
  </si>
  <si>
    <t>노임할증계수(터널구간:야간)</t>
  </si>
  <si>
    <t>QLINCC</t>
  </si>
  <si>
    <t>노임할증계수(터널구간:주야간)</t>
  </si>
  <si>
    <t>QLINCD</t>
  </si>
  <si>
    <t>노임할증계수(장대터널:주간)</t>
  </si>
  <si>
    <t>QLINCE</t>
  </si>
  <si>
    <t>노임할증계수(장대터널:야간)</t>
  </si>
  <si>
    <t>QLINCF</t>
  </si>
  <si>
    <t>노임할증계수(장대터널:주야간)</t>
  </si>
  <si>
    <t>QLINCX</t>
  </si>
  <si>
    <t>노임할증계수(해상장비:주간)</t>
  </si>
  <si>
    <t>QLINCY</t>
  </si>
  <si>
    <t>노임할증계수(해상장비:야간)</t>
  </si>
  <si>
    <t>QLINCZ</t>
  </si>
  <si>
    <t>노임할증계수(해상장비:주야간)</t>
  </si>
  <si>
    <t>QDECPLA</t>
  </si>
  <si>
    <t>노임단가소숫점</t>
  </si>
  <si>
    <t>QDECCLA</t>
  </si>
  <si>
    <t>노임금액소숫점</t>
  </si>
  <si>
    <t>QDECLA</t>
  </si>
  <si>
    <t>노임계금액소숫점</t>
  </si>
  <si>
    <t>QMINC2</t>
  </si>
  <si>
    <t>재료비할증계수(야간)</t>
  </si>
  <si>
    <t>QMINC3</t>
  </si>
  <si>
    <t>재료비할증계수(주야간)</t>
  </si>
  <si>
    <t>QDECPMA</t>
  </si>
  <si>
    <t>2</t>
  </si>
  <si>
    <t>재료비단가소숫점</t>
  </si>
  <si>
    <t>QDECCMA</t>
  </si>
  <si>
    <t>재료비금액소숫점</t>
  </si>
  <si>
    <t>QDECMA</t>
  </si>
  <si>
    <t>재료비계금액소숫점</t>
  </si>
  <si>
    <t>QVER</t>
  </si>
  <si>
    <t>QSABUN</t>
  </si>
  <si>
    <t>QDATE</t>
  </si>
  <si>
    <t>QUS2WON2</t>
  </si>
  <si>
    <t>환율(사용자 환율1)</t>
  </si>
  <si>
    <t>QUS2WON3</t>
  </si>
  <si>
    <t>환율(사용자 환율2)</t>
  </si>
  <si>
    <t>QOPtimeDecCnt</t>
  </si>
  <si>
    <t>7</t>
  </si>
  <si>
    <t>QOPtimeDecOp</t>
  </si>
  <si>
    <t>구  매  제  품  비</t>
    <phoneticPr fontId="2" type="noConversion"/>
  </si>
  <si>
    <t>합산별도</t>
    <phoneticPr fontId="2" type="noConversion"/>
  </si>
  <si>
    <t>구매 물품비</t>
    <phoneticPr fontId="7" type="noConversion"/>
  </si>
  <si>
    <t xml:space="preserve">7. 공사기간  다음 예정공정표에 의거 착수일로부터  1개월 (28일) 내에 준공키로 하고 다음 경우에 한하여 관의 승인을 얻어 그 기간을 </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</si>
</sst>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2" formatCode="_-&quot;₩&quot;* #,##0_-;\-&quot;₩&quot;* #,##0_-;_-&quot;₩&quot;* &quot;-&quot;_-;_-@_-"/>
    <numFmt numFmtId="41" formatCode="_-* #,##0_-;\-* #,##0_-;_-* &quot;-&quot;_-;_-@_-"/>
    <numFmt numFmtId="43" formatCode="_-* #,##0.00_-;\-* #,##0.00_-;_-* &quot;-&quot;??_-;_-@_-"/>
    <numFmt numFmtId="176" formatCode="_-* #,##0.00_-;\-* #,##0.00_-;_-* &quot;-&quot;_-;_-@_-"/>
    <numFmt numFmtId="177" formatCode="0_ "/>
    <numFmt numFmtId="178" formatCode="0.000"/>
    <numFmt numFmtId="179" formatCode="\=\ ###,###,##0.####"/>
    <numFmt numFmtId="180" formatCode="_-* #,##0.000_-;\-* #,##0.000_-;_-* &quot;-&quot;_-;_-@_-"/>
    <numFmt numFmtId="181" formatCode="&quot;( \ &quot;#,##0&quot; - 원정 )&quot;"/>
    <numFmt numFmtId="182" formatCode="#,##0&quot; - 원정&quot;"/>
    <numFmt numFmtId="183" formatCode="##,##0&quot; - 원정&quot;"/>
    <numFmt numFmtId="184" formatCode="0.000%"/>
    <numFmt numFmtId="185" formatCode="0\ &quot;일&quot;"/>
    <numFmt numFmtId="186" formatCode="#,###"/>
    <numFmt numFmtId="187" formatCode="_(* #,##0.00_);_(* \(#,##0.00\);_(* &quot;-&quot;??_);_(@_)"/>
    <numFmt numFmtId="188" formatCode="_(* #,##0_);_(* \(#,##0\);_(* &quot;-&quot;??_);_(@_)"/>
    <numFmt numFmtId="189" formatCode="mm&quot;월&quot;\ dd&quot;일&quot;"/>
    <numFmt numFmtId="190" formatCode="&quot;(&quot;#,##0&quot; - 원정)&quot;"/>
    <numFmt numFmtId="191" formatCode="0.0"/>
    <numFmt numFmtId="192" formatCode="#,##0_ ;[Red]\-#,##0\ "/>
    <numFmt numFmtId="193" formatCode="_-* #,##0.000_-;\-* #,##0.000_-;_-* &quot;-&quot;??_-;_-@_-"/>
    <numFmt numFmtId="194" formatCode="General;\-General\,&quot;&quot;;@"/>
    <numFmt numFmtId="195" formatCode="#,###;\-#,###;&quot;&quot;;@"/>
    <numFmt numFmtId="196" formatCode="#,###.00;\-#,###.00;&quot;&quot;;@"/>
    <numFmt numFmtId="197" formatCode="#,###.000;\-#,###.000;&quot;&quot;;@"/>
  </numFmts>
  <fonts count="84">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2"/>
      <name val="바탕체"/>
      <family val="1"/>
      <charset val="129"/>
    </font>
    <font>
      <sz val="8"/>
      <name val="HY울릉도L"/>
      <family val="1"/>
      <charset val="129"/>
    </font>
    <font>
      <sz val="11"/>
      <name val="돋움"/>
      <family val="3"/>
      <charset val="129"/>
    </font>
    <font>
      <sz val="11"/>
      <name val="굴림"/>
      <family val="3"/>
      <charset val="129"/>
    </font>
    <font>
      <sz val="8"/>
      <name val="돋움"/>
      <family val="3"/>
      <charset val="129"/>
    </font>
    <font>
      <b/>
      <sz val="11"/>
      <name val="굴림"/>
      <family val="3"/>
      <charset val="129"/>
    </font>
    <font>
      <b/>
      <sz val="18"/>
      <name val="굴림"/>
      <family val="3"/>
      <charset val="129"/>
    </font>
    <font>
      <b/>
      <sz val="16"/>
      <name val="굴림"/>
      <family val="3"/>
      <charset val="129"/>
    </font>
    <font>
      <sz val="8"/>
      <name val="굴림체"/>
      <family val="3"/>
      <charset val="129"/>
    </font>
    <font>
      <b/>
      <sz val="14"/>
      <name val="굴림"/>
      <family val="3"/>
      <charset val="129"/>
    </font>
    <font>
      <sz val="20"/>
      <name val="굴림"/>
      <family val="3"/>
      <charset val="129"/>
    </font>
    <font>
      <sz val="10"/>
      <name val="굴림"/>
      <family val="3"/>
      <charset val="129"/>
    </font>
    <font>
      <sz val="12"/>
      <name val="굴림"/>
      <family val="3"/>
      <charset val="129"/>
    </font>
    <font>
      <b/>
      <sz val="12"/>
      <name val="굴림"/>
      <family val="3"/>
      <charset val="129"/>
    </font>
    <font>
      <sz val="9"/>
      <name val="돋움체"/>
      <family val="3"/>
      <charset val="129"/>
    </font>
    <font>
      <sz val="9"/>
      <color indexed="8"/>
      <name val="돋움체"/>
      <family val="3"/>
      <charset val="129"/>
    </font>
    <font>
      <sz val="9"/>
      <name val="굴림"/>
      <family val="3"/>
      <charset val="129"/>
    </font>
    <font>
      <b/>
      <sz val="9"/>
      <name val="굴림"/>
      <family val="3"/>
      <charset val="129"/>
    </font>
    <font>
      <sz val="11"/>
      <color theme="1"/>
      <name val="맑은 고딕"/>
      <family val="3"/>
      <charset val="129"/>
      <scheme val="minor"/>
    </font>
    <font>
      <sz val="11"/>
      <color theme="0"/>
      <name val="굴림"/>
      <family val="3"/>
      <charset val="129"/>
    </font>
    <font>
      <b/>
      <sz val="24"/>
      <name val="굴림"/>
      <family val="3"/>
      <charset val="129"/>
    </font>
    <font>
      <b/>
      <sz val="20"/>
      <name val="굴림"/>
      <family val="3"/>
      <charset val="129"/>
    </font>
    <font>
      <sz val="8"/>
      <name val="맑은 고딕"/>
      <family val="3"/>
      <charset val="129"/>
    </font>
    <font>
      <sz val="9"/>
      <color indexed="8"/>
      <name val="굴림체"/>
      <family val="3"/>
      <charset val="129"/>
    </font>
    <font>
      <sz val="11"/>
      <color theme="1"/>
      <name val="굴림"/>
      <family val="3"/>
      <charset val="129"/>
    </font>
    <font>
      <b/>
      <u/>
      <sz val="18"/>
      <color theme="1"/>
      <name val="굴림"/>
      <family val="3"/>
      <charset val="129"/>
    </font>
    <font>
      <b/>
      <sz val="11"/>
      <color theme="1"/>
      <name val="굴림"/>
      <family val="3"/>
      <charset val="129"/>
    </font>
    <font>
      <b/>
      <sz val="8"/>
      <name val="굴림"/>
      <family val="3"/>
      <charset val="129"/>
    </font>
    <font>
      <sz val="11"/>
      <color rgb="FFFF0000"/>
      <name val="굴림"/>
      <family val="3"/>
      <charset val="129"/>
    </font>
    <font>
      <b/>
      <sz val="10"/>
      <name val="굴림"/>
      <family val="3"/>
      <charset val="129"/>
    </font>
    <font>
      <sz val="9"/>
      <color theme="1"/>
      <name val="굴림"/>
      <family val="3"/>
      <charset val="129"/>
    </font>
    <font>
      <b/>
      <sz val="10"/>
      <color theme="1"/>
      <name val="굴림"/>
      <family val="3"/>
      <charset val="129"/>
    </font>
    <font>
      <b/>
      <sz val="9"/>
      <color theme="1"/>
      <name val="굴림"/>
      <family val="3"/>
      <charset val="129"/>
    </font>
    <font>
      <b/>
      <sz val="14"/>
      <color theme="1"/>
      <name val="굴림체"/>
      <family val="3"/>
      <charset val="129"/>
    </font>
    <font>
      <b/>
      <sz val="16"/>
      <color indexed="8"/>
      <name val="굴림체"/>
      <family val="3"/>
      <charset val="129"/>
    </font>
    <font>
      <sz val="8"/>
      <color theme="1"/>
      <name val="굴림"/>
      <family val="3"/>
      <charset val="129"/>
    </font>
    <font>
      <b/>
      <u/>
      <sz val="24"/>
      <name val="굴림"/>
      <family val="3"/>
      <charset val="129"/>
    </font>
    <font>
      <sz val="9"/>
      <color theme="1"/>
      <name val="맑은 고딕"/>
      <family val="2"/>
      <charset val="129"/>
      <scheme val="minor"/>
    </font>
    <font>
      <sz val="6"/>
      <color theme="1"/>
      <name val="맑은 고딕"/>
      <family val="2"/>
      <charset val="129"/>
      <scheme val="minor"/>
    </font>
    <font>
      <sz val="14"/>
      <color rgb="FFFF0000"/>
      <name val="맑은 고딕"/>
      <family val="3"/>
      <charset val="129"/>
      <scheme val="minor"/>
    </font>
    <font>
      <b/>
      <sz val="26"/>
      <color theme="1"/>
      <name val="맑은 고딕"/>
      <family val="2"/>
      <charset val="129"/>
      <scheme val="minor"/>
    </font>
    <font>
      <b/>
      <sz val="24"/>
      <color theme="1"/>
      <name val="맑은 고딕"/>
      <family val="2"/>
      <charset val="129"/>
      <scheme val="minor"/>
    </font>
    <font>
      <b/>
      <sz val="24"/>
      <color theme="1"/>
      <name val="돋움"/>
      <family val="3"/>
      <charset val="129"/>
    </font>
    <font>
      <b/>
      <sz val="24"/>
      <color theme="1"/>
      <name val="맑은 고딕"/>
      <family val="3"/>
      <charset val="129"/>
    </font>
    <font>
      <b/>
      <sz val="24"/>
      <color theme="1"/>
      <name val="맑은 고딕"/>
      <family val="2"/>
      <charset val="129"/>
    </font>
    <font>
      <sz val="13"/>
      <color rgb="FFFF0000"/>
      <name val="맑은 고딕"/>
      <family val="3"/>
      <charset val="129"/>
      <scheme val="minor"/>
    </font>
    <font>
      <sz val="12"/>
      <color theme="1"/>
      <name val="맑은 고딕"/>
      <family val="2"/>
      <charset val="129"/>
      <scheme val="minor"/>
    </font>
    <font>
      <b/>
      <sz val="12"/>
      <color theme="1"/>
      <name val="맑은 고딕"/>
      <family val="3"/>
      <charset val="129"/>
      <scheme val="minor"/>
    </font>
    <font>
      <b/>
      <sz val="12"/>
      <color theme="1"/>
      <name val="맑은 고딕"/>
      <family val="2"/>
      <charset val="129"/>
      <scheme val="minor"/>
    </font>
    <font>
      <u/>
      <sz val="11"/>
      <color theme="1"/>
      <name val="맑은 고딕"/>
      <family val="3"/>
      <charset val="129"/>
      <scheme val="minor"/>
    </font>
    <font>
      <sz val="10"/>
      <color theme="1"/>
      <name val="맑은 고딕"/>
      <family val="3"/>
      <charset val="129"/>
      <scheme val="minor"/>
    </font>
    <font>
      <vertAlign val="superscript"/>
      <sz val="11"/>
      <color theme="1"/>
      <name val="맑은 고딕"/>
      <family val="3"/>
      <charset val="129"/>
      <scheme val="minor"/>
    </font>
    <font>
      <sz val="11"/>
      <name val="맑은 고딕"/>
      <family val="2"/>
      <charset val="129"/>
      <scheme val="minor"/>
    </font>
    <font>
      <sz val="11"/>
      <color theme="1"/>
      <name val="돋움"/>
      <family val="3"/>
      <charset val="129"/>
    </font>
    <font>
      <sz val="11"/>
      <color theme="1"/>
      <name val="맑은 고딕"/>
      <family val="3"/>
      <charset val="129"/>
    </font>
    <font>
      <sz val="11"/>
      <color theme="1"/>
      <name val="맑은 고딕"/>
      <family val="2"/>
      <charset val="129"/>
    </font>
    <font>
      <b/>
      <sz val="11"/>
      <color rgb="FF3333FF"/>
      <name val="맑은 고딕"/>
      <family val="3"/>
      <charset val="129"/>
    </font>
    <font>
      <sz val="11"/>
      <color rgb="FFFF0000"/>
      <name val="맑은 고딕"/>
      <family val="3"/>
      <charset val="129"/>
      <scheme val="minor"/>
    </font>
    <font>
      <sz val="9.5"/>
      <color theme="1"/>
      <name val="맑은 고딕"/>
      <family val="3"/>
      <charset val="129"/>
      <scheme val="minor"/>
    </font>
    <font>
      <sz val="9.5"/>
      <color theme="1"/>
      <name val="맑은 고딕"/>
      <family val="2"/>
      <charset val="129"/>
    </font>
    <font>
      <sz val="11"/>
      <name val="맑은 고딕"/>
      <family val="3"/>
      <charset val="129"/>
      <scheme val="minor"/>
    </font>
    <font>
      <sz val="10.5"/>
      <color theme="1"/>
      <name val="맑은 고딕"/>
      <family val="3"/>
      <charset val="129"/>
      <scheme val="minor"/>
    </font>
    <font>
      <sz val="8"/>
      <color theme="1"/>
      <name val="맑은 고딕"/>
      <family val="3"/>
      <charset val="129"/>
      <scheme val="minor"/>
    </font>
    <font>
      <b/>
      <sz val="11"/>
      <color theme="1"/>
      <name val="맑은 고딕"/>
      <family val="3"/>
      <charset val="129"/>
      <scheme val="minor"/>
    </font>
    <font>
      <b/>
      <sz val="11"/>
      <color rgb="FF3333FF"/>
      <name val="맑은 고딕"/>
      <family val="3"/>
      <charset val="129"/>
      <scheme val="minor"/>
    </font>
    <font>
      <sz val="11"/>
      <color rgb="FFFF0000"/>
      <name val="맑은 고딕"/>
      <family val="2"/>
      <charset val="129"/>
      <scheme val="minor"/>
    </font>
    <font>
      <b/>
      <sz val="12"/>
      <name val="맑은 고딕"/>
      <family val="3"/>
      <charset val="129"/>
      <scheme val="minor"/>
    </font>
    <font>
      <sz val="11"/>
      <name val="맑은 고딕"/>
      <family val="3"/>
      <charset val="129"/>
    </font>
    <font>
      <sz val="9.5"/>
      <name val="맑은 고딕"/>
      <family val="3"/>
      <charset val="129"/>
    </font>
    <font>
      <sz val="11"/>
      <color indexed="8"/>
      <name val="굴림"/>
      <family val="3"/>
      <charset val="129"/>
    </font>
    <font>
      <sz val="9"/>
      <color rgb="FFFF0000"/>
      <name val="굴림"/>
      <family val="3"/>
      <charset val="129"/>
    </font>
    <font>
      <sz val="10"/>
      <color theme="1"/>
      <name val="굴림"/>
      <family val="3"/>
      <charset val="129"/>
    </font>
    <font>
      <sz val="8"/>
      <name val="굴림"/>
      <family val="3"/>
      <charset val="129"/>
    </font>
    <font>
      <sz val="8"/>
      <color indexed="8"/>
      <name val="굴림"/>
      <family val="3"/>
      <charset val="129"/>
    </font>
    <font>
      <b/>
      <sz val="12"/>
      <color indexed="8"/>
      <name val="굴림"/>
      <family val="3"/>
      <charset val="129"/>
    </font>
    <font>
      <u/>
      <sz val="8"/>
      <color indexed="30"/>
      <name val="굴림"/>
      <family val="3"/>
      <charset val="129"/>
    </font>
    <font>
      <sz val="8"/>
      <color indexed="22"/>
      <name val="굴림"/>
      <family val="3"/>
      <charset val="129"/>
    </font>
    <font>
      <u/>
      <sz val="8"/>
      <color indexed="12"/>
      <name val="굴림"/>
      <family val="3"/>
      <charset val="129"/>
    </font>
    <font>
      <u/>
      <sz val="8"/>
      <name val="굴림"/>
      <family val="3"/>
      <charset val="129"/>
    </font>
    <font>
      <b/>
      <sz val="11"/>
      <color rgb="FFFF0000"/>
      <name val="굴림"/>
      <family val="3"/>
      <charset val="129"/>
    </font>
    <font>
      <sz val="8"/>
      <color rgb="FFFF0000"/>
      <name val="굴림"/>
      <family val="3"/>
      <charset val="129"/>
    </font>
  </fonts>
  <fills count="16">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FDE1F6"/>
        <bgColor indexed="64"/>
      </patternFill>
    </fill>
    <fill>
      <patternFill patternType="solid">
        <fgColor rgb="FFFFFFCC"/>
        <bgColor indexed="64"/>
      </patternFill>
    </fill>
    <fill>
      <patternFill patternType="solid">
        <fgColor rgb="FFEBFFEB"/>
        <bgColor indexed="64"/>
      </patternFill>
    </fill>
    <fill>
      <patternFill patternType="solid">
        <fgColor rgb="FF92D05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0.14996795556505021"/>
        <bgColor indexed="64"/>
      </patternFill>
    </fill>
  </fills>
  <borders count="10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double">
        <color indexed="64"/>
      </bottom>
      <diagonal/>
    </border>
    <border>
      <left style="thin">
        <color indexed="64"/>
      </left>
      <right style="thin">
        <color indexed="64"/>
      </right>
      <top style="thin">
        <color indexed="64"/>
      </top>
      <bottom style="hair">
        <color indexed="64"/>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indexed="64"/>
      </top>
      <bottom/>
      <diagonal/>
    </border>
    <border>
      <left style="medium">
        <color auto="1"/>
      </left>
      <right/>
      <top/>
      <bottom style="thin">
        <color auto="1"/>
      </bottom>
      <diagonal/>
    </border>
    <border>
      <left/>
      <right style="thick">
        <color indexed="64"/>
      </right>
      <top/>
      <bottom style="thin">
        <color auto="1"/>
      </bottom>
      <diagonal/>
    </border>
    <border>
      <left style="medium">
        <color indexed="64"/>
      </left>
      <right style="medium">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n">
        <color auto="1"/>
      </left>
      <right style="thin">
        <color auto="1"/>
      </right>
      <top style="thin">
        <color auto="1"/>
      </top>
      <bottom/>
      <diagonal/>
    </border>
    <border>
      <left style="thick">
        <color indexed="64"/>
      </left>
      <right style="thin">
        <color auto="1"/>
      </right>
      <top/>
      <bottom/>
      <diagonal/>
    </border>
    <border>
      <left style="thin">
        <color auto="1"/>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auto="1"/>
      </left>
      <right style="thin">
        <color auto="1"/>
      </right>
      <top/>
      <bottom style="thin">
        <color auto="1"/>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style="thick">
        <color indexed="64"/>
      </left>
      <right/>
      <top/>
      <bottom style="hair">
        <color indexed="64"/>
      </bottom>
      <diagonal/>
    </border>
    <border>
      <left/>
      <right/>
      <top/>
      <bottom style="hair">
        <color indexed="64"/>
      </bottom>
      <diagonal/>
    </border>
    <border>
      <left/>
      <right style="thick">
        <color indexed="64"/>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top style="thick">
        <color indexed="64"/>
      </top>
      <bottom/>
      <diagonal/>
    </border>
    <border>
      <left/>
      <right style="thin">
        <color indexed="64"/>
      </right>
      <top style="thin">
        <color indexed="64"/>
      </top>
      <bottom style="hair">
        <color indexed="64"/>
      </bottom>
      <diagonal/>
    </border>
    <border>
      <left style="thin">
        <color indexed="64"/>
      </left>
      <right style="thick">
        <color indexed="64"/>
      </right>
      <top style="thin">
        <color indexed="64"/>
      </top>
      <bottom style="hair">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bottom style="medium">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right style="medium">
        <color indexed="64"/>
      </right>
      <top/>
      <bottom style="thick">
        <color indexed="64"/>
      </bottom>
      <diagonal/>
    </border>
    <border>
      <left style="medium">
        <color auto="1"/>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style="thin">
        <color auto="1"/>
      </left>
      <right style="thick">
        <color indexed="64"/>
      </right>
      <top style="thin">
        <color auto="1"/>
      </top>
      <bottom/>
      <diagonal/>
    </border>
    <border>
      <left style="thin">
        <color auto="1"/>
      </left>
      <right style="thick">
        <color indexed="64"/>
      </right>
      <top/>
      <bottom/>
      <diagonal/>
    </border>
    <border>
      <left style="thin">
        <color auto="1"/>
      </left>
      <right style="thick">
        <color indexed="64"/>
      </right>
      <top/>
      <bottom style="thin">
        <color auto="1"/>
      </bottom>
      <diagonal/>
    </border>
    <border>
      <left style="thin">
        <color indexed="64"/>
      </left>
      <right style="thin">
        <color indexed="64"/>
      </right>
      <top style="hair">
        <color indexed="64"/>
      </top>
      <bottom/>
      <diagonal/>
    </border>
    <border>
      <left/>
      <right/>
      <top style="double">
        <color indexed="64"/>
      </top>
      <bottom/>
      <diagonal/>
    </border>
  </borders>
  <cellStyleXfs count="17">
    <xf numFmtId="0" fontId="0" fillId="0" borderId="0">
      <alignment vertical="center"/>
    </xf>
    <xf numFmtId="41" fontId="1" fillId="0" borderId="0" applyFont="0" applyFill="0" applyBorder="0" applyAlignment="0" applyProtection="0">
      <alignment vertical="center"/>
    </xf>
    <xf numFmtId="0" fontId="3" fillId="0" borderId="0"/>
    <xf numFmtId="0" fontId="4" fillId="0" borderId="0">
      <alignment vertical="center"/>
    </xf>
    <xf numFmtId="0" fontId="5" fillId="0" borderId="0"/>
    <xf numFmtId="37" fontId="3" fillId="0" borderId="0"/>
    <xf numFmtId="42" fontId="5" fillId="0" borderId="0" applyFont="0" applyFill="0" applyBorder="0" applyAlignment="0" applyProtection="0"/>
    <xf numFmtId="41" fontId="5" fillId="0" borderId="0" applyFont="0" applyFill="0" applyBorder="0" applyAlignment="0" applyProtection="0"/>
    <xf numFmtId="0" fontId="17" fillId="0" borderId="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1" fontId="5" fillId="0" borderId="0" applyFont="0" applyFill="0" applyBorder="0" applyAlignment="0" applyProtection="0"/>
    <xf numFmtId="0" fontId="21" fillId="0" borderId="0">
      <alignment vertical="center"/>
    </xf>
    <xf numFmtId="187" fontId="26" fillId="0" borderId="0"/>
    <xf numFmtId="41" fontId="21" fillId="0" borderId="0" applyFont="0" applyFill="0" applyBorder="0" applyAlignment="0" applyProtection="0">
      <alignment vertical="center"/>
    </xf>
    <xf numFmtId="0" fontId="26" fillId="0" borderId="0"/>
    <xf numFmtId="0" fontId="76" fillId="0" borderId="0"/>
  </cellStyleXfs>
  <cellXfs count="833">
    <xf numFmtId="0" fontId="0" fillId="0" borderId="0" xfId="0">
      <alignment vertical="center"/>
    </xf>
    <xf numFmtId="0" fontId="6" fillId="0" borderId="12" xfId="4" applyFont="1" applyBorder="1" applyAlignment="1">
      <alignment vertical="center"/>
    </xf>
    <xf numFmtId="0" fontId="6" fillId="0" borderId="13" xfId="4" applyFont="1" applyBorder="1" applyAlignment="1">
      <alignment vertical="center"/>
    </xf>
    <xf numFmtId="0" fontId="6" fillId="0" borderId="14" xfId="4" applyFont="1" applyBorder="1" applyAlignment="1">
      <alignment vertical="center"/>
    </xf>
    <xf numFmtId="0" fontId="6" fillId="0" borderId="0" xfId="4" applyFont="1" applyAlignment="1">
      <alignment vertical="center"/>
    </xf>
    <xf numFmtId="0" fontId="9" fillId="0" borderId="20" xfId="4" applyFont="1" applyBorder="1" applyAlignment="1">
      <alignment vertical="center"/>
    </xf>
    <xf numFmtId="0" fontId="6" fillId="0" borderId="21" xfId="4" applyFont="1" applyBorder="1" applyAlignment="1">
      <alignment vertical="center"/>
    </xf>
    <xf numFmtId="0" fontId="6" fillId="0" borderId="1" xfId="4" applyFont="1" applyBorder="1" applyAlignment="1">
      <alignment horizontal="center" vertical="center"/>
    </xf>
    <xf numFmtId="0" fontId="6" fillId="0" borderId="20" xfId="4" applyFont="1" applyBorder="1" applyAlignment="1">
      <alignment vertical="center"/>
    </xf>
    <xf numFmtId="0" fontId="8" fillId="0" borderId="2" xfId="4" applyFont="1" applyBorder="1" applyAlignment="1">
      <alignment vertical="center"/>
    </xf>
    <xf numFmtId="0" fontId="6" fillId="0" borderId="2" xfId="4" applyFont="1" applyBorder="1" applyAlignment="1">
      <alignment vertical="center"/>
    </xf>
    <xf numFmtId="0" fontId="6" fillId="0" borderId="0" xfId="4" applyFont="1" applyAlignment="1">
      <alignment horizontal="center" vertical="center"/>
    </xf>
    <xf numFmtId="0" fontId="6" fillId="0" borderId="20" xfId="4" applyFont="1" applyBorder="1" applyAlignment="1">
      <alignment horizontal="center" vertical="center"/>
    </xf>
    <xf numFmtId="0" fontId="13" fillId="0" borderId="0" xfId="4" applyFont="1" applyAlignment="1">
      <alignment vertical="center"/>
    </xf>
    <xf numFmtId="0" fontId="6" fillId="0" borderId="0" xfId="4" applyFont="1" applyAlignment="1">
      <alignment horizontal="left" vertical="center" indent="1"/>
    </xf>
    <xf numFmtId="0" fontId="8" fillId="0" borderId="4" xfId="4" applyFont="1" applyBorder="1" applyAlignment="1">
      <alignment vertical="center"/>
    </xf>
    <xf numFmtId="0" fontId="6" fillId="0" borderId="4" xfId="4" applyFont="1" applyBorder="1" applyAlignment="1">
      <alignment vertical="center"/>
    </xf>
    <xf numFmtId="0" fontId="10" fillId="0" borderId="0" xfId="4" applyFont="1" applyAlignment="1">
      <alignment vertical="center"/>
    </xf>
    <xf numFmtId="0" fontId="14" fillId="0" borderId="0" xfId="4" applyFont="1" applyAlignment="1">
      <alignment horizontal="center" vertical="center"/>
    </xf>
    <xf numFmtId="37" fontId="6" fillId="0" borderId="0" xfId="5" applyFont="1" applyAlignment="1">
      <alignment vertical="center"/>
    </xf>
    <xf numFmtId="42" fontId="12" fillId="0" borderId="0" xfId="6" applyFont="1" applyBorder="1" applyAlignment="1">
      <alignment horizontal="left" vertical="center" indent="1"/>
    </xf>
    <xf numFmtId="0" fontId="16" fillId="0" borderId="0" xfId="4" applyFont="1" applyAlignment="1">
      <alignment vertical="center"/>
    </xf>
    <xf numFmtId="0" fontId="8" fillId="0" borderId="0" xfId="4" applyFont="1" applyAlignment="1">
      <alignment vertical="center"/>
    </xf>
    <xf numFmtId="183" fontId="15" fillId="0" borderId="0" xfId="7" applyNumberFormat="1" applyFont="1" applyBorder="1" applyAlignment="1">
      <alignment vertical="center"/>
    </xf>
    <xf numFmtId="0" fontId="6" fillId="0" borderId="27" xfId="4" applyFont="1" applyBorder="1" applyAlignment="1">
      <alignment vertical="center"/>
    </xf>
    <xf numFmtId="0" fontId="6" fillId="0" borderId="28" xfId="4" applyFont="1" applyBorder="1" applyAlignment="1">
      <alignment vertical="center"/>
    </xf>
    <xf numFmtId="0" fontId="6" fillId="0" borderId="29" xfId="4" applyFont="1" applyBorder="1" applyAlignment="1">
      <alignment vertical="center"/>
    </xf>
    <xf numFmtId="0" fontId="9" fillId="0" borderId="0" xfId="4" applyFont="1" applyAlignment="1">
      <alignment vertical="center"/>
    </xf>
    <xf numFmtId="0" fontId="14" fillId="0" borderId="0" xfId="4" applyFont="1" applyAlignment="1">
      <alignment vertical="center"/>
    </xf>
    <xf numFmtId="0" fontId="6" fillId="0" borderId="15" xfId="4" applyFont="1" applyBorder="1" applyAlignment="1">
      <alignment horizontal="center" vertical="center"/>
    </xf>
    <xf numFmtId="185" fontId="6" fillId="0" borderId="16" xfId="4" applyNumberFormat="1" applyFont="1" applyBorder="1" applyAlignment="1">
      <alignment horizontal="center" vertical="center"/>
    </xf>
    <xf numFmtId="0" fontId="6" fillId="0" borderId="30" xfId="4" applyFont="1" applyBorder="1" applyAlignment="1">
      <alignment horizontal="center" vertical="center"/>
    </xf>
    <xf numFmtId="0" fontId="6" fillId="0" borderId="22" xfId="4" applyFont="1" applyBorder="1" applyAlignment="1">
      <alignment horizontal="distributed" vertical="center"/>
    </xf>
    <xf numFmtId="9" fontId="6" fillId="0" borderId="31" xfId="4" applyNumberFormat="1" applyFont="1" applyBorder="1" applyAlignment="1">
      <alignment horizontal="center" vertical="center"/>
    </xf>
    <xf numFmtId="0" fontId="6" fillId="0" borderId="36" xfId="4" applyFont="1" applyBorder="1" applyAlignment="1">
      <alignment vertical="center"/>
    </xf>
    <xf numFmtId="0" fontId="6" fillId="0" borderId="1" xfId="4" applyFont="1" applyBorder="1" applyAlignment="1">
      <alignment vertical="center"/>
    </xf>
    <xf numFmtId="0" fontId="6" fillId="0" borderId="31" xfId="4" applyFont="1" applyBorder="1" applyAlignment="1">
      <alignment horizontal="center" vertical="center"/>
    </xf>
    <xf numFmtId="0" fontId="6" fillId="0" borderId="33" xfId="4" applyFont="1" applyBorder="1" applyAlignment="1">
      <alignment vertical="center"/>
    </xf>
    <xf numFmtId="0" fontId="6" fillId="0" borderId="38" xfId="4" applyFont="1" applyBorder="1" applyAlignment="1">
      <alignment vertical="center"/>
    </xf>
    <xf numFmtId="0" fontId="6" fillId="0" borderId="40" xfId="4" applyFont="1" applyBorder="1" applyAlignment="1">
      <alignment vertical="center"/>
    </xf>
    <xf numFmtId="0" fontId="6" fillId="0" borderId="41" xfId="4" applyFont="1" applyBorder="1" applyAlignment="1">
      <alignment horizontal="distributed" vertical="center"/>
    </xf>
    <xf numFmtId="0" fontId="6" fillId="0" borderId="42" xfId="4" applyFont="1" applyBorder="1" applyAlignment="1">
      <alignment vertical="center"/>
    </xf>
    <xf numFmtId="0" fontId="6" fillId="0" borderId="43" xfId="4" applyFont="1" applyBorder="1" applyAlignment="1">
      <alignment vertical="center"/>
    </xf>
    <xf numFmtId="0" fontId="24" fillId="0" borderId="21" xfId="4" applyFont="1" applyBorder="1"/>
    <xf numFmtId="0" fontId="23" fillId="0" borderId="0" xfId="4" applyFont="1" applyAlignment="1">
      <alignment vertical="center"/>
    </xf>
    <xf numFmtId="0" fontId="27" fillId="0" borderId="0" xfId="12" applyFont="1">
      <alignment vertical="center"/>
    </xf>
    <xf numFmtId="0" fontId="29" fillId="2" borderId="1" xfId="12" quotePrefix="1" applyFont="1" applyFill="1" applyBorder="1" applyAlignment="1">
      <alignment horizontal="center" vertical="center" wrapText="1"/>
    </xf>
    <xf numFmtId="0" fontId="27" fillId="0" borderId="0" xfId="12" quotePrefix="1" applyFont="1">
      <alignment vertical="center"/>
    </xf>
    <xf numFmtId="0" fontId="27" fillId="0" borderId="1" xfId="12" quotePrefix="1" applyFont="1" applyBorder="1" applyAlignment="1">
      <alignment horizontal="center" vertical="center" wrapText="1"/>
    </xf>
    <xf numFmtId="186" fontId="27" fillId="0" borderId="1" xfId="12" applyNumberFormat="1" applyFont="1" applyBorder="1" applyAlignment="1">
      <alignment vertical="center" wrapText="1"/>
    </xf>
    <xf numFmtId="0" fontId="29" fillId="4" borderId="1" xfId="12" quotePrefix="1" applyFont="1" applyFill="1" applyBorder="1" applyAlignment="1">
      <alignment horizontal="center" vertical="center" wrapText="1"/>
    </xf>
    <xf numFmtId="186" fontId="29" fillId="4" borderId="1" xfId="12" applyNumberFormat="1" applyFont="1" applyFill="1" applyBorder="1" applyAlignment="1">
      <alignment vertical="center" wrapText="1"/>
    </xf>
    <xf numFmtId="10" fontId="27" fillId="0" borderId="1" xfId="12" quotePrefix="1" applyNumberFormat="1" applyFont="1" applyBorder="1" applyAlignment="1">
      <alignment horizontal="center" vertical="center" wrapText="1"/>
    </xf>
    <xf numFmtId="0" fontId="27" fillId="0" borderId="1" xfId="12" applyFont="1" applyBorder="1" applyAlignment="1">
      <alignment horizontal="center" vertical="center" wrapText="1"/>
    </xf>
    <xf numFmtId="0" fontId="27" fillId="5" borderId="0" xfId="12" quotePrefix="1" applyFont="1" applyFill="1">
      <alignment vertical="center"/>
    </xf>
    <xf numFmtId="0" fontId="27" fillId="5" borderId="0" xfId="12" applyFont="1" applyFill="1">
      <alignment vertical="center"/>
    </xf>
    <xf numFmtId="43" fontId="30" fillId="0" borderId="0" xfId="12" applyNumberFormat="1" applyFont="1">
      <alignment vertical="center"/>
    </xf>
    <xf numFmtId="0" fontId="30" fillId="0" borderId="0" xfId="12" applyFont="1">
      <alignment vertical="center"/>
    </xf>
    <xf numFmtId="9" fontId="27" fillId="0" borderId="1" xfId="12" quotePrefix="1" applyNumberFormat="1" applyFont="1" applyBorder="1" applyAlignment="1">
      <alignment horizontal="center" vertical="center" wrapText="1"/>
    </xf>
    <xf numFmtId="0" fontId="29" fillId="6" borderId="1" xfId="12" quotePrefix="1" applyFont="1" applyFill="1" applyBorder="1" applyAlignment="1">
      <alignment horizontal="center" vertical="center" wrapText="1"/>
    </xf>
    <xf numFmtId="0" fontId="27" fillId="0" borderId="0" xfId="12" applyFont="1" applyAlignment="1">
      <alignment horizontal="center" vertical="center"/>
    </xf>
    <xf numFmtId="41" fontId="31" fillId="0" borderId="0" xfId="14" applyFont="1" applyAlignment="1">
      <alignment horizontal="center" vertical="center"/>
    </xf>
    <xf numFmtId="189" fontId="27" fillId="0" borderId="0" xfId="12" applyNumberFormat="1" applyFont="1">
      <alignment vertical="center"/>
    </xf>
    <xf numFmtId="41" fontId="31" fillId="0" borderId="0" xfId="12" applyNumberFormat="1" applyFont="1">
      <alignment vertical="center"/>
    </xf>
    <xf numFmtId="41" fontId="27" fillId="0" borderId="0" xfId="12" applyNumberFormat="1" applyFont="1" applyAlignment="1">
      <alignment horizontal="center" vertical="center"/>
    </xf>
    <xf numFmtId="0" fontId="29" fillId="7" borderId="1" xfId="12" quotePrefix="1" applyFont="1" applyFill="1" applyBorder="1" applyAlignment="1">
      <alignment horizontal="center" vertical="center" wrapText="1"/>
    </xf>
    <xf numFmtId="186" fontId="29" fillId="7" borderId="1" xfId="12" applyNumberFormat="1" applyFont="1" applyFill="1" applyBorder="1" applyAlignment="1">
      <alignment vertical="center" wrapText="1"/>
    </xf>
    <xf numFmtId="0" fontId="27" fillId="0" borderId="0" xfId="0" applyFont="1">
      <alignment vertical="center"/>
    </xf>
    <xf numFmtId="0" fontId="32" fillId="0" borderId="0" xfId="2" applyFont="1" applyAlignment="1">
      <alignment horizontal="left" vertical="center"/>
    </xf>
    <xf numFmtId="0" fontId="32" fillId="0" borderId="2" xfId="2" applyFont="1" applyBorder="1" applyAlignment="1">
      <alignment vertical="center"/>
    </xf>
    <xf numFmtId="0" fontId="32" fillId="0" borderId="0" xfId="2" applyFont="1" applyAlignment="1">
      <alignment horizontal="left" vertical="center" indent="1"/>
    </xf>
    <xf numFmtId="0" fontId="32" fillId="0" borderId="0" xfId="2" applyFont="1" applyAlignment="1">
      <alignment horizontal="center" vertical="center"/>
    </xf>
    <xf numFmtId="41" fontId="32" fillId="0" borderId="0" xfId="1" applyFont="1" applyBorder="1" applyAlignment="1">
      <alignment horizontal="center" vertical="center"/>
    </xf>
    <xf numFmtId="0" fontId="32" fillId="3" borderId="1" xfId="2" applyFont="1" applyFill="1" applyBorder="1" applyAlignment="1">
      <alignment horizontal="center" vertical="center" wrapText="1"/>
    </xf>
    <xf numFmtId="177" fontId="32" fillId="3" borderId="1" xfId="2" applyNumberFormat="1" applyFont="1" applyFill="1" applyBorder="1" applyAlignment="1">
      <alignment horizontal="center" vertical="center" wrapText="1"/>
    </xf>
    <xf numFmtId="41" fontId="32" fillId="3" borderId="1" xfId="1" applyFont="1" applyFill="1" applyBorder="1" applyAlignment="1">
      <alignment horizontal="center" vertical="center" wrapText="1"/>
    </xf>
    <xf numFmtId="179" fontId="19" fillId="0" borderId="10" xfId="3" applyNumberFormat="1" applyFont="1" applyBorder="1" applyAlignment="1">
      <alignment horizontal="left" vertical="center" indent="1" shrinkToFit="1"/>
    </xf>
    <xf numFmtId="0" fontId="19" fillId="0" borderId="10" xfId="3" applyFont="1" applyBorder="1" applyAlignment="1">
      <alignment horizontal="center" vertical="center" wrapText="1"/>
    </xf>
    <xf numFmtId="41" fontId="19" fillId="0" borderId="10" xfId="1" applyFont="1" applyBorder="1" applyAlignment="1">
      <alignment horizontal="right" vertical="center"/>
    </xf>
    <xf numFmtId="0" fontId="19" fillId="0" borderId="10" xfId="3" applyFont="1" applyBorder="1" applyAlignment="1">
      <alignment horizontal="center" vertical="center"/>
    </xf>
    <xf numFmtId="0" fontId="19" fillId="0" borderId="10" xfId="3" applyFont="1" applyBorder="1">
      <alignment vertical="center"/>
    </xf>
    <xf numFmtId="176" fontId="19" fillId="0" borderId="10" xfId="1" applyNumberFormat="1" applyFont="1" applyBorder="1" applyAlignment="1">
      <alignment horizontal="right" vertical="center"/>
    </xf>
    <xf numFmtId="0" fontId="19" fillId="0" borderId="11" xfId="3" applyFont="1" applyBorder="1" applyAlignment="1">
      <alignment horizontal="center" vertical="center"/>
    </xf>
    <xf numFmtId="0" fontId="19" fillId="0" borderId="11" xfId="3" applyFont="1" applyBorder="1" applyAlignment="1">
      <alignment horizontal="left" vertical="center"/>
    </xf>
    <xf numFmtId="179" fontId="19" fillId="0" borderId="11" xfId="3" applyNumberFormat="1" applyFont="1" applyBorder="1" applyAlignment="1">
      <alignment horizontal="left" vertical="center" indent="1" shrinkToFit="1"/>
    </xf>
    <xf numFmtId="0" fontId="19" fillId="0" borderId="11" xfId="3" applyFont="1" applyBorder="1" applyAlignment="1">
      <alignment horizontal="center" vertical="center" wrapText="1"/>
    </xf>
    <xf numFmtId="176" fontId="19" fillId="0" borderId="11" xfId="1" applyNumberFormat="1" applyFont="1" applyBorder="1" applyAlignment="1">
      <alignment horizontal="right" vertical="center"/>
    </xf>
    <xf numFmtId="0" fontId="29" fillId="0" borderId="0" xfId="0" applyFont="1">
      <alignment vertical="center"/>
    </xf>
    <xf numFmtId="0" fontId="27" fillId="0" borderId="0" xfId="0" applyFont="1" applyAlignment="1">
      <alignment horizontal="center" vertical="center"/>
    </xf>
    <xf numFmtId="0" fontId="34" fillId="0" borderId="1" xfId="0" applyFont="1" applyBorder="1" applyAlignment="1">
      <alignment horizontal="center" vertical="center"/>
    </xf>
    <xf numFmtId="0" fontId="35" fillId="4" borderId="1" xfId="0" quotePrefix="1" applyFont="1" applyFill="1" applyBorder="1" applyAlignment="1">
      <alignment horizontal="center" vertical="center"/>
    </xf>
    <xf numFmtId="0" fontId="35" fillId="4" borderId="1" xfId="0" applyFont="1" applyFill="1" applyBorder="1">
      <alignment vertical="center"/>
    </xf>
    <xf numFmtId="0" fontId="35" fillId="4" borderId="1" xfId="0" applyFont="1" applyFill="1" applyBorder="1" applyAlignment="1">
      <alignment horizontal="center" vertical="center"/>
    </xf>
    <xf numFmtId="0" fontId="33" fillId="0" borderId="1" xfId="0" applyFont="1" applyBorder="1" applyAlignment="1">
      <alignment horizontal="left" vertical="center"/>
    </xf>
    <xf numFmtId="0" fontId="33" fillId="0" borderId="1" xfId="0" applyFont="1" applyBorder="1" applyAlignment="1">
      <alignment horizontal="center" vertical="center"/>
    </xf>
    <xf numFmtId="0" fontId="36" fillId="0" borderId="0" xfId="0" applyFont="1">
      <alignment vertical="center"/>
    </xf>
    <xf numFmtId="0" fontId="37" fillId="0" borderId="0" xfId="15" applyFont="1" applyAlignment="1">
      <alignment vertical="center"/>
    </xf>
    <xf numFmtId="0" fontId="29" fillId="0" borderId="2" xfId="12" quotePrefix="1" applyFont="1" applyBorder="1" applyAlignment="1">
      <alignment vertical="center" shrinkToFit="1"/>
    </xf>
    <xf numFmtId="0" fontId="32" fillId="0" borderId="0" xfId="12" applyFont="1">
      <alignment vertical="center"/>
    </xf>
    <xf numFmtId="186" fontId="27" fillId="8" borderId="1" xfId="12" applyNumberFormat="1" applyFont="1" applyFill="1" applyBorder="1" applyAlignment="1">
      <alignment vertical="center" wrapText="1"/>
    </xf>
    <xf numFmtId="0" fontId="38" fillId="0" borderId="1" xfId="0" applyFont="1" applyBorder="1" applyAlignment="1">
      <alignment horizontal="center" vertical="center"/>
    </xf>
    <xf numFmtId="0" fontId="31" fillId="0" borderId="1" xfId="12" quotePrefix="1" applyFont="1" applyBorder="1" applyAlignment="1">
      <alignment horizontal="center" vertical="center" wrapText="1"/>
    </xf>
    <xf numFmtId="186" fontId="31" fillId="0" borderId="1" xfId="12" applyNumberFormat="1" applyFont="1" applyBorder="1" applyAlignment="1">
      <alignment vertical="center" wrapText="1"/>
    </xf>
    <xf numFmtId="10" fontId="31" fillId="0" borderId="1" xfId="12" quotePrefix="1" applyNumberFormat="1" applyFont="1" applyBorder="1" applyAlignment="1">
      <alignment horizontal="center" vertical="center" wrapText="1"/>
    </xf>
    <xf numFmtId="0" fontId="31" fillId="0" borderId="1" xfId="12" applyFont="1" applyBorder="1" applyAlignment="1">
      <alignment horizontal="center" vertical="center" wrapText="1"/>
    </xf>
    <xf numFmtId="184" fontId="31" fillId="0" borderId="1" xfId="12" quotePrefix="1" applyNumberFormat="1" applyFont="1" applyBorder="1" applyAlignment="1">
      <alignment horizontal="center" vertical="center" wrapText="1"/>
    </xf>
    <xf numFmtId="41" fontId="19" fillId="0" borderId="10" xfId="1" applyFont="1" applyBorder="1" applyAlignment="1">
      <alignment horizontal="center" vertical="center"/>
    </xf>
    <xf numFmtId="176" fontId="19" fillId="0" borderId="10" xfId="1" applyNumberFormat="1" applyFont="1" applyBorder="1" applyAlignment="1">
      <alignment horizontal="center" vertical="center"/>
    </xf>
    <xf numFmtId="176" fontId="19" fillId="0" borderId="11" xfId="1" applyNumberFormat="1" applyFont="1" applyBorder="1" applyAlignment="1">
      <alignment horizontal="center" vertical="center"/>
    </xf>
    <xf numFmtId="0" fontId="20" fillId="8" borderId="45" xfId="3" applyFont="1" applyFill="1" applyBorder="1" applyAlignment="1">
      <alignment horizontal="center" vertical="center"/>
    </xf>
    <xf numFmtId="0" fontId="20" fillId="0" borderId="10" xfId="3" applyFont="1" applyBorder="1" applyAlignment="1">
      <alignment horizontal="left" vertical="center"/>
    </xf>
    <xf numFmtId="0" fontId="35" fillId="0" borderId="0" xfId="0" applyFont="1" applyAlignment="1">
      <alignment horizontal="right" vertical="center"/>
    </xf>
    <xf numFmtId="179" fontId="20" fillId="8" borderId="45" xfId="3" applyNumberFormat="1" applyFont="1" applyFill="1" applyBorder="1" applyAlignment="1">
      <alignment horizontal="left" vertical="center" indent="1" shrinkToFit="1"/>
    </xf>
    <xf numFmtId="0" fontId="20" fillId="8" borderId="45" xfId="3" applyFont="1" applyFill="1" applyBorder="1" applyAlignment="1">
      <alignment horizontal="center" vertical="center" wrapText="1"/>
    </xf>
    <xf numFmtId="41" fontId="20" fillId="8" borderId="45" xfId="1" applyFont="1" applyFill="1" applyBorder="1" applyAlignment="1">
      <alignment horizontal="center" vertical="center"/>
    </xf>
    <xf numFmtId="176" fontId="20" fillId="8" borderId="45" xfId="1" applyNumberFormat="1" applyFont="1" applyFill="1" applyBorder="1" applyAlignment="1">
      <alignment horizontal="right" vertical="center"/>
    </xf>
    <xf numFmtId="0" fontId="20" fillId="8" borderId="45" xfId="3" applyFont="1" applyFill="1" applyBorder="1" applyAlignment="1">
      <alignment horizontal="left" vertical="center"/>
    </xf>
    <xf numFmtId="184" fontId="27" fillId="0" borderId="1" xfId="12" quotePrefix="1" applyNumberFormat="1" applyFont="1" applyBorder="1" applyAlignment="1">
      <alignment horizontal="center" vertical="center" wrapText="1"/>
    </xf>
    <xf numFmtId="0" fontId="40" fillId="0" borderId="13" xfId="0" applyFont="1" applyBorder="1">
      <alignment vertical="center"/>
    </xf>
    <xf numFmtId="0" fontId="41" fillId="0" borderId="0" xfId="0" applyFont="1">
      <alignment vertical="center"/>
    </xf>
    <xf numFmtId="0" fontId="44" fillId="0" borderId="0" xfId="0" applyFont="1">
      <alignment vertical="center"/>
    </xf>
    <xf numFmtId="0" fontId="40" fillId="0" borderId="0" xfId="0" applyFont="1">
      <alignment vertical="center"/>
    </xf>
    <xf numFmtId="0" fontId="49" fillId="9" borderId="47" xfId="0" applyFont="1" applyFill="1" applyBorder="1">
      <alignment vertical="center"/>
    </xf>
    <xf numFmtId="0" fontId="49" fillId="9" borderId="48" xfId="0" applyFont="1" applyFill="1" applyBorder="1">
      <alignment vertical="center"/>
    </xf>
    <xf numFmtId="0" fontId="49" fillId="9" borderId="49" xfId="0" applyFont="1" applyFill="1" applyBorder="1">
      <alignment vertical="center"/>
    </xf>
    <xf numFmtId="0" fontId="49" fillId="9" borderId="50" xfId="0" applyFont="1" applyFill="1" applyBorder="1">
      <alignment vertical="center"/>
    </xf>
    <xf numFmtId="0" fontId="49" fillId="9" borderId="54" xfId="0" applyFont="1" applyFill="1" applyBorder="1">
      <alignment vertical="center"/>
    </xf>
    <xf numFmtId="0" fontId="49" fillId="9" borderId="0" xfId="0" applyFont="1" applyFill="1">
      <alignment vertical="center"/>
    </xf>
    <xf numFmtId="0" fontId="49" fillId="9" borderId="21" xfId="0" applyFont="1" applyFill="1" applyBorder="1">
      <alignment vertical="center"/>
    </xf>
    <xf numFmtId="0" fontId="49" fillId="9" borderId="20" xfId="0" applyFont="1" applyFill="1" applyBorder="1">
      <alignment vertical="center"/>
    </xf>
    <xf numFmtId="0" fontId="21" fillId="9" borderId="54" xfId="0" applyFont="1" applyFill="1" applyBorder="1">
      <alignment vertical="center"/>
    </xf>
    <xf numFmtId="0" fontId="21" fillId="9" borderId="0" xfId="0" applyFont="1" applyFill="1">
      <alignment vertical="center"/>
    </xf>
    <xf numFmtId="0" fontId="21" fillId="9" borderId="21" xfId="0" applyFont="1" applyFill="1" applyBorder="1">
      <alignment vertical="center"/>
    </xf>
    <xf numFmtId="0" fontId="21" fillId="9" borderId="20" xfId="0" applyFont="1" applyFill="1" applyBorder="1">
      <alignment vertical="center"/>
    </xf>
    <xf numFmtId="0" fontId="21" fillId="9" borderId="67" xfId="0" applyFont="1" applyFill="1" applyBorder="1">
      <alignment vertical="center"/>
    </xf>
    <xf numFmtId="0" fontId="21" fillId="9" borderId="2" xfId="0" applyFont="1" applyFill="1" applyBorder="1">
      <alignment vertical="center"/>
    </xf>
    <xf numFmtId="0" fontId="21" fillId="9" borderId="24" xfId="0" applyFont="1" applyFill="1" applyBorder="1">
      <alignment vertical="center"/>
    </xf>
    <xf numFmtId="0" fontId="21" fillId="9" borderId="64" xfId="0" applyFont="1" applyFill="1" applyBorder="1">
      <alignment vertical="center"/>
    </xf>
    <xf numFmtId="0" fontId="0" fillId="0" borderId="83" xfId="0" applyBorder="1" applyAlignment="1">
      <alignment vertical="center" shrinkToFit="1"/>
    </xf>
    <xf numFmtId="0" fontId="0" fillId="0" borderId="46" xfId="0" applyBorder="1" applyAlignment="1">
      <alignment vertical="center" shrinkToFit="1"/>
    </xf>
    <xf numFmtId="0" fontId="0" fillId="0" borderId="84" xfId="0" applyBorder="1" applyAlignment="1">
      <alignment vertical="center" shrinkToFit="1"/>
    </xf>
    <xf numFmtId="0" fontId="21" fillId="0" borderId="54" xfId="0" applyFont="1" applyBorder="1">
      <alignment vertical="center"/>
    </xf>
    <xf numFmtId="0" fontId="21" fillId="0" borderId="0" xfId="0" applyFont="1">
      <alignment vertical="center"/>
    </xf>
    <xf numFmtId="0" fontId="21" fillId="0" borderId="55" xfId="0" applyFont="1" applyBorder="1">
      <alignment vertical="center"/>
    </xf>
    <xf numFmtId="0" fontId="6" fillId="0" borderId="1" xfId="12" quotePrefix="1" applyFont="1" applyBorder="1" applyAlignment="1">
      <alignment horizontal="center" vertical="center" wrapText="1"/>
    </xf>
    <xf numFmtId="186" fontId="6" fillId="0" borderId="1" xfId="12" applyNumberFormat="1" applyFont="1" applyBorder="1" applyAlignment="1">
      <alignment vertical="center" wrapText="1"/>
    </xf>
    <xf numFmtId="184" fontId="6" fillId="0" borderId="1" xfId="12" quotePrefix="1" applyNumberFormat="1" applyFont="1" applyBorder="1" applyAlignment="1">
      <alignment horizontal="center" vertical="center" wrapText="1"/>
    </xf>
    <xf numFmtId="10" fontId="6" fillId="0" borderId="1" xfId="12" quotePrefix="1" applyNumberFormat="1" applyFont="1" applyBorder="1" applyAlignment="1">
      <alignment horizontal="center" vertical="center" wrapText="1"/>
    </xf>
    <xf numFmtId="0" fontId="58" fillId="0" borderId="0" xfId="0" applyFont="1">
      <alignment vertical="center"/>
    </xf>
    <xf numFmtId="0" fontId="58" fillId="0" borderId="2" xfId="0" applyFont="1" applyBorder="1">
      <alignment vertical="center"/>
    </xf>
    <xf numFmtId="0" fontId="60" fillId="0" borderId="54" xfId="0" quotePrefix="1" applyFont="1" applyBorder="1" applyAlignment="1">
      <alignment vertical="center" shrinkToFit="1"/>
    </xf>
    <xf numFmtId="0" fontId="60" fillId="0" borderId="0" xfId="0" quotePrefix="1" applyFont="1" applyAlignment="1">
      <alignment vertical="center" shrinkToFit="1"/>
    </xf>
    <xf numFmtId="0" fontId="60" fillId="0" borderId="55" xfId="0" quotePrefix="1" applyFont="1" applyBorder="1" applyAlignment="1">
      <alignment vertical="center" shrinkToFit="1"/>
    </xf>
    <xf numFmtId="0" fontId="0" fillId="0" borderId="54" xfId="0" applyBorder="1" applyAlignment="1">
      <alignment vertical="center" shrinkToFit="1"/>
    </xf>
    <xf numFmtId="0" fontId="0" fillId="0" borderId="0" xfId="0" applyAlignment="1">
      <alignment vertical="center" shrinkToFit="1"/>
    </xf>
    <xf numFmtId="0" fontId="0" fillId="0" borderId="55" xfId="0" applyBorder="1" applyAlignment="1">
      <alignment vertical="center" shrinkToFit="1"/>
    </xf>
    <xf numFmtId="0" fontId="21" fillId="0" borderId="83" xfId="0" applyFont="1" applyBorder="1">
      <alignment vertical="center"/>
    </xf>
    <xf numFmtId="0" fontId="21" fillId="0" borderId="46" xfId="0" applyFont="1" applyBorder="1">
      <alignment vertical="center"/>
    </xf>
    <xf numFmtId="0" fontId="21" fillId="0" borderId="84" xfId="0" applyFont="1" applyBorder="1">
      <alignment vertical="center"/>
    </xf>
    <xf numFmtId="188" fontId="72" fillId="0" borderId="0" xfId="13" applyNumberFormat="1" applyFont="1" applyAlignment="1">
      <alignment vertical="center"/>
    </xf>
    <xf numFmtId="41" fontId="10" fillId="0" borderId="0" xfId="14" applyFont="1" applyAlignment="1">
      <alignment horizontal="center" vertical="center"/>
    </xf>
    <xf numFmtId="192" fontId="16" fillId="0" borderId="0" xfId="14" applyNumberFormat="1" applyFont="1">
      <alignment vertical="center"/>
    </xf>
    <xf numFmtId="0" fontId="6" fillId="0" borderId="0" xfId="0" applyFont="1">
      <alignment vertical="center"/>
    </xf>
    <xf numFmtId="0" fontId="32" fillId="0" borderId="1" xfId="0" applyFont="1" applyBorder="1" applyAlignment="1">
      <alignment horizontal="center" vertical="center"/>
    </xf>
    <xf numFmtId="0" fontId="20" fillId="4" borderId="1" xfId="0" applyFont="1" applyFill="1" applyBorder="1">
      <alignment vertical="center"/>
    </xf>
    <xf numFmtId="176" fontId="19" fillId="0" borderId="1" xfId="1" applyNumberFormat="1" applyFont="1" applyBorder="1" applyAlignment="1">
      <alignment horizontal="right" vertical="center"/>
    </xf>
    <xf numFmtId="0" fontId="33" fillId="0" borderId="1" xfId="0" applyFont="1" applyBorder="1" applyAlignment="1">
      <alignment horizontal="center" vertical="center" wrapText="1"/>
    </xf>
    <xf numFmtId="176" fontId="33" fillId="0" borderId="1" xfId="1" applyNumberFormat="1" applyFont="1" applyBorder="1" applyAlignment="1">
      <alignment horizontal="center" vertical="center"/>
    </xf>
    <xf numFmtId="178" fontId="33" fillId="0" borderId="1" xfId="0" applyNumberFormat="1" applyFont="1" applyBorder="1" applyAlignment="1">
      <alignment horizontal="center" vertical="center"/>
    </xf>
    <xf numFmtId="2" fontId="33" fillId="0" borderId="1" xfId="0" applyNumberFormat="1" applyFont="1" applyBorder="1" applyAlignment="1">
      <alignment horizontal="center" vertical="center"/>
    </xf>
    <xf numFmtId="0" fontId="35" fillId="0" borderId="1" xfId="0" applyFont="1" applyBorder="1" applyAlignment="1">
      <alignment horizontal="left" vertical="center"/>
    </xf>
    <xf numFmtId="0" fontId="73" fillId="0" borderId="1" xfId="0" applyFont="1" applyBorder="1" applyAlignment="1">
      <alignment horizontal="center" vertical="center"/>
    </xf>
    <xf numFmtId="0" fontId="35" fillId="13" borderId="1" xfId="0" quotePrefix="1" applyFont="1" applyFill="1" applyBorder="1" applyAlignment="1">
      <alignment horizontal="center" vertical="center"/>
    </xf>
    <xf numFmtId="0" fontId="35" fillId="13" borderId="1" xfId="0" applyFont="1" applyFill="1" applyBorder="1">
      <alignment vertical="center"/>
    </xf>
    <xf numFmtId="0" fontId="35" fillId="13" borderId="1" xfId="0" applyFont="1" applyFill="1" applyBorder="1" applyAlignment="1">
      <alignment horizontal="center" vertical="center"/>
    </xf>
    <xf numFmtId="0" fontId="20" fillId="13" borderId="1" xfId="0" applyFont="1" applyFill="1" applyBorder="1">
      <alignment vertical="center"/>
    </xf>
    <xf numFmtId="0" fontId="19" fillId="0" borderId="1" xfId="0" applyFont="1" applyBorder="1" applyAlignment="1">
      <alignment horizontal="left" vertical="center"/>
    </xf>
    <xf numFmtId="0" fontId="19" fillId="0" borderId="1" xfId="0" applyFont="1" applyBorder="1" applyAlignment="1">
      <alignment horizontal="center" vertical="center"/>
    </xf>
    <xf numFmtId="176" fontId="35" fillId="0" borderId="1" xfId="0" applyNumberFormat="1" applyFont="1" applyBorder="1" applyAlignment="1">
      <alignment horizontal="center" vertical="center"/>
    </xf>
    <xf numFmtId="0" fontId="35" fillId="14" borderId="1" xfId="0" applyFont="1" applyFill="1" applyBorder="1" applyAlignment="1">
      <alignment horizontal="center" vertical="center"/>
    </xf>
    <xf numFmtId="176" fontId="20" fillId="14" borderId="1" xfId="1" applyNumberFormat="1" applyFont="1" applyFill="1" applyBorder="1" applyAlignment="1">
      <alignment horizontal="center" vertical="center"/>
    </xf>
    <xf numFmtId="43" fontId="33" fillId="0" borderId="1" xfId="0" applyNumberFormat="1" applyFont="1" applyBorder="1" applyAlignment="1">
      <alignment horizontal="center" vertical="center"/>
    </xf>
    <xf numFmtId="0" fontId="35" fillId="6" borderId="1" xfId="0" applyFont="1" applyFill="1" applyBorder="1" applyAlignment="1">
      <alignment horizontal="center" vertical="center"/>
    </xf>
    <xf numFmtId="43" fontId="35" fillId="6" borderId="1" xfId="0" applyNumberFormat="1" applyFont="1" applyFill="1" applyBorder="1" applyAlignment="1">
      <alignment horizontal="center" vertical="center"/>
    </xf>
    <xf numFmtId="0" fontId="74" fillId="0" borderId="0" xfId="0" applyFont="1">
      <alignment vertical="center"/>
    </xf>
    <xf numFmtId="0" fontId="34" fillId="0" borderId="0" xfId="0" applyFont="1">
      <alignment vertical="center"/>
    </xf>
    <xf numFmtId="41" fontId="27" fillId="0" borderId="0" xfId="1" applyFont="1">
      <alignment vertical="center"/>
    </xf>
    <xf numFmtId="176" fontId="19" fillId="0" borderId="1" xfId="1" applyNumberFormat="1" applyFont="1" applyFill="1" applyBorder="1" applyAlignment="1">
      <alignment horizontal="right" vertical="center"/>
    </xf>
    <xf numFmtId="0" fontId="27" fillId="0" borderId="0" xfId="0" applyFont="1" applyAlignment="1">
      <alignment vertical="center" wrapText="1"/>
    </xf>
    <xf numFmtId="0" fontId="34" fillId="0" borderId="1" xfId="0" applyFont="1" applyBorder="1" applyAlignment="1">
      <alignment horizontal="center" vertical="center" wrapText="1"/>
    </xf>
    <xf numFmtId="0" fontId="35" fillId="4" borderId="1" xfId="0" applyFont="1" applyFill="1" applyBorder="1" applyAlignment="1">
      <alignment vertical="center" wrapText="1"/>
    </xf>
    <xf numFmtId="0" fontId="33" fillId="0" borderId="1" xfId="0" applyFont="1" applyBorder="1" applyAlignment="1">
      <alignment horizontal="left" vertical="center" wrapText="1"/>
    </xf>
    <xf numFmtId="0" fontId="75" fillId="0" borderId="1" xfId="0" applyFont="1" applyBorder="1" applyAlignment="1">
      <alignment horizontal="center" vertical="center"/>
    </xf>
    <xf numFmtId="0" fontId="19" fillId="0" borderId="101" xfId="3" applyFont="1" applyBorder="1" applyAlignment="1">
      <alignment horizontal="center" vertical="center"/>
    </xf>
    <xf numFmtId="0" fontId="19" fillId="0" borderId="101" xfId="3" applyFont="1" applyBorder="1">
      <alignment vertical="center"/>
    </xf>
    <xf numFmtId="179" fontId="19" fillId="0" borderId="101" xfId="3" applyNumberFormat="1" applyFont="1" applyBorder="1" applyAlignment="1">
      <alignment horizontal="left" vertical="center" indent="1" shrinkToFit="1"/>
    </xf>
    <xf numFmtId="0" fontId="19" fillId="0" borderId="101" xfId="3" applyFont="1" applyBorder="1" applyAlignment="1">
      <alignment horizontal="center" vertical="center" wrapText="1"/>
    </xf>
    <xf numFmtId="176" fontId="19" fillId="0" borderId="101" xfId="1" applyNumberFormat="1" applyFont="1" applyBorder="1" applyAlignment="1">
      <alignment horizontal="right" vertical="center"/>
    </xf>
    <xf numFmtId="176" fontId="19" fillId="0" borderId="101" xfId="1" applyNumberFormat="1" applyFont="1" applyBorder="1" applyAlignment="1">
      <alignment horizontal="center" vertical="center"/>
    </xf>
    <xf numFmtId="176" fontId="20" fillId="8" borderId="45" xfId="1" applyNumberFormat="1" applyFont="1" applyFill="1" applyBorder="1" applyAlignment="1">
      <alignment horizontal="center" vertical="center"/>
    </xf>
    <xf numFmtId="193" fontId="33" fillId="0" borderId="1" xfId="0" applyNumberFormat="1" applyFont="1" applyBorder="1" applyAlignment="1">
      <alignment horizontal="center" vertical="center"/>
    </xf>
    <xf numFmtId="180" fontId="19" fillId="0" borderId="101" xfId="1" applyNumberFormat="1" applyFont="1" applyBorder="1" applyAlignment="1">
      <alignment horizontal="right" vertical="center"/>
    </xf>
    <xf numFmtId="176" fontId="27" fillId="0" borderId="0" xfId="1" applyNumberFormat="1" applyFont="1">
      <alignment vertical="center"/>
    </xf>
    <xf numFmtId="43" fontId="27" fillId="0" borderId="0" xfId="0" applyNumberFormat="1" applyFont="1">
      <alignment vertical="center"/>
    </xf>
    <xf numFmtId="0" fontId="27" fillId="2" borderId="0" xfId="0" applyFont="1" applyFill="1">
      <alignment vertical="center"/>
    </xf>
    <xf numFmtId="0" fontId="38" fillId="0" borderId="1" xfId="0" quotePrefix="1" applyFont="1" applyBorder="1" applyAlignment="1">
      <alignment horizontal="center" vertical="center"/>
    </xf>
    <xf numFmtId="0" fontId="77" fillId="0" borderId="0" xfId="16" applyFont="1" applyAlignment="1">
      <alignment vertical="center" wrapText="1"/>
    </xf>
    <xf numFmtId="0" fontId="76" fillId="0" borderId="0" xfId="16" applyAlignment="1">
      <alignment horizontal="center" vertical="center" wrapText="1"/>
    </xf>
    <xf numFmtId="0" fontId="76" fillId="0" borderId="0" xfId="16" applyAlignment="1">
      <alignment horizontal="center" vertical="center"/>
    </xf>
    <xf numFmtId="0" fontId="76" fillId="0" borderId="0" xfId="16" applyAlignment="1">
      <alignment vertical="center"/>
    </xf>
    <xf numFmtId="194" fontId="76" fillId="15" borderId="1" xfId="16" applyNumberFormat="1" applyFill="1" applyBorder="1" applyAlignment="1">
      <alignment horizontal="center" vertical="center" wrapText="1"/>
    </xf>
    <xf numFmtId="194" fontId="76" fillId="15" borderId="1" xfId="16" applyNumberFormat="1" applyFill="1" applyBorder="1" applyAlignment="1">
      <alignment horizontal="center" vertical="center"/>
    </xf>
    <xf numFmtId="0" fontId="76" fillId="0" borderId="1" xfId="16" applyBorder="1" applyAlignment="1">
      <alignment vertical="center"/>
    </xf>
    <xf numFmtId="194" fontId="76" fillId="0" borderId="1" xfId="16" applyNumberFormat="1" applyBorder="1" applyAlignment="1">
      <alignment horizontal="center" vertical="center"/>
    </xf>
    <xf numFmtId="194" fontId="76" fillId="0" borderId="1" xfId="16" applyNumberFormat="1" applyBorder="1" applyAlignment="1">
      <alignment vertical="center"/>
    </xf>
    <xf numFmtId="194" fontId="76" fillId="0" borderId="1" xfId="16" applyNumberFormat="1" applyBorder="1" applyAlignment="1">
      <alignment horizontal="center" vertical="center" wrapText="1"/>
    </xf>
    <xf numFmtId="195" fontId="76" fillId="0" borderId="1" xfId="16" applyNumberFormat="1" applyBorder="1" applyAlignment="1">
      <alignment horizontal="center" vertical="center"/>
    </xf>
    <xf numFmtId="195" fontId="76" fillId="0" borderId="1" xfId="16" applyNumberFormat="1" applyBorder="1" applyAlignment="1">
      <alignment vertical="center"/>
    </xf>
    <xf numFmtId="194" fontId="76" fillId="0" borderId="1" xfId="16" applyNumberFormat="1" applyBorder="1" applyAlignment="1">
      <alignment vertical="center" wrapText="1"/>
    </xf>
    <xf numFmtId="0" fontId="78" fillId="0" borderId="1" xfId="16" applyFont="1" applyBorder="1" applyAlignment="1">
      <alignment vertical="center"/>
    </xf>
    <xf numFmtId="0" fontId="79" fillId="0" borderId="1" xfId="16" applyFont="1" applyBorder="1" applyAlignment="1">
      <alignment vertical="center"/>
    </xf>
    <xf numFmtId="194" fontId="76" fillId="4" borderId="1" xfId="16" applyNumberFormat="1" applyFill="1" applyBorder="1" applyAlignment="1">
      <alignment vertical="center" wrapText="1"/>
    </xf>
    <xf numFmtId="194" fontId="76" fillId="4" borderId="1" xfId="16" applyNumberFormat="1" applyFill="1" applyBorder="1" applyAlignment="1">
      <alignment horizontal="center" vertical="center" wrapText="1"/>
    </xf>
    <xf numFmtId="195" fontId="76" fillId="4" borderId="1" xfId="16" applyNumberFormat="1" applyFill="1" applyBorder="1" applyAlignment="1">
      <alignment horizontal="center" vertical="center"/>
    </xf>
    <xf numFmtId="194" fontId="76" fillId="4" borderId="1" xfId="16" applyNumberFormat="1" applyFill="1" applyBorder="1" applyAlignment="1">
      <alignment horizontal="center" vertical="center"/>
    </xf>
    <xf numFmtId="195" fontId="76" fillId="4" borderId="1" xfId="16" applyNumberFormat="1" applyFill="1" applyBorder="1" applyAlignment="1">
      <alignment vertical="center"/>
    </xf>
    <xf numFmtId="0" fontId="76" fillId="0" borderId="0" xfId="16" applyAlignment="1">
      <alignment vertical="center" wrapText="1"/>
    </xf>
    <xf numFmtId="0" fontId="76" fillId="0" borderId="0" xfId="16" applyAlignment="1">
      <alignment horizontal="right" vertical="center"/>
    </xf>
    <xf numFmtId="195" fontId="76" fillId="0" borderId="1" xfId="16" applyNumberFormat="1" applyBorder="1" applyAlignment="1">
      <alignment horizontal="right" vertical="center"/>
    </xf>
    <xf numFmtId="194" fontId="76" fillId="0" borderId="1" xfId="16" applyNumberFormat="1" applyBorder="1" applyAlignment="1">
      <alignment horizontal="right" vertical="center"/>
    </xf>
    <xf numFmtId="0" fontId="80" fillId="0" borderId="0" xfId="16" applyFont="1" applyAlignment="1">
      <alignment vertical="center"/>
    </xf>
    <xf numFmtId="0" fontId="80" fillId="0" borderId="1" xfId="16" applyFont="1" applyBorder="1" applyAlignment="1">
      <alignment vertical="center"/>
    </xf>
    <xf numFmtId="196" fontId="76" fillId="0" borderId="1" xfId="16" applyNumberFormat="1" applyBorder="1" applyAlignment="1">
      <alignment vertical="center"/>
    </xf>
    <xf numFmtId="194" fontId="76" fillId="0" borderId="102" xfId="16" applyNumberFormat="1" applyBorder="1" applyAlignment="1">
      <alignment vertical="center" wrapText="1"/>
    </xf>
    <xf numFmtId="194" fontId="76" fillId="0" borderId="102" xfId="16" applyNumberFormat="1" applyBorder="1" applyAlignment="1">
      <alignment vertical="center"/>
    </xf>
    <xf numFmtId="194" fontId="76" fillId="0" borderId="102" xfId="16" applyNumberFormat="1" applyBorder="1" applyAlignment="1">
      <alignment horizontal="center" vertical="center"/>
    </xf>
    <xf numFmtId="194" fontId="76" fillId="0" borderId="33" xfId="16" applyNumberFormat="1" applyBorder="1" applyAlignment="1">
      <alignment horizontal="center" vertical="center" wrapText="1"/>
    </xf>
    <xf numFmtId="194" fontId="76" fillId="0" borderId="33" xfId="16" applyNumberFormat="1" applyBorder="1" applyAlignment="1">
      <alignment horizontal="center" vertical="center"/>
    </xf>
    <xf numFmtId="195" fontId="76" fillId="0" borderId="0" xfId="16" applyNumberFormat="1" applyAlignment="1">
      <alignment vertical="center"/>
    </xf>
    <xf numFmtId="196" fontId="76" fillId="0" borderId="0" xfId="16" applyNumberFormat="1" applyAlignment="1">
      <alignment vertical="center"/>
    </xf>
    <xf numFmtId="197" fontId="76" fillId="0" borderId="1" xfId="16" applyNumberFormat="1" applyBorder="1" applyAlignment="1">
      <alignment vertical="center"/>
    </xf>
    <xf numFmtId="195" fontId="76" fillId="0" borderId="1" xfId="16" applyNumberFormat="1" applyBorder="1" applyAlignment="1">
      <alignment horizontal="center" vertical="center" wrapText="1"/>
    </xf>
    <xf numFmtId="197" fontId="76" fillId="0" borderId="1" xfId="16" applyNumberFormat="1" applyBorder="1" applyAlignment="1">
      <alignment horizontal="center" vertical="center" wrapText="1"/>
    </xf>
    <xf numFmtId="196" fontId="76" fillId="0" borderId="1" xfId="16" applyNumberFormat="1" applyBorder="1" applyAlignment="1">
      <alignment horizontal="center" vertical="center" wrapText="1"/>
    </xf>
    <xf numFmtId="194" fontId="76" fillId="0" borderId="1" xfId="16" applyNumberFormat="1" applyBorder="1" applyAlignment="1">
      <alignment horizontal="right" vertical="center" wrapText="1"/>
    </xf>
    <xf numFmtId="195" fontId="76" fillId="0" borderId="1" xfId="16" applyNumberFormat="1" applyBorder="1" applyAlignment="1">
      <alignment horizontal="right" vertical="center" wrapText="1"/>
    </xf>
    <xf numFmtId="0" fontId="29" fillId="0" borderId="1" xfId="12" quotePrefix="1" applyFont="1" applyBorder="1" applyAlignment="1">
      <alignment horizontal="center" vertical="center" wrapText="1"/>
    </xf>
    <xf numFmtId="0" fontId="16" fillId="0" borderId="0" xfId="16" applyFont="1" applyAlignment="1">
      <alignment vertical="center" wrapText="1"/>
    </xf>
    <xf numFmtId="0" fontId="75" fillId="0" borderId="0" xfId="16" applyFont="1" applyAlignment="1">
      <alignment vertical="center" wrapText="1"/>
    </xf>
    <xf numFmtId="0" fontId="75" fillId="0" borderId="0" xfId="16" applyFont="1" applyAlignment="1">
      <alignment horizontal="right" vertical="center"/>
    </xf>
    <xf numFmtId="0" fontId="75" fillId="0" borderId="0" xfId="16" applyFont="1" applyAlignment="1">
      <alignment horizontal="center" vertical="center"/>
    </xf>
    <xf numFmtId="0" fontId="75" fillId="0" borderId="0" xfId="16" applyFont="1" applyAlignment="1">
      <alignment vertical="center"/>
    </xf>
    <xf numFmtId="194" fontId="75" fillId="15" borderId="1" xfId="16" applyNumberFormat="1" applyFont="1" applyFill="1" applyBorder="1" applyAlignment="1">
      <alignment horizontal="center" vertical="center"/>
    </xf>
    <xf numFmtId="0" fontId="75" fillId="0" borderId="1" xfId="16" applyFont="1" applyBorder="1" applyAlignment="1">
      <alignment vertical="center"/>
    </xf>
    <xf numFmtId="194" fontId="75" fillId="0" borderId="1" xfId="16" applyNumberFormat="1" applyFont="1" applyBorder="1" applyAlignment="1">
      <alignment horizontal="center" vertical="center"/>
    </xf>
    <xf numFmtId="194" fontId="75" fillId="0" borderId="1" xfId="16" applyNumberFormat="1" applyFont="1" applyBorder="1" applyAlignment="1">
      <alignment vertical="center"/>
    </xf>
    <xf numFmtId="194" fontId="75" fillId="0" borderId="1" xfId="16" applyNumberFormat="1" applyFont="1" applyBorder="1" applyAlignment="1">
      <alignment vertical="center" wrapText="1"/>
    </xf>
    <xf numFmtId="195" fontId="75" fillId="0" borderId="1" xfId="16" applyNumberFormat="1" applyFont="1" applyBorder="1" applyAlignment="1">
      <alignment horizontal="right" vertical="center"/>
    </xf>
    <xf numFmtId="195" fontId="75" fillId="0" borderId="1" xfId="16" applyNumberFormat="1" applyFont="1" applyBorder="1" applyAlignment="1">
      <alignment vertical="center"/>
    </xf>
    <xf numFmtId="194" fontId="75" fillId="4" borderId="1" xfId="16" applyNumberFormat="1" applyFont="1" applyFill="1" applyBorder="1" applyAlignment="1">
      <alignment vertical="center" wrapText="1"/>
    </xf>
    <xf numFmtId="195" fontId="75" fillId="4" borderId="1" xfId="16" applyNumberFormat="1" applyFont="1" applyFill="1" applyBorder="1" applyAlignment="1">
      <alignment horizontal="right" vertical="center"/>
    </xf>
    <xf numFmtId="194" fontId="75" fillId="4" borderId="1" xfId="16" applyNumberFormat="1" applyFont="1" applyFill="1" applyBorder="1" applyAlignment="1">
      <alignment horizontal="center" vertical="center"/>
    </xf>
    <xf numFmtId="195" fontId="75" fillId="4" borderId="1" xfId="16" applyNumberFormat="1" applyFont="1" applyFill="1" applyBorder="1" applyAlignment="1">
      <alignment vertical="center"/>
    </xf>
    <xf numFmtId="0" fontId="81" fillId="0" borderId="1" xfId="16" applyFont="1" applyBorder="1" applyAlignment="1">
      <alignment vertical="center"/>
    </xf>
    <xf numFmtId="194" fontId="75" fillId="0" borderId="1" xfId="16" applyNumberFormat="1" applyFont="1" applyBorder="1" applyAlignment="1">
      <alignment horizontal="right" vertical="center"/>
    </xf>
    <xf numFmtId="194" fontId="30" fillId="4" borderId="1" xfId="16" applyNumberFormat="1" applyFont="1" applyFill="1" applyBorder="1" applyAlignment="1">
      <alignment vertical="center" wrapText="1"/>
    </xf>
    <xf numFmtId="195" fontId="30" fillId="4" borderId="1" xfId="16" applyNumberFormat="1" applyFont="1" applyFill="1" applyBorder="1" applyAlignment="1">
      <alignment horizontal="right" vertical="center"/>
    </xf>
    <xf numFmtId="194" fontId="30" fillId="4" borderId="1" xfId="16" applyNumberFormat="1" applyFont="1" applyFill="1" applyBorder="1" applyAlignment="1">
      <alignment horizontal="center" vertical="center"/>
    </xf>
    <xf numFmtId="195" fontId="30" fillId="4" borderId="1" xfId="16" applyNumberFormat="1" applyFont="1" applyFill="1" applyBorder="1" applyAlignment="1">
      <alignment vertical="center"/>
    </xf>
    <xf numFmtId="194" fontId="75" fillId="14" borderId="1" xfId="16" applyNumberFormat="1" applyFont="1" applyFill="1" applyBorder="1" applyAlignment="1">
      <alignment vertical="center" wrapText="1"/>
    </xf>
    <xf numFmtId="195" fontId="75" fillId="14" borderId="1" xfId="16" applyNumberFormat="1" applyFont="1" applyFill="1" applyBorder="1" applyAlignment="1">
      <alignment horizontal="right" vertical="center"/>
    </xf>
    <xf numFmtId="194" fontId="75" fillId="14" borderId="1" xfId="16" applyNumberFormat="1" applyFont="1" applyFill="1" applyBorder="1" applyAlignment="1">
      <alignment horizontal="center" vertical="center"/>
    </xf>
    <xf numFmtId="195" fontId="75" fillId="14" borderId="1" xfId="16" applyNumberFormat="1" applyFont="1" applyFill="1" applyBorder="1" applyAlignment="1">
      <alignment vertical="center"/>
    </xf>
    <xf numFmtId="194" fontId="75" fillId="8" borderId="1" xfId="16" applyNumberFormat="1" applyFont="1" applyFill="1" applyBorder="1" applyAlignment="1">
      <alignment vertical="center" wrapText="1"/>
    </xf>
    <xf numFmtId="195" fontId="75" fillId="8" borderId="1" xfId="16" applyNumberFormat="1" applyFont="1" applyFill="1" applyBorder="1" applyAlignment="1">
      <alignment horizontal="right" vertical="center"/>
    </xf>
    <xf numFmtId="194" fontId="75" fillId="8" borderId="1" xfId="16" applyNumberFormat="1" applyFont="1" applyFill="1" applyBorder="1" applyAlignment="1">
      <alignment horizontal="center" vertical="center"/>
    </xf>
    <xf numFmtId="195" fontId="75" fillId="8" borderId="1" xfId="16" applyNumberFormat="1" applyFont="1" applyFill="1" applyBorder="1" applyAlignment="1">
      <alignment vertical="center"/>
    </xf>
    <xf numFmtId="194" fontId="75" fillId="0" borderId="1" xfId="16" applyNumberFormat="1" applyFont="1" applyBorder="1" applyAlignment="1">
      <alignment horizontal="center" vertical="center" wrapText="1"/>
    </xf>
    <xf numFmtId="183" fontId="15" fillId="0" borderId="0" xfId="7" applyNumberFormat="1" applyFont="1" applyBorder="1" applyAlignment="1">
      <alignment horizontal="center" vertical="center"/>
    </xf>
    <xf numFmtId="0" fontId="6" fillId="0" borderId="37" xfId="4" applyFont="1" applyBorder="1" applyAlignment="1">
      <alignment horizontal="center" vertical="center"/>
    </xf>
    <xf numFmtId="0" fontId="6" fillId="0" borderId="38" xfId="4" applyFont="1" applyBorder="1" applyAlignment="1">
      <alignment horizontal="center" vertical="center"/>
    </xf>
    <xf numFmtId="0" fontId="6" fillId="0" borderId="40" xfId="4" applyFont="1" applyBorder="1" applyAlignment="1">
      <alignment horizontal="center" vertical="center"/>
    </xf>
    <xf numFmtId="0" fontId="6" fillId="0" borderId="28" xfId="4" applyFont="1" applyBorder="1" applyAlignment="1">
      <alignment horizontal="center" vertical="center"/>
    </xf>
    <xf numFmtId="183" fontId="15" fillId="0" borderId="28" xfId="7" applyNumberFormat="1" applyFont="1" applyBorder="1" applyAlignment="1">
      <alignment horizontal="center" vertical="center"/>
    </xf>
    <xf numFmtId="0" fontId="23" fillId="0" borderId="0" xfId="4" applyFont="1" applyAlignment="1">
      <alignment horizontal="center" vertical="center"/>
    </xf>
    <xf numFmtId="0" fontId="6" fillId="0" borderId="35" xfId="4" applyFont="1" applyBorder="1" applyAlignment="1">
      <alignment horizontal="center" vertical="center"/>
    </xf>
    <xf numFmtId="0" fontId="6" fillId="0" borderId="33" xfId="4" applyFont="1" applyBorder="1" applyAlignment="1">
      <alignment horizontal="center" vertical="center"/>
    </xf>
    <xf numFmtId="0" fontId="6" fillId="0" borderId="36" xfId="4" applyFont="1" applyBorder="1" applyAlignment="1">
      <alignment horizontal="center" vertical="center"/>
    </xf>
    <xf numFmtId="0" fontId="16" fillId="0" borderId="0" xfId="4" applyFont="1" applyAlignment="1">
      <alignment horizontal="distributed" vertical="center"/>
    </xf>
    <xf numFmtId="183" fontId="15" fillId="0" borderId="0" xfId="7" applyNumberFormat="1" applyFont="1" applyBorder="1" applyAlignment="1">
      <alignment horizontal="left" vertical="center"/>
    </xf>
    <xf numFmtId="0" fontId="6" fillId="0" borderId="0" xfId="4" applyFont="1" applyAlignment="1">
      <alignment horizontal="center" vertical="center"/>
    </xf>
    <xf numFmtId="0" fontId="6" fillId="0" borderId="16" xfId="4" applyFont="1" applyBorder="1" applyAlignment="1">
      <alignment horizontal="center" vertical="center"/>
    </xf>
    <xf numFmtId="0" fontId="6" fillId="0" borderId="30" xfId="4" applyFont="1" applyBorder="1" applyAlignment="1">
      <alignment horizontal="center" vertical="center"/>
    </xf>
    <xf numFmtId="0" fontId="6" fillId="0" borderId="1" xfId="4" applyFont="1" applyBorder="1" applyAlignment="1">
      <alignment horizontal="center" vertical="center"/>
    </xf>
    <xf numFmtId="0" fontId="6" fillId="0" borderId="31" xfId="4" applyFont="1" applyBorder="1" applyAlignment="1">
      <alignment horizontal="center" vertical="center"/>
    </xf>
    <xf numFmtId="0" fontId="16" fillId="0" borderId="2" xfId="4" applyFont="1" applyBorder="1" applyAlignment="1">
      <alignment horizontal="distributed" vertical="center"/>
    </xf>
    <xf numFmtId="37" fontId="16" fillId="0" borderId="2" xfId="5" applyFont="1" applyBorder="1" applyAlignment="1">
      <alignment horizontal="left" vertical="center"/>
    </xf>
    <xf numFmtId="181" fontId="16" fillId="0" borderId="2" xfId="6" applyNumberFormat="1" applyFont="1" applyBorder="1" applyAlignment="1">
      <alignment horizontal="left" vertical="center"/>
    </xf>
    <xf numFmtId="182" fontId="15" fillId="0" borderId="0" xfId="7" applyNumberFormat="1" applyFont="1" applyBorder="1" applyAlignment="1">
      <alignment horizontal="left" vertical="center"/>
    </xf>
    <xf numFmtId="190" fontId="15" fillId="0" borderId="4" xfId="7" applyNumberFormat="1" applyFont="1" applyBorder="1" applyAlignment="1">
      <alignment horizontal="left" vertical="center"/>
    </xf>
    <xf numFmtId="190" fontId="15" fillId="0" borderId="0" xfId="7" applyNumberFormat="1" applyFont="1" applyBorder="1" applyAlignment="1">
      <alignment horizontal="left" vertical="center"/>
    </xf>
    <xf numFmtId="0" fontId="6" fillId="0" borderId="37" xfId="4" applyFont="1" applyBorder="1" applyAlignment="1">
      <alignment horizontal="distributed" vertical="center"/>
    </xf>
    <xf numFmtId="0" fontId="6" fillId="0" borderId="38" xfId="4" applyFont="1" applyBorder="1" applyAlignment="1">
      <alignment horizontal="distributed" vertical="center"/>
    </xf>
    <xf numFmtId="0" fontId="6" fillId="0" borderId="39" xfId="4" applyFont="1" applyBorder="1" applyAlignment="1">
      <alignment horizontal="left" vertical="center" indent="1"/>
    </xf>
    <xf numFmtId="0" fontId="6" fillId="0" borderId="38" xfId="4" applyFont="1" applyBorder="1" applyAlignment="1">
      <alignment horizontal="left" vertical="center" indent="1"/>
    </xf>
    <xf numFmtId="0" fontId="14" fillId="0" borderId="0" xfId="4" applyFont="1" applyAlignment="1">
      <alignment horizontal="left" vertical="center"/>
    </xf>
    <xf numFmtId="0" fontId="14" fillId="0" borderId="0" xfId="4" applyFont="1" applyAlignment="1">
      <alignment horizontal="left" vertical="center" indent="1"/>
    </xf>
    <xf numFmtId="42" fontId="16" fillId="0" borderId="0" xfId="6" applyFont="1" applyBorder="1" applyAlignment="1">
      <alignment horizontal="center" vertical="center"/>
    </xf>
    <xf numFmtId="0" fontId="6" fillId="0" borderId="15" xfId="4" applyFont="1" applyBorder="1" applyAlignment="1">
      <alignment horizontal="center" vertical="center"/>
    </xf>
    <xf numFmtId="0" fontId="6" fillId="0" borderId="22" xfId="4" applyFont="1" applyBorder="1" applyAlignment="1">
      <alignment horizontal="center" vertical="center"/>
    </xf>
    <xf numFmtId="0" fontId="6" fillId="0" borderId="35" xfId="4" applyFont="1" applyBorder="1" applyAlignment="1">
      <alignment horizontal="distributed" vertical="center"/>
    </xf>
    <xf numFmtId="0" fontId="6" fillId="0" borderId="33" xfId="4" applyFont="1" applyBorder="1" applyAlignment="1">
      <alignment horizontal="distributed" vertical="center"/>
    </xf>
    <xf numFmtId="0" fontId="6" fillId="0" borderId="32" xfId="4" applyFont="1" applyBorder="1" applyAlignment="1">
      <alignment horizontal="left" vertical="center" indent="1"/>
    </xf>
    <xf numFmtId="0" fontId="6" fillId="0" borderId="33" xfId="4" applyFont="1" applyBorder="1" applyAlignment="1">
      <alignment horizontal="left" vertical="center" indent="1"/>
    </xf>
    <xf numFmtId="0" fontId="22" fillId="0" borderId="0" xfId="4" applyFont="1" applyAlignment="1">
      <alignment horizontal="center" vertical="center"/>
    </xf>
    <xf numFmtId="0" fontId="9" fillId="0" borderId="0" xfId="4" applyFont="1" applyAlignment="1">
      <alignment horizontal="distributed" vertical="center" indent="3"/>
    </xf>
    <xf numFmtId="0" fontId="9" fillId="0" borderId="2" xfId="4" applyFont="1" applyBorder="1" applyAlignment="1">
      <alignment horizontal="distributed" vertical="center" indent="3"/>
    </xf>
    <xf numFmtId="0" fontId="14" fillId="0" borderId="0" xfId="4" applyFont="1" applyAlignment="1">
      <alignment horizontal="right" vertical="center"/>
    </xf>
    <xf numFmtId="0" fontId="9" fillId="0" borderId="0" xfId="4" applyFont="1" applyAlignment="1">
      <alignment horizontal="center" vertical="center"/>
    </xf>
    <xf numFmtId="0" fontId="12" fillId="0" borderId="0" xfId="4" applyFont="1" applyAlignment="1">
      <alignment horizontal="center" vertical="center"/>
    </xf>
    <xf numFmtId="0" fontId="6" fillId="0" borderId="25" xfId="4" applyFont="1" applyBorder="1" applyAlignment="1">
      <alignment horizontal="center" vertical="center"/>
    </xf>
    <xf numFmtId="0" fontId="6" fillId="0" borderId="26" xfId="4" applyFont="1" applyBorder="1" applyAlignment="1">
      <alignment horizontal="center" vertical="center"/>
    </xf>
    <xf numFmtId="0" fontId="6" fillId="0" borderId="17" xfId="4" applyFont="1" applyBorder="1" applyAlignment="1">
      <alignment horizontal="center" vertical="center"/>
    </xf>
    <xf numFmtId="0" fontId="6" fillId="0" borderId="18" xfId="4" applyFont="1" applyBorder="1" applyAlignment="1">
      <alignment horizontal="center" vertical="center"/>
    </xf>
    <xf numFmtId="0" fontId="6" fillId="0" borderId="19" xfId="4" applyFont="1" applyBorder="1" applyAlignment="1">
      <alignment horizontal="center" vertical="center"/>
    </xf>
    <xf numFmtId="0" fontId="6" fillId="0" borderId="3" xfId="4" applyFont="1" applyBorder="1" applyAlignment="1">
      <alignment horizontal="center" vertical="center"/>
    </xf>
    <xf numFmtId="0" fontId="6" fillId="0" borderId="4" xfId="4" applyFont="1" applyBorder="1" applyAlignment="1">
      <alignment horizontal="center" vertical="center"/>
    </xf>
    <xf numFmtId="0" fontId="6" fillId="0" borderId="23" xfId="4" applyFont="1" applyBorder="1" applyAlignment="1">
      <alignment horizontal="center" vertical="center"/>
    </xf>
    <xf numFmtId="0" fontId="6" fillId="0" borderId="8" xfId="4" applyFont="1" applyBorder="1" applyAlignment="1">
      <alignment horizontal="center" vertical="center"/>
    </xf>
    <xf numFmtId="0" fontId="6" fillId="0" borderId="2" xfId="4" applyFont="1" applyBorder="1" applyAlignment="1">
      <alignment horizontal="center" vertical="center"/>
    </xf>
    <xf numFmtId="0" fontId="6" fillId="0" borderId="24" xfId="4" applyFont="1" applyBorder="1" applyAlignment="1">
      <alignment horizontal="center" vertical="center"/>
    </xf>
    <xf numFmtId="0" fontId="8" fillId="0" borderId="16" xfId="4" applyFont="1" applyBorder="1" applyAlignment="1">
      <alignment horizontal="center" vertical="center"/>
    </xf>
    <xf numFmtId="0" fontId="8" fillId="0" borderId="17" xfId="4" applyFont="1" applyBorder="1" applyAlignment="1">
      <alignment horizontal="center" vertical="center"/>
    </xf>
    <xf numFmtId="0" fontId="8" fillId="0" borderId="18" xfId="4" applyFont="1" applyBorder="1" applyAlignment="1">
      <alignment horizontal="center" vertical="center"/>
    </xf>
    <xf numFmtId="0" fontId="8" fillId="0" borderId="19" xfId="4" applyFont="1" applyBorder="1" applyAlignment="1">
      <alignment horizontal="center" vertical="center"/>
    </xf>
    <xf numFmtId="0" fontId="9" fillId="0" borderId="20" xfId="4" applyFont="1" applyBorder="1" applyAlignment="1">
      <alignment horizontal="center" vertical="center"/>
    </xf>
    <xf numFmtId="0" fontId="12" fillId="0" borderId="0" xfId="4" applyFont="1" applyAlignment="1">
      <alignment horizontal="left" vertical="center"/>
    </xf>
    <xf numFmtId="0" fontId="39" fillId="0" borderId="0" xfId="4" applyFont="1" applyAlignment="1">
      <alignment horizontal="center" vertical="center"/>
    </xf>
    <xf numFmtId="0" fontId="8" fillId="0" borderId="15" xfId="4" applyFont="1" applyBorder="1" applyAlignment="1">
      <alignment horizontal="center" vertical="center"/>
    </xf>
    <xf numFmtId="0" fontId="37" fillId="0" borderId="44" xfId="15" applyFont="1" applyBorder="1" applyAlignment="1">
      <alignment horizontal="center" vertical="center"/>
    </xf>
    <xf numFmtId="0" fontId="27" fillId="0" borderId="1" xfId="12" quotePrefix="1" applyFont="1" applyBorder="1" applyAlignment="1">
      <alignment horizontal="center" vertical="center" wrapText="1"/>
    </xf>
    <xf numFmtId="0" fontId="28" fillId="0" borderId="0" xfId="12" applyFont="1" applyAlignment="1">
      <alignment horizontal="center" vertical="center"/>
    </xf>
    <xf numFmtId="0" fontId="27" fillId="0" borderId="0" xfId="12" applyFont="1" applyAlignment="1">
      <alignment horizontal="right" vertical="center"/>
    </xf>
    <xf numFmtId="0" fontId="29" fillId="2" borderId="1" xfId="12" quotePrefix="1" applyFont="1" applyFill="1" applyBorder="1" applyAlignment="1">
      <alignment horizontal="center" vertical="center" wrapText="1"/>
    </xf>
    <xf numFmtId="0" fontId="29" fillId="0" borderId="2" xfId="12" quotePrefix="1" applyFont="1" applyBorder="1" applyAlignment="1">
      <alignment horizontal="left" vertical="center" shrinkToFit="1"/>
    </xf>
    <xf numFmtId="0" fontId="29" fillId="4" borderId="1" xfId="12" quotePrefix="1" applyFont="1" applyFill="1" applyBorder="1" applyAlignment="1">
      <alignment horizontal="center" vertical="center" wrapText="1"/>
    </xf>
    <xf numFmtId="0" fontId="27" fillId="0" borderId="69" xfId="12" quotePrefix="1" applyFont="1" applyBorder="1" applyAlignment="1">
      <alignment horizontal="center" vertical="center" textRotation="255" wrapText="1"/>
    </xf>
    <xf numFmtId="0" fontId="27" fillId="0" borderId="71" xfId="12" quotePrefix="1" applyFont="1" applyBorder="1" applyAlignment="1">
      <alignment horizontal="center" vertical="center" textRotation="255" wrapText="1"/>
    </xf>
    <xf numFmtId="0" fontId="27" fillId="0" borderId="74" xfId="12" quotePrefix="1" applyFont="1" applyBorder="1" applyAlignment="1">
      <alignment horizontal="center" vertical="center" textRotation="255" wrapText="1"/>
    </xf>
    <xf numFmtId="0" fontId="27" fillId="0" borderId="32" xfId="12" quotePrefix="1" applyFont="1" applyBorder="1" applyAlignment="1">
      <alignment horizontal="center" vertical="center" wrapText="1"/>
    </xf>
    <xf numFmtId="0" fontId="27" fillId="0" borderId="33" xfId="12" quotePrefix="1" applyFont="1" applyBorder="1" applyAlignment="1">
      <alignment horizontal="center" vertical="center" wrapText="1"/>
    </xf>
    <xf numFmtId="0" fontId="27" fillId="0" borderId="34" xfId="12" quotePrefix="1" applyFont="1" applyBorder="1" applyAlignment="1">
      <alignment horizontal="center" vertical="center" wrapText="1"/>
    </xf>
    <xf numFmtId="194" fontId="76" fillId="15" borderId="1" xfId="16" applyNumberFormat="1" applyFill="1" applyBorder="1" applyAlignment="1">
      <alignment horizontal="center" vertical="center"/>
    </xf>
    <xf numFmtId="194" fontId="76" fillId="15" borderId="1" xfId="16" applyNumberFormat="1" applyFill="1" applyBorder="1" applyAlignment="1">
      <alignment horizontal="center" vertical="center" wrapText="1"/>
    </xf>
    <xf numFmtId="194" fontId="75" fillId="15" borderId="1" xfId="16" applyNumberFormat="1" applyFont="1" applyFill="1" applyBorder="1" applyAlignment="1">
      <alignment horizontal="center" vertical="center"/>
    </xf>
    <xf numFmtId="194" fontId="75" fillId="15" borderId="1" xfId="16" applyNumberFormat="1" applyFont="1" applyFill="1" applyBorder="1" applyAlignment="1">
      <alignment horizontal="center" vertical="center" wrapText="1"/>
    </xf>
    <xf numFmtId="194" fontId="76" fillId="0" borderId="1" xfId="16" applyNumberFormat="1" applyBorder="1" applyAlignment="1">
      <alignment horizontal="center" vertical="center"/>
    </xf>
    <xf numFmtId="0" fontId="21" fillId="9" borderId="60" xfId="0" applyFont="1" applyFill="1" applyBorder="1" applyAlignment="1">
      <alignment horizontal="center" vertical="center"/>
    </xf>
    <xf numFmtId="0" fontId="21" fillId="9" borderId="56" xfId="0" applyFont="1" applyFill="1" applyBorder="1" applyAlignment="1">
      <alignment horizontal="center" vertical="center"/>
    </xf>
    <xf numFmtId="0" fontId="0" fillId="9" borderId="61" xfId="0" applyFill="1" applyBorder="1" applyAlignment="1">
      <alignment horizontal="center" vertical="center"/>
    </xf>
    <xf numFmtId="0" fontId="0" fillId="9" borderId="66" xfId="0" applyFill="1" applyBorder="1" applyAlignment="1">
      <alignment horizontal="center" vertical="center"/>
    </xf>
    <xf numFmtId="0" fontId="21" fillId="9" borderId="58" xfId="0" applyFont="1" applyFill="1" applyBorder="1" applyAlignment="1">
      <alignment horizontal="center" vertical="center" wrapText="1"/>
    </xf>
    <xf numFmtId="0" fontId="21" fillId="9" borderId="4" xfId="0" applyFont="1" applyFill="1" applyBorder="1" applyAlignment="1">
      <alignment horizontal="center" vertical="center" wrapText="1"/>
    </xf>
    <xf numFmtId="0" fontId="21" fillId="9" borderId="5" xfId="0" applyFont="1" applyFill="1" applyBorder="1" applyAlignment="1">
      <alignment horizontal="center" vertical="center" wrapText="1"/>
    </xf>
    <xf numFmtId="0" fontId="21" fillId="9" borderId="20" xfId="0" applyFont="1" applyFill="1" applyBorder="1" applyAlignment="1">
      <alignment horizontal="center" vertical="center" wrapText="1"/>
    </xf>
    <xf numFmtId="0" fontId="21" fillId="9" borderId="0" xfId="0" applyFont="1" applyFill="1" applyAlignment="1">
      <alignment horizontal="center" vertical="center" wrapText="1"/>
    </xf>
    <xf numFmtId="0" fontId="21" fillId="9" borderId="7" xfId="0" applyFont="1" applyFill="1" applyBorder="1" applyAlignment="1">
      <alignment horizontal="center" vertical="center" wrapText="1"/>
    </xf>
    <xf numFmtId="0" fontId="21" fillId="9" borderId="64" xfId="0" applyFont="1" applyFill="1" applyBorder="1" applyAlignment="1">
      <alignment horizontal="center" vertical="center" wrapText="1"/>
    </xf>
    <xf numFmtId="0" fontId="21" fillId="9" borderId="2" xfId="0" applyFont="1" applyFill="1" applyBorder="1" applyAlignment="1">
      <alignment horizontal="center" vertical="center" wrapText="1"/>
    </xf>
    <xf numFmtId="0" fontId="21" fillId="9" borderId="9" xfId="0" applyFont="1" applyFill="1" applyBorder="1" applyAlignment="1">
      <alignment horizontal="center" vertical="center" wrapText="1"/>
    </xf>
    <xf numFmtId="0" fontId="21" fillId="9" borderId="23" xfId="0" applyFont="1" applyFill="1" applyBorder="1" applyAlignment="1">
      <alignment horizontal="center" vertical="center" wrapText="1"/>
    </xf>
    <xf numFmtId="0" fontId="21" fillId="9" borderId="21" xfId="0" applyFont="1" applyFill="1" applyBorder="1" applyAlignment="1">
      <alignment horizontal="center" vertical="center" wrapText="1"/>
    </xf>
    <xf numFmtId="0" fontId="21" fillId="9" borderId="24" xfId="0" applyFont="1" applyFill="1" applyBorder="1" applyAlignment="1">
      <alignment horizontal="center" vertical="center" wrapText="1"/>
    </xf>
    <xf numFmtId="0" fontId="42" fillId="0" borderId="0" xfId="0" applyFont="1" applyAlignment="1">
      <alignment horizontal="left" shrinkToFit="1"/>
    </xf>
    <xf numFmtId="0" fontId="43" fillId="0" borderId="46" xfId="0" applyFont="1" applyBorder="1" applyAlignment="1">
      <alignment horizontal="center" vertical="center" wrapText="1"/>
    </xf>
    <xf numFmtId="0" fontId="43" fillId="0" borderId="46" xfId="0" applyFont="1" applyBorder="1" applyAlignment="1">
      <alignment horizontal="center" vertical="center"/>
    </xf>
    <xf numFmtId="0" fontId="50" fillId="9" borderId="50" xfId="0" applyFont="1" applyFill="1" applyBorder="1" applyAlignment="1">
      <alignment horizontal="center" vertical="center"/>
    </xf>
    <xf numFmtId="0" fontId="50" fillId="9" borderId="48" xfId="0" applyFont="1" applyFill="1" applyBorder="1" applyAlignment="1">
      <alignment horizontal="center" vertical="center"/>
    </xf>
    <xf numFmtId="0" fontId="50" fillId="9" borderId="49" xfId="0" applyFont="1" applyFill="1" applyBorder="1" applyAlignment="1">
      <alignment horizontal="center" vertical="center"/>
    </xf>
    <xf numFmtId="0" fontId="50" fillId="9" borderId="20" xfId="0" applyFont="1" applyFill="1" applyBorder="1" applyAlignment="1">
      <alignment horizontal="center" vertical="center"/>
    </xf>
    <xf numFmtId="0" fontId="50" fillId="9" borderId="0" xfId="0" applyFont="1" applyFill="1" applyAlignment="1">
      <alignment horizontal="center" vertical="center"/>
    </xf>
    <xf numFmtId="0" fontId="50" fillId="9" borderId="21" xfId="0" applyFont="1" applyFill="1" applyBorder="1" applyAlignment="1">
      <alignment horizontal="center" vertical="center"/>
    </xf>
    <xf numFmtId="0" fontId="50" fillId="9" borderId="51" xfId="0" applyFont="1" applyFill="1" applyBorder="1" applyAlignment="1">
      <alignment horizontal="center" vertical="center"/>
    </xf>
    <xf numFmtId="0" fontId="50" fillId="9" borderId="55" xfId="0" applyFont="1" applyFill="1" applyBorder="1" applyAlignment="1">
      <alignment horizontal="center" vertical="center"/>
    </xf>
    <xf numFmtId="0" fontId="51" fillId="9" borderId="52" xfId="0" applyFont="1" applyFill="1" applyBorder="1" applyAlignment="1">
      <alignment horizontal="center" vertical="center"/>
    </xf>
    <xf numFmtId="0" fontId="51" fillId="9" borderId="56" xfId="0" applyFont="1" applyFill="1" applyBorder="1" applyAlignment="1">
      <alignment horizontal="center" vertical="center"/>
    </xf>
    <xf numFmtId="0" fontId="50" fillId="9" borderId="52" xfId="0" applyFont="1" applyFill="1" applyBorder="1" applyAlignment="1">
      <alignment horizontal="center" vertical="center" shrinkToFit="1"/>
    </xf>
    <xf numFmtId="0" fontId="50" fillId="9" borderId="53" xfId="0" applyFont="1" applyFill="1" applyBorder="1" applyAlignment="1">
      <alignment horizontal="center" vertical="center" shrinkToFit="1"/>
    </xf>
    <xf numFmtId="0" fontId="50" fillId="9" borderId="56" xfId="0" applyFont="1" applyFill="1" applyBorder="1" applyAlignment="1">
      <alignment horizontal="center" vertical="center" shrinkToFit="1"/>
    </xf>
    <xf numFmtId="0" fontId="50" fillId="9" borderId="57" xfId="0" applyFont="1" applyFill="1" applyBorder="1" applyAlignment="1">
      <alignment horizontal="center" vertical="center" shrinkToFit="1"/>
    </xf>
    <xf numFmtId="0" fontId="50" fillId="9" borderId="47" xfId="0" applyFont="1" applyFill="1" applyBorder="1" applyAlignment="1">
      <alignment horizontal="center" vertical="center"/>
    </xf>
    <xf numFmtId="0" fontId="50" fillId="9" borderId="54" xfId="0" applyFont="1" applyFill="1" applyBorder="1" applyAlignment="1">
      <alignment horizontal="center" vertical="center"/>
    </xf>
    <xf numFmtId="0" fontId="21" fillId="9" borderId="68" xfId="0" applyFont="1" applyFill="1" applyBorder="1" applyAlignment="1">
      <alignment horizontal="center" vertical="center"/>
    </xf>
    <xf numFmtId="0" fontId="21" fillId="9" borderId="69" xfId="0" applyFont="1" applyFill="1" applyBorder="1" applyAlignment="1">
      <alignment horizontal="center" vertical="center"/>
    </xf>
    <xf numFmtId="0" fontId="21" fillId="9" borderId="70" xfId="0" applyFont="1" applyFill="1" applyBorder="1" applyAlignment="1">
      <alignment horizontal="center" vertical="center"/>
    </xf>
    <xf numFmtId="0" fontId="21" fillId="9" borderId="71" xfId="0" applyFont="1" applyFill="1" applyBorder="1" applyAlignment="1">
      <alignment horizontal="center" vertical="center"/>
    </xf>
    <xf numFmtId="0" fontId="21" fillId="9" borderId="73" xfId="0" applyFont="1" applyFill="1" applyBorder="1" applyAlignment="1">
      <alignment horizontal="center" vertical="center"/>
    </xf>
    <xf numFmtId="0" fontId="21" fillId="9" borderId="74"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59" xfId="0" applyFont="1" applyFill="1" applyBorder="1" applyAlignment="1">
      <alignment horizontal="center" vertical="center"/>
    </xf>
    <xf numFmtId="0" fontId="21" fillId="9" borderId="6" xfId="0" applyFont="1" applyFill="1" applyBorder="1" applyAlignment="1">
      <alignment horizontal="center" vertical="center"/>
    </xf>
    <xf numFmtId="0" fontId="21" fillId="9" borderId="0" xfId="0" applyFont="1" applyFill="1" applyAlignment="1">
      <alignment horizontal="center" vertical="center"/>
    </xf>
    <xf numFmtId="0" fontId="21" fillId="9" borderId="55" xfId="0" applyFont="1" applyFill="1" applyBorder="1" applyAlignment="1">
      <alignment horizontal="center" vertical="center"/>
    </xf>
    <xf numFmtId="0" fontId="21" fillId="9" borderId="8" xfId="0" applyFont="1" applyFill="1" applyBorder="1" applyAlignment="1">
      <alignment horizontal="center" vertical="center"/>
    </xf>
    <xf numFmtId="0" fontId="21" fillId="9" borderId="2" xfId="0" applyFont="1" applyFill="1" applyBorder="1" applyAlignment="1">
      <alignment horizontal="center" vertical="center"/>
    </xf>
    <xf numFmtId="0" fontId="21" fillId="9" borderId="65" xfId="0" applyFont="1" applyFill="1" applyBorder="1" applyAlignment="1">
      <alignment horizontal="center" vertical="center"/>
    </xf>
    <xf numFmtId="0" fontId="21" fillId="9" borderId="63" xfId="0" applyFont="1" applyFill="1" applyBorder="1" applyAlignment="1">
      <alignment horizontal="center" vertical="center"/>
    </xf>
    <xf numFmtId="0" fontId="21" fillId="9" borderId="5" xfId="0" applyFont="1" applyFill="1" applyBorder="1" applyAlignment="1">
      <alignment horizontal="center" vertical="center"/>
    </xf>
    <xf numFmtId="0" fontId="21" fillId="9" borderId="54" xfId="0" applyFont="1" applyFill="1" applyBorder="1" applyAlignment="1">
      <alignment horizontal="center" vertical="center"/>
    </xf>
    <xf numFmtId="0" fontId="21" fillId="9" borderId="7" xfId="0" applyFont="1" applyFill="1" applyBorder="1" applyAlignment="1">
      <alignment horizontal="center" vertical="center"/>
    </xf>
    <xf numFmtId="0" fontId="21" fillId="9" borderId="67" xfId="0" applyFont="1" applyFill="1" applyBorder="1" applyAlignment="1">
      <alignment horizontal="center" vertical="center"/>
    </xf>
    <xf numFmtId="0" fontId="21" fillId="9" borderId="9" xfId="0" applyFont="1" applyFill="1" applyBorder="1" applyAlignment="1">
      <alignment horizontal="center" vertical="center"/>
    </xf>
    <xf numFmtId="0" fontId="0" fillId="10" borderId="63" xfId="0" applyFill="1" applyBorder="1" applyAlignment="1">
      <alignment horizontal="center" vertical="center"/>
    </xf>
    <xf numFmtId="0" fontId="0" fillId="10" borderId="4" xfId="0" applyFill="1" applyBorder="1" applyAlignment="1">
      <alignment horizontal="center" vertical="center"/>
    </xf>
    <xf numFmtId="0" fontId="0" fillId="10" borderId="54" xfId="0" applyFill="1" applyBorder="1" applyAlignment="1">
      <alignment horizontal="center" vertical="center"/>
    </xf>
    <xf numFmtId="0" fontId="0" fillId="10" borderId="0" xfId="0" applyFill="1" applyAlignment="1">
      <alignment horizontal="center" vertical="center"/>
    </xf>
    <xf numFmtId="0" fontId="0" fillId="10" borderId="67" xfId="0" applyFill="1" applyBorder="1" applyAlignment="1">
      <alignment horizontal="center" vertical="center"/>
    </xf>
    <xf numFmtId="0" fontId="0" fillId="10" borderId="2" xfId="0" applyFill="1" applyBorder="1" applyAlignment="1">
      <alignment horizontal="center" vertical="center"/>
    </xf>
    <xf numFmtId="0" fontId="0" fillId="10" borderId="58" xfId="0" applyFill="1" applyBorder="1" applyAlignment="1">
      <alignment horizontal="center" vertical="center"/>
    </xf>
    <xf numFmtId="0" fontId="0" fillId="10" borderId="23" xfId="0" applyFill="1" applyBorder="1" applyAlignment="1">
      <alignment horizontal="center" vertical="center"/>
    </xf>
    <xf numFmtId="0" fontId="0" fillId="10" borderId="64" xfId="0" applyFill="1" applyBorder="1" applyAlignment="1">
      <alignment horizontal="center" vertical="center"/>
    </xf>
    <xf numFmtId="0" fontId="0" fillId="10" borderId="24" xfId="0" applyFill="1" applyBorder="1" applyAlignment="1">
      <alignment horizontal="center" vertical="center"/>
    </xf>
    <xf numFmtId="191" fontId="68" fillId="12" borderId="58" xfId="0" applyNumberFormat="1" applyFont="1" applyFill="1" applyBorder="1" applyAlignment="1">
      <alignment horizontal="center" vertical="center"/>
    </xf>
    <xf numFmtId="191" fontId="68" fillId="12" borderId="4" xfId="0" applyNumberFormat="1" applyFont="1" applyFill="1" applyBorder="1" applyAlignment="1">
      <alignment horizontal="center" vertical="center"/>
    </xf>
    <xf numFmtId="191" fontId="68" fillId="12" borderId="5" xfId="0" applyNumberFormat="1" applyFont="1" applyFill="1" applyBorder="1" applyAlignment="1">
      <alignment horizontal="center" vertical="center"/>
    </xf>
    <xf numFmtId="191" fontId="68" fillId="12" borderId="64" xfId="0" applyNumberFormat="1" applyFont="1" applyFill="1" applyBorder="1" applyAlignment="1">
      <alignment horizontal="center" vertical="center"/>
    </xf>
    <xf numFmtId="191" fontId="68" fillId="12" borderId="2" xfId="0" applyNumberFormat="1" applyFont="1" applyFill="1" applyBorder="1" applyAlignment="1">
      <alignment horizontal="center" vertical="center"/>
    </xf>
    <xf numFmtId="191" fontId="68" fillId="12" borderId="9" xfId="0" applyNumberFormat="1" applyFont="1" applyFill="1" applyBorder="1" applyAlignment="1">
      <alignment horizontal="center" vertical="center"/>
    </xf>
    <xf numFmtId="191" fontId="68" fillId="0" borderId="3" xfId="0" applyNumberFormat="1" applyFont="1" applyBorder="1" applyAlignment="1">
      <alignment horizontal="center" vertical="center"/>
    </xf>
    <xf numFmtId="191" fontId="68" fillId="0" borderId="4" xfId="0" applyNumberFormat="1" applyFont="1" applyBorder="1" applyAlignment="1">
      <alignment horizontal="center" vertical="center"/>
    </xf>
    <xf numFmtId="191" fontId="68" fillId="0" borderId="23" xfId="0" applyNumberFormat="1" applyFont="1" applyBorder="1" applyAlignment="1">
      <alignment horizontal="center" vertical="center"/>
    </xf>
    <xf numFmtId="191" fontId="68" fillId="0" borderId="8" xfId="0" applyNumberFormat="1" applyFont="1" applyBorder="1" applyAlignment="1">
      <alignment horizontal="center" vertical="center"/>
    </xf>
    <xf numFmtId="191" fontId="68" fillId="0" borderId="2" xfId="0" applyNumberFormat="1" applyFont="1" applyBorder="1" applyAlignment="1">
      <alignment horizontal="center" vertical="center"/>
    </xf>
    <xf numFmtId="191" fontId="68" fillId="0" borderId="24" xfId="0" applyNumberFormat="1" applyFont="1" applyBorder="1" applyAlignment="1">
      <alignment horizontal="center" vertical="center"/>
    </xf>
    <xf numFmtId="0" fontId="21" fillId="9" borderId="61" xfId="0" applyFont="1" applyFill="1" applyBorder="1" applyAlignment="1">
      <alignment horizontal="center" vertical="center" wrapText="1"/>
    </xf>
    <xf numFmtId="0" fontId="21" fillId="9" borderId="62" xfId="0" applyFont="1" applyFill="1" applyBorder="1" applyAlignment="1">
      <alignment horizontal="center" vertical="center" wrapText="1"/>
    </xf>
    <xf numFmtId="0" fontId="21" fillId="9" borderId="56" xfId="0" applyFont="1" applyFill="1" applyBorder="1" applyAlignment="1">
      <alignment horizontal="center" vertical="center" wrapText="1"/>
    </xf>
    <xf numFmtId="0" fontId="21" fillId="9" borderId="57" xfId="0" applyFont="1" applyFill="1" applyBorder="1" applyAlignment="1">
      <alignment horizontal="center" vertical="center" wrapText="1"/>
    </xf>
    <xf numFmtId="0" fontId="21" fillId="9" borderId="66"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21" fillId="9" borderId="21" xfId="0" applyFont="1" applyFill="1" applyBorder="1" applyAlignment="1">
      <alignment horizontal="center" vertical="center"/>
    </xf>
    <xf numFmtId="0" fontId="21" fillId="9" borderId="20" xfId="0" applyFont="1" applyFill="1" applyBorder="1" applyAlignment="1">
      <alignment horizontal="center" vertical="center"/>
    </xf>
    <xf numFmtId="0" fontId="0" fillId="9" borderId="58" xfId="0" applyFill="1" applyBorder="1" applyAlignment="1">
      <alignment horizontal="center" vertical="center"/>
    </xf>
    <xf numFmtId="0" fontId="0" fillId="9" borderId="4" xfId="0" applyFill="1" applyBorder="1" applyAlignment="1">
      <alignment horizontal="center" vertical="center"/>
    </xf>
    <xf numFmtId="0" fontId="0" fillId="9" borderId="23" xfId="0" applyFill="1" applyBorder="1" applyAlignment="1">
      <alignment horizontal="center" vertical="center"/>
    </xf>
    <xf numFmtId="0" fontId="0" fillId="9" borderId="64" xfId="0" applyFill="1" applyBorder="1" applyAlignment="1">
      <alignment horizontal="center" vertical="center"/>
    </xf>
    <xf numFmtId="0" fontId="0" fillId="9" borderId="2" xfId="0" applyFill="1" applyBorder="1" applyAlignment="1">
      <alignment horizontal="center" vertical="center"/>
    </xf>
    <xf numFmtId="0" fontId="0" fillId="9" borderId="24" xfId="0" applyFill="1" applyBorder="1" applyAlignment="1">
      <alignment horizontal="center" vertical="center"/>
    </xf>
    <xf numFmtId="191" fontId="68" fillId="0" borderId="59" xfId="0" applyNumberFormat="1" applyFont="1" applyBorder="1" applyAlignment="1">
      <alignment horizontal="center" vertical="center"/>
    </xf>
    <xf numFmtId="191" fontId="68" fillId="0" borderId="65" xfId="0" applyNumberFormat="1" applyFont="1" applyBorder="1" applyAlignment="1">
      <alignment horizontal="center" vertical="center"/>
    </xf>
    <xf numFmtId="0" fontId="0" fillId="10" borderId="5" xfId="0" applyFill="1" applyBorder="1" applyAlignment="1">
      <alignment horizontal="center" vertical="center"/>
    </xf>
    <xf numFmtId="0" fontId="0" fillId="10" borderId="7" xfId="0" applyFill="1" applyBorder="1" applyAlignment="1">
      <alignment horizontal="center" vertical="center"/>
    </xf>
    <xf numFmtId="0" fontId="0" fillId="10" borderId="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9"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center" vertical="center"/>
    </xf>
    <xf numFmtId="0" fontId="0" fillId="0" borderId="55" xfId="0" applyBorder="1" applyAlignment="1">
      <alignment horizontal="center" vertical="center"/>
    </xf>
    <xf numFmtId="0" fontId="0" fillId="0" borderId="8" xfId="0" applyBorder="1" applyAlignment="1">
      <alignment horizontal="center" vertical="center"/>
    </xf>
    <xf numFmtId="0" fontId="0" fillId="0" borderId="2" xfId="0" applyBorder="1" applyAlignment="1">
      <alignment horizontal="center" vertical="center"/>
    </xf>
    <xf numFmtId="0" fontId="0" fillId="0" borderId="65" xfId="0" applyBorder="1" applyAlignment="1">
      <alignment horizontal="center" vertical="center"/>
    </xf>
    <xf numFmtId="191" fontId="68" fillId="0" borderId="58" xfId="0" applyNumberFormat="1" applyFont="1" applyBorder="1" applyAlignment="1">
      <alignment horizontal="center" vertical="center"/>
    </xf>
    <xf numFmtId="191" fontId="68" fillId="0" borderId="5" xfId="0" applyNumberFormat="1" applyFont="1" applyBorder="1" applyAlignment="1">
      <alignment horizontal="center" vertical="center"/>
    </xf>
    <xf numFmtId="191" fontId="68" fillId="0" borderId="64" xfId="0" applyNumberFormat="1" applyFont="1" applyBorder="1" applyAlignment="1">
      <alignment horizontal="center" vertical="center"/>
    </xf>
    <xf numFmtId="191" fontId="68" fillId="0" borderId="9" xfId="0" applyNumberFormat="1" applyFont="1" applyBorder="1" applyAlignment="1">
      <alignment horizontal="center" vertical="center"/>
    </xf>
    <xf numFmtId="0" fontId="0" fillId="0" borderId="69" xfId="0" applyBorder="1" applyAlignment="1">
      <alignment horizontal="center" vertical="center"/>
    </xf>
    <xf numFmtId="0" fontId="0" fillId="0" borderId="71" xfId="0" applyBorder="1" applyAlignment="1">
      <alignment horizontal="center" vertical="center"/>
    </xf>
    <xf numFmtId="0" fontId="0" fillId="0" borderId="7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52" fillId="0" borderId="63" xfId="0" applyFont="1" applyBorder="1" applyAlignment="1">
      <alignment horizontal="center" vertical="center"/>
    </xf>
    <xf numFmtId="0" fontId="52" fillId="0" borderId="4" xfId="0" applyFont="1" applyBorder="1" applyAlignment="1">
      <alignment horizontal="center" vertical="center"/>
    </xf>
    <xf numFmtId="0" fontId="52" fillId="0" borderId="5" xfId="0" applyFont="1" applyBorder="1" applyAlignment="1">
      <alignment horizontal="center" vertical="center"/>
    </xf>
    <xf numFmtId="0" fontId="52" fillId="0" borderId="54" xfId="0" applyFont="1" applyBorder="1" applyAlignment="1">
      <alignment horizontal="center" vertical="center"/>
    </xf>
    <xf numFmtId="0" fontId="52" fillId="0" borderId="0" xfId="0" applyFont="1" applyAlignment="1">
      <alignment horizontal="center" vertical="center"/>
    </xf>
    <xf numFmtId="0" fontId="52" fillId="0" borderId="7" xfId="0" applyFont="1" applyBorder="1" applyAlignment="1">
      <alignment horizontal="center" vertical="center"/>
    </xf>
    <xf numFmtId="0" fontId="52" fillId="0" borderId="67" xfId="0" applyFont="1" applyBorder="1" applyAlignment="1">
      <alignment horizontal="center" vertical="center"/>
    </xf>
    <xf numFmtId="0" fontId="52" fillId="0" borderId="2" xfId="0" applyFont="1" applyBorder="1" applyAlignment="1">
      <alignment horizontal="center" vertical="center"/>
    </xf>
    <xf numFmtId="0" fontId="52" fillId="0" borderId="9" xfId="0" applyFont="1" applyBorder="1" applyAlignment="1">
      <alignment horizontal="center" vertical="center"/>
    </xf>
    <xf numFmtId="0" fontId="0" fillId="10" borderId="21" xfId="0" applyFill="1" applyBorder="1" applyAlignment="1">
      <alignment horizontal="center" vertical="center"/>
    </xf>
    <xf numFmtId="191" fontId="0" fillId="0" borderId="58" xfId="0" applyNumberFormat="1" applyBorder="1" applyAlignment="1">
      <alignment horizontal="center" vertical="center"/>
    </xf>
    <xf numFmtId="191" fontId="0" fillId="0" borderId="4" xfId="0" applyNumberFormat="1" applyBorder="1" applyAlignment="1">
      <alignment horizontal="center" vertical="center"/>
    </xf>
    <xf numFmtId="191" fontId="0" fillId="0" borderId="5" xfId="0" applyNumberFormat="1" applyBorder="1" applyAlignment="1">
      <alignment horizontal="center" vertical="center"/>
    </xf>
    <xf numFmtId="191" fontId="0" fillId="0" borderId="20" xfId="0" applyNumberFormat="1" applyBorder="1" applyAlignment="1">
      <alignment horizontal="center" vertical="center"/>
    </xf>
    <xf numFmtId="191" fontId="0" fillId="0" borderId="0" xfId="0" applyNumberFormat="1" applyAlignment="1">
      <alignment horizontal="center" vertical="center"/>
    </xf>
    <xf numFmtId="191" fontId="0" fillId="0" borderId="7" xfId="0" applyNumberFormat="1" applyBorder="1" applyAlignment="1">
      <alignment horizontal="center" vertical="center"/>
    </xf>
    <xf numFmtId="191" fontId="0" fillId="0" borderId="64" xfId="0" applyNumberFormat="1" applyBorder="1" applyAlignment="1">
      <alignment horizontal="center" vertical="center"/>
    </xf>
    <xf numFmtId="191" fontId="0" fillId="0" borderId="2" xfId="0" applyNumberFormat="1" applyBorder="1" applyAlignment="1">
      <alignment horizontal="center" vertical="center"/>
    </xf>
    <xf numFmtId="191" fontId="0" fillId="0" borderId="9" xfId="0" applyNumberFormat="1" applyBorder="1" applyAlignment="1">
      <alignment horizontal="center" vertical="center"/>
    </xf>
    <xf numFmtId="191" fontId="0" fillId="0" borderId="3" xfId="0" applyNumberFormat="1" applyBorder="1" applyAlignment="1">
      <alignment horizontal="center" vertical="center"/>
    </xf>
    <xf numFmtId="191" fontId="0" fillId="0" borderId="23" xfId="0" applyNumberFormat="1" applyBorder="1" applyAlignment="1">
      <alignment horizontal="center" vertical="center"/>
    </xf>
    <xf numFmtId="191" fontId="0" fillId="0" borderId="6" xfId="0" applyNumberFormat="1" applyBorder="1" applyAlignment="1">
      <alignment horizontal="center" vertical="center"/>
    </xf>
    <xf numFmtId="191" fontId="0" fillId="0" borderId="21" xfId="0" applyNumberFormat="1" applyBorder="1" applyAlignment="1">
      <alignment horizontal="center" vertical="center"/>
    </xf>
    <xf numFmtId="191" fontId="0" fillId="0" borderId="8" xfId="0" applyNumberFormat="1" applyBorder="1" applyAlignment="1">
      <alignment horizontal="center" vertical="center"/>
    </xf>
    <xf numFmtId="191" fontId="0" fillId="0" borderId="24" xfId="0" applyNumberFormat="1" applyBorder="1" applyAlignment="1">
      <alignment horizontal="center" vertical="center"/>
    </xf>
    <xf numFmtId="191" fontId="0" fillId="0" borderId="59" xfId="0" applyNumberFormat="1" applyBorder="1" applyAlignment="1">
      <alignment horizontal="center" vertical="center"/>
    </xf>
    <xf numFmtId="191" fontId="0" fillId="0" borderId="55" xfId="0" applyNumberFormat="1" applyBorder="1" applyAlignment="1">
      <alignment horizontal="center" vertical="center"/>
    </xf>
    <xf numFmtId="191" fontId="0" fillId="0" borderId="65" xfId="0" applyNumberFormat="1" applyBorder="1" applyAlignment="1">
      <alignment horizontal="center" vertical="center"/>
    </xf>
    <xf numFmtId="0" fontId="0" fillId="10" borderId="4" xfId="0" applyFill="1" applyBorder="1" applyAlignment="1">
      <alignment horizontal="center" vertical="center" shrinkToFit="1"/>
    </xf>
    <xf numFmtId="0" fontId="0" fillId="10" borderId="5" xfId="0" applyFill="1" applyBorder="1" applyAlignment="1">
      <alignment horizontal="center" vertical="center" shrinkToFit="1"/>
    </xf>
    <xf numFmtId="0" fontId="0" fillId="10" borderId="0" xfId="0" applyFill="1" applyAlignment="1">
      <alignment horizontal="center" vertical="center" shrinkToFit="1"/>
    </xf>
    <xf numFmtId="0" fontId="0" fillId="10" borderId="7" xfId="0" applyFill="1" applyBorder="1" applyAlignment="1">
      <alignment horizontal="center" vertical="center" shrinkToFit="1"/>
    </xf>
    <xf numFmtId="0" fontId="0" fillId="10" borderId="2" xfId="0" applyFill="1" applyBorder="1" applyAlignment="1">
      <alignment horizontal="center" vertical="center" shrinkToFit="1"/>
    </xf>
    <xf numFmtId="0" fontId="0" fillId="10" borderId="9" xfId="0" applyFill="1" applyBorder="1" applyAlignment="1">
      <alignment horizontal="center" vertical="center" shrinkToFit="1"/>
    </xf>
    <xf numFmtId="0" fontId="55" fillId="10" borderId="1" xfId="0" applyFont="1" applyFill="1" applyBorder="1" applyAlignment="1">
      <alignment horizontal="center" vertical="center"/>
    </xf>
    <xf numFmtId="2" fontId="55" fillId="0" borderId="3" xfId="0" applyNumberFormat="1" applyFont="1" applyBorder="1" applyAlignment="1">
      <alignment horizontal="center" vertical="center"/>
    </xf>
    <xf numFmtId="2" fontId="55" fillId="0" borderId="4" xfId="0" applyNumberFormat="1" applyFont="1" applyBorder="1" applyAlignment="1">
      <alignment horizontal="center" vertical="center"/>
    </xf>
    <xf numFmtId="2" fontId="55" fillId="0" borderId="5" xfId="0" applyNumberFormat="1" applyFont="1" applyBorder="1" applyAlignment="1">
      <alignment horizontal="center" vertical="center"/>
    </xf>
    <xf numFmtId="2" fontId="55" fillId="0" borderId="8" xfId="0" applyNumberFormat="1" applyFont="1" applyBorder="1" applyAlignment="1">
      <alignment horizontal="center" vertical="center"/>
    </xf>
    <xf numFmtId="2" fontId="55" fillId="0" borderId="2" xfId="0" applyNumberFormat="1" applyFont="1" applyBorder="1" applyAlignment="1">
      <alignment horizontal="center" vertical="center"/>
    </xf>
    <xf numFmtId="2" fontId="55" fillId="0" borderId="9" xfId="0" applyNumberFormat="1" applyFont="1" applyBorder="1" applyAlignment="1">
      <alignment horizontal="center" vertical="center"/>
    </xf>
    <xf numFmtId="0" fontId="55" fillId="0" borderId="1" xfId="0" applyFont="1" applyBorder="1" applyAlignment="1">
      <alignment horizontal="center" vertical="center"/>
    </xf>
    <xf numFmtId="0" fontId="55" fillId="0" borderId="76" xfId="0" applyFont="1" applyBorder="1" applyAlignment="1">
      <alignment horizontal="center" vertical="center"/>
    </xf>
    <xf numFmtId="0" fontId="0" fillId="10" borderId="63" xfId="0" applyFill="1" applyBorder="1" applyAlignment="1">
      <alignment horizontal="center" vertical="center" wrapText="1"/>
    </xf>
    <xf numFmtId="0" fontId="0" fillId="10" borderId="4" xfId="0" applyFill="1" applyBorder="1" applyAlignment="1">
      <alignment horizontal="center" vertical="center" wrapText="1"/>
    </xf>
    <xf numFmtId="0" fontId="0" fillId="10" borderId="23" xfId="0" applyFill="1" applyBorder="1" applyAlignment="1">
      <alignment horizontal="center" vertical="center" wrapText="1"/>
    </xf>
    <xf numFmtId="0" fontId="0" fillId="10" borderId="54" xfId="0" applyFill="1" applyBorder="1" applyAlignment="1">
      <alignment horizontal="center" vertical="center" wrapText="1"/>
    </xf>
    <xf numFmtId="0" fontId="0" fillId="10" borderId="0" xfId="0" applyFill="1" applyAlignment="1">
      <alignment horizontal="center" vertical="center" wrapText="1"/>
    </xf>
    <xf numFmtId="0" fontId="0" fillId="10" borderId="21" xfId="0" applyFill="1" applyBorder="1" applyAlignment="1">
      <alignment horizontal="center" vertical="center" wrapText="1"/>
    </xf>
    <xf numFmtId="0" fontId="0" fillId="10" borderId="67" xfId="0" applyFill="1" applyBorder="1" applyAlignment="1">
      <alignment horizontal="center" vertical="center" wrapText="1"/>
    </xf>
    <xf numFmtId="0" fontId="0" fillId="10" borderId="2" xfId="0" applyFill="1" applyBorder="1" applyAlignment="1">
      <alignment horizontal="center" vertical="center" wrapText="1"/>
    </xf>
    <xf numFmtId="0" fontId="0" fillId="10" borderId="24" xfId="0" applyFill="1" applyBorder="1" applyAlignment="1">
      <alignment horizontal="center" vertical="center" wrapText="1"/>
    </xf>
    <xf numFmtId="2" fontId="55" fillId="0" borderId="1" xfId="0" applyNumberFormat="1" applyFont="1" applyBorder="1" applyAlignment="1">
      <alignment horizontal="center" vertical="center"/>
    </xf>
    <xf numFmtId="2" fontId="0" fillId="0" borderId="4" xfId="0" applyNumberFormat="1" applyBorder="1" applyAlignment="1">
      <alignment horizontal="center" vertical="center"/>
    </xf>
    <xf numFmtId="2" fontId="0" fillId="0" borderId="5" xfId="0" applyNumberFormat="1" applyBorder="1" applyAlignment="1">
      <alignment horizontal="center" vertical="center"/>
    </xf>
    <xf numFmtId="2" fontId="0" fillId="0" borderId="0" xfId="0" applyNumberFormat="1" applyAlignment="1">
      <alignment horizontal="center" vertical="center"/>
    </xf>
    <xf numFmtId="2" fontId="0" fillId="0" borderId="7" xfId="0" applyNumberFormat="1" applyBorder="1" applyAlignment="1">
      <alignment horizontal="center" vertical="center"/>
    </xf>
    <xf numFmtId="2" fontId="0" fillId="0" borderId="2" xfId="0" applyNumberFormat="1" applyBorder="1" applyAlignment="1">
      <alignment horizontal="center" vertical="center"/>
    </xf>
    <xf numFmtId="2" fontId="0" fillId="0" borderId="9" xfId="0" applyNumberFormat="1" applyBorder="1" applyAlignment="1">
      <alignment horizontal="center" vertical="center"/>
    </xf>
    <xf numFmtId="0" fontId="0" fillId="10" borderId="3" xfId="0" applyFill="1" applyBorder="1" applyAlignment="1">
      <alignment horizontal="center" vertical="center"/>
    </xf>
    <xf numFmtId="0" fontId="0" fillId="10" borderId="6" xfId="0" applyFill="1" applyBorder="1" applyAlignment="1">
      <alignment horizontal="center" vertical="center"/>
    </xf>
    <xf numFmtId="0" fontId="0" fillId="10" borderId="8" xfId="0" applyFill="1" applyBorder="1" applyAlignment="1">
      <alignment horizontal="center" vertical="center"/>
    </xf>
    <xf numFmtId="2" fontId="0" fillId="0" borderId="3" xfId="0" applyNumberFormat="1" applyBorder="1" applyAlignment="1">
      <alignment horizontal="center" vertical="center"/>
    </xf>
    <xf numFmtId="2" fontId="0" fillId="0" borderId="59" xfId="0" applyNumberFormat="1" applyBorder="1" applyAlignment="1">
      <alignment horizontal="center" vertical="center"/>
    </xf>
    <xf numFmtId="2" fontId="0" fillId="0" borderId="6" xfId="0" applyNumberFormat="1" applyBorder="1" applyAlignment="1">
      <alignment horizontal="center" vertical="center"/>
    </xf>
    <xf numFmtId="2" fontId="0" fillId="0" borderId="55" xfId="0" applyNumberFormat="1" applyBorder="1" applyAlignment="1">
      <alignment horizontal="center" vertical="center"/>
    </xf>
    <xf numFmtId="2" fontId="0" fillId="0" borderId="8" xfId="0" applyNumberFormat="1" applyBorder="1" applyAlignment="1">
      <alignment horizontal="center" vertical="center"/>
    </xf>
    <xf numFmtId="2" fontId="0" fillId="0" borderId="65" xfId="0" applyNumberFormat="1" applyBorder="1" applyAlignment="1">
      <alignment horizontal="center" vertical="center"/>
    </xf>
    <xf numFmtId="0" fontId="52" fillId="10" borderId="63" xfId="0" applyFont="1" applyFill="1" applyBorder="1" applyAlignment="1">
      <alignment horizontal="center" vertical="center" wrapText="1"/>
    </xf>
    <xf numFmtId="0" fontId="52" fillId="10" borderId="4" xfId="0" applyFont="1" applyFill="1" applyBorder="1" applyAlignment="1">
      <alignment horizontal="center" vertical="center" wrapText="1"/>
    </xf>
    <xf numFmtId="0" fontId="52" fillId="10" borderId="5" xfId="0" applyFont="1" applyFill="1" applyBorder="1" applyAlignment="1">
      <alignment horizontal="center" vertical="center" wrapText="1"/>
    </xf>
    <xf numFmtId="0" fontId="52" fillId="10" borderId="54" xfId="0" applyFont="1" applyFill="1" applyBorder="1" applyAlignment="1">
      <alignment horizontal="center" vertical="center" wrapText="1"/>
    </xf>
    <xf numFmtId="0" fontId="52" fillId="10" borderId="0" xfId="0" applyFont="1" applyFill="1" applyAlignment="1">
      <alignment horizontal="center" vertical="center" wrapText="1"/>
    </xf>
    <xf numFmtId="0" fontId="52" fillId="10" borderId="7" xfId="0" applyFont="1" applyFill="1" applyBorder="1" applyAlignment="1">
      <alignment horizontal="center" vertical="center" wrapText="1"/>
    </xf>
    <xf numFmtId="0" fontId="52" fillId="10" borderId="67" xfId="0" applyFont="1" applyFill="1" applyBorder="1" applyAlignment="1">
      <alignment horizontal="center" vertical="center" wrapText="1"/>
    </xf>
    <xf numFmtId="0" fontId="52" fillId="10" borderId="2" xfId="0" applyFont="1" applyFill="1" applyBorder="1" applyAlignment="1">
      <alignment horizontal="center" vertical="center" wrapText="1"/>
    </xf>
    <xf numFmtId="0" fontId="52" fillId="10" borderId="9" xfId="0" applyFont="1" applyFill="1" applyBorder="1" applyAlignment="1">
      <alignment horizontal="center" vertical="center" wrapText="1"/>
    </xf>
    <xf numFmtId="0" fontId="0" fillId="10" borderId="3" xfId="0" applyFill="1" applyBorder="1" applyAlignment="1">
      <alignment horizontal="center" vertical="center" wrapText="1"/>
    </xf>
    <xf numFmtId="0" fontId="21" fillId="10" borderId="63" xfId="0" applyFont="1" applyFill="1" applyBorder="1" applyAlignment="1">
      <alignment horizontal="center" vertical="center" wrapText="1"/>
    </xf>
    <xf numFmtId="0" fontId="21" fillId="10" borderId="4" xfId="0" applyFont="1" applyFill="1" applyBorder="1" applyAlignment="1">
      <alignment horizontal="center" vertical="center" wrapText="1"/>
    </xf>
    <xf numFmtId="0" fontId="21" fillId="10" borderId="5" xfId="0" applyFont="1" applyFill="1" applyBorder="1" applyAlignment="1">
      <alignment horizontal="center" vertical="center" wrapText="1"/>
    </xf>
    <xf numFmtId="0" fontId="21" fillId="10" borderId="54" xfId="0" applyFont="1" applyFill="1" applyBorder="1" applyAlignment="1">
      <alignment horizontal="center" vertical="center" wrapText="1"/>
    </xf>
    <xf numFmtId="0" fontId="21" fillId="10" borderId="0" xfId="0" applyFont="1" applyFill="1" applyAlignment="1">
      <alignment horizontal="center" vertical="center" wrapText="1"/>
    </xf>
    <xf numFmtId="0" fontId="21" fillId="10" borderId="7" xfId="0" applyFont="1" applyFill="1" applyBorder="1" applyAlignment="1">
      <alignment horizontal="center" vertical="center" wrapText="1"/>
    </xf>
    <xf numFmtId="0" fontId="21" fillId="10" borderId="67" xfId="0" applyFont="1" applyFill="1" applyBorder="1" applyAlignment="1">
      <alignment horizontal="center" vertical="center" wrapText="1"/>
    </xf>
    <xf numFmtId="0" fontId="21" fillId="10" borderId="2" xfId="0" applyFont="1" applyFill="1" applyBorder="1" applyAlignment="1">
      <alignment horizontal="center" vertical="center" wrapText="1"/>
    </xf>
    <xf numFmtId="0" fontId="21" fillId="10" borderId="9" xfId="0" applyFont="1" applyFill="1" applyBorder="1" applyAlignment="1">
      <alignment horizontal="center" vertical="center" wrapText="1"/>
    </xf>
    <xf numFmtId="3" fontId="55" fillId="0" borderId="3" xfId="0" applyNumberFormat="1" applyFont="1" applyBorder="1" applyAlignment="1">
      <alignment horizontal="center" vertical="center"/>
    </xf>
    <xf numFmtId="3" fontId="55" fillId="0" borderId="4" xfId="0" applyNumberFormat="1" applyFont="1" applyBorder="1" applyAlignment="1">
      <alignment horizontal="center" vertical="center"/>
    </xf>
    <xf numFmtId="3" fontId="55" fillId="0" borderId="59" xfId="0" applyNumberFormat="1" applyFont="1" applyBorder="1" applyAlignment="1">
      <alignment horizontal="center" vertical="center"/>
    </xf>
    <xf numFmtId="3" fontId="55" fillId="0" borderId="8" xfId="0" applyNumberFormat="1" applyFont="1" applyBorder="1" applyAlignment="1">
      <alignment horizontal="center" vertical="center"/>
    </xf>
    <xf numFmtId="3" fontId="55" fillId="0" borderId="2" xfId="0" applyNumberFormat="1" applyFont="1" applyBorder="1" applyAlignment="1">
      <alignment horizontal="center" vertical="center"/>
    </xf>
    <xf numFmtId="3" fontId="55" fillId="0" borderId="65" xfId="0" applyNumberFormat="1" applyFont="1" applyBorder="1" applyAlignment="1">
      <alignment horizontal="center" vertical="center"/>
    </xf>
    <xf numFmtId="191" fontId="0" fillId="0" borderId="97" xfId="0" applyNumberFormat="1" applyBorder="1" applyAlignment="1">
      <alignment horizontal="center" vertical="center"/>
    </xf>
    <xf numFmtId="191" fontId="0" fillId="0" borderId="46" xfId="0" applyNumberFormat="1" applyBorder="1" applyAlignment="1">
      <alignment horizontal="center" vertical="center"/>
    </xf>
    <xf numFmtId="191" fontId="0" fillId="0" borderId="94" xfId="0" applyNumberFormat="1" applyBorder="1" applyAlignment="1">
      <alignment horizontal="center" vertical="center"/>
    </xf>
    <xf numFmtId="3" fontId="55" fillId="0" borderId="1" xfId="0" applyNumberFormat="1" applyFont="1" applyBorder="1" applyAlignment="1">
      <alignment horizontal="center" vertical="center"/>
    </xf>
    <xf numFmtId="3" fontId="55" fillId="0" borderId="76" xfId="0" applyNumberFormat="1" applyFont="1" applyBorder="1" applyAlignment="1">
      <alignment horizontal="center" vertical="center"/>
    </xf>
    <xf numFmtId="0" fontId="21" fillId="10" borderId="3" xfId="0" applyFont="1" applyFill="1" applyBorder="1" applyAlignment="1">
      <alignment horizontal="center" vertical="center" wrapText="1"/>
    </xf>
    <xf numFmtId="0" fontId="21" fillId="10" borderId="6" xfId="0" applyFont="1" applyFill="1" applyBorder="1" applyAlignment="1">
      <alignment horizontal="center" vertical="center" wrapText="1"/>
    </xf>
    <xf numFmtId="0" fontId="58" fillId="0" borderId="63" xfId="0" applyFont="1" applyBorder="1" applyAlignment="1">
      <alignment horizontal="left" vertical="center"/>
    </xf>
    <xf numFmtId="0" fontId="58" fillId="0" borderId="4" xfId="0" applyFont="1" applyBorder="1" applyAlignment="1">
      <alignment horizontal="left" vertical="center"/>
    </xf>
    <xf numFmtId="0" fontId="58" fillId="0" borderId="59" xfId="0" applyFont="1" applyBorder="1" applyAlignment="1">
      <alignment horizontal="left" vertical="center"/>
    </xf>
    <xf numFmtId="0" fontId="58" fillId="0" borderId="54" xfId="0" applyFont="1" applyBorder="1" applyAlignment="1">
      <alignment horizontal="left" vertical="center"/>
    </xf>
    <xf numFmtId="0" fontId="58" fillId="0" borderId="0" xfId="0" applyFont="1" applyAlignment="1">
      <alignment horizontal="left" vertical="center"/>
    </xf>
    <xf numFmtId="0" fontId="58" fillId="0" borderId="55" xfId="0" applyFont="1" applyBorder="1" applyAlignment="1">
      <alignment horizontal="left" vertical="center"/>
    </xf>
    <xf numFmtId="0" fontId="59" fillId="0" borderId="54" xfId="0" applyFont="1" applyBorder="1" applyAlignment="1">
      <alignment vertical="top"/>
    </xf>
    <xf numFmtId="0" fontId="59" fillId="0" borderId="0" xfId="0" applyFont="1" applyAlignment="1">
      <alignment vertical="top"/>
    </xf>
    <xf numFmtId="0" fontId="59" fillId="0" borderId="55" xfId="0" applyFont="1" applyBorder="1" applyAlignment="1">
      <alignment vertical="top"/>
    </xf>
    <xf numFmtId="2" fontId="55" fillId="0" borderId="6" xfId="0" applyNumberFormat="1" applyFont="1" applyBorder="1" applyAlignment="1">
      <alignment horizontal="center" vertical="center"/>
    </xf>
    <xf numFmtId="2" fontId="55" fillId="0" borderId="0" xfId="0" applyNumberFormat="1" applyFont="1" applyAlignment="1">
      <alignment horizontal="center" vertical="center"/>
    </xf>
    <xf numFmtId="2" fontId="55" fillId="0" borderId="7" xfId="0" applyNumberFormat="1" applyFont="1" applyBorder="1" applyAlignment="1">
      <alignment horizontal="center" vertical="center"/>
    </xf>
    <xf numFmtId="0" fontId="0" fillId="10" borderId="83" xfId="0" applyFill="1" applyBorder="1" applyAlignment="1">
      <alignment horizontal="center" vertical="center"/>
    </xf>
    <xf numFmtId="0" fontId="0" fillId="10" borderId="46" xfId="0" applyFill="1" applyBorder="1" applyAlignment="1">
      <alignment horizontal="center" vertical="center"/>
    </xf>
    <xf numFmtId="0" fontId="0" fillId="10" borderId="94" xfId="0" applyFill="1" applyBorder="1" applyAlignment="1">
      <alignment horizontal="center" vertical="center"/>
    </xf>
    <xf numFmtId="191" fontId="0" fillId="0" borderId="95" xfId="0" applyNumberFormat="1" applyBorder="1" applyAlignment="1">
      <alignment horizontal="center" vertical="center"/>
    </xf>
    <xf numFmtId="191" fontId="0" fillId="0" borderId="96" xfId="0" applyNumberFormat="1" applyBorder="1" applyAlignment="1">
      <alignment horizontal="center" vertical="center"/>
    </xf>
    <xf numFmtId="191" fontId="0" fillId="0" borderId="84" xfId="0" applyNumberFormat="1" applyBorder="1" applyAlignment="1">
      <alignment horizontal="center" vertical="center"/>
    </xf>
    <xf numFmtId="0" fontId="59" fillId="0" borderId="54" xfId="0" applyFont="1" applyBorder="1">
      <alignment vertical="center"/>
    </xf>
    <xf numFmtId="0" fontId="59" fillId="0" borderId="0" xfId="0" applyFont="1">
      <alignment vertical="center"/>
    </xf>
    <xf numFmtId="0" fontId="59" fillId="0" borderId="55" xfId="0" applyFont="1" applyBorder="1">
      <alignment vertical="center"/>
    </xf>
    <xf numFmtId="0" fontId="0" fillId="10" borderId="5" xfId="0" applyFill="1" applyBorder="1" applyAlignment="1">
      <alignment horizontal="center" vertical="center" wrapText="1"/>
    </xf>
    <xf numFmtId="0" fontId="0" fillId="10" borderId="6" xfId="0" applyFill="1" applyBorder="1" applyAlignment="1">
      <alignment horizontal="center" vertical="center" wrapText="1"/>
    </xf>
    <xf numFmtId="0" fontId="0" fillId="10" borderId="7" xfId="0" applyFill="1" applyBorder="1" applyAlignment="1">
      <alignment horizontal="center" vertical="center" wrapText="1"/>
    </xf>
    <xf numFmtId="0" fontId="0" fillId="10" borderId="8" xfId="0" applyFill="1" applyBorder="1" applyAlignment="1">
      <alignment horizontal="center" vertical="center" wrapText="1"/>
    </xf>
    <xf numFmtId="0" fontId="0" fillId="10" borderId="9" xfId="0" applyFill="1" applyBorder="1" applyAlignment="1">
      <alignment horizontal="center" vertical="center" wrapText="1"/>
    </xf>
    <xf numFmtId="0" fontId="50" fillId="9" borderId="67" xfId="0" applyFont="1" applyFill="1" applyBorder="1" applyAlignment="1">
      <alignment horizontal="center" vertical="center"/>
    </xf>
    <xf numFmtId="0" fontId="50" fillId="9" borderId="2" xfId="0" applyFont="1" applyFill="1" applyBorder="1" applyAlignment="1">
      <alignment horizontal="center" vertical="center"/>
    </xf>
    <xf numFmtId="0" fontId="50" fillId="9" borderId="85" xfId="0" applyFont="1" applyFill="1" applyBorder="1" applyAlignment="1">
      <alignment horizontal="center" vertical="center"/>
    </xf>
    <xf numFmtId="0" fontId="50" fillId="9" borderId="6" xfId="0" applyFont="1" applyFill="1" applyBorder="1" applyAlignment="1">
      <alignment horizontal="center" vertical="center"/>
    </xf>
    <xf numFmtId="0" fontId="50" fillId="9" borderId="8" xfId="0" applyFont="1" applyFill="1" applyBorder="1" applyAlignment="1">
      <alignment horizontal="center" vertical="center"/>
    </xf>
    <xf numFmtId="0" fontId="50" fillId="9" borderId="65" xfId="0" applyFont="1" applyFill="1" applyBorder="1" applyAlignment="1">
      <alignment horizontal="center" vertical="center"/>
    </xf>
    <xf numFmtId="0" fontId="21" fillId="0" borderId="0" xfId="0" applyFont="1" applyAlignment="1">
      <alignment horizontal="center" vertical="center"/>
    </xf>
    <xf numFmtId="0" fontId="21" fillId="0" borderId="55" xfId="0" applyFont="1" applyBorder="1" applyAlignment="1">
      <alignment horizontal="center" vertical="center"/>
    </xf>
    <xf numFmtId="0" fontId="21" fillId="0" borderId="2" xfId="0" applyFont="1" applyBorder="1" applyAlignment="1">
      <alignment horizontal="center" vertical="center"/>
    </xf>
    <xf numFmtId="0" fontId="21" fillId="0" borderId="65" xfId="0" applyFont="1" applyBorder="1" applyAlignment="1">
      <alignment horizontal="center" vertical="center"/>
    </xf>
    <xf numFmtId="0" fontId="55" fillId="0" borderId="63" xfId="0" applyFont="1" applyBorder="1" applyAlignment="1">
      <alignment horizontal="left" vertical="center"/>
    </xf>
    <xf numFmtId="0" fontId="55" fillId="0" borderId="4" xfId="0" applyFont="1" applyBorder="1" applyAlignment="1">
      <alignment horizontal="left" vertical="center"/>
    </xf>
    <xf numFmtId="0" fontId="55" fillId="0" borderId="59" xfId="0" applyFont="1" applyBorder="1" applyAlignment="1">
      <alignment horizontal="left" vertical="center"/>
    </xf>
    <xf numFmtId="0" fontId="55" fillId="0" borderId="54" xfId="0" applyFont="1" applyBorder="1" applyAlignment="1">
      <alignment horizontal="left" vertical="center"/>
    </xf>
    <xf numFmtId="0" fontId="55" fillId="0" borderId="0" xfId="0" applyFont="1" applyAlignment="1">
      <alignment horizontal="left" vertical="center"/>
    </xf>
    <xf numFmtId="0" fontId="55" fillId="0" borderId="55" xfId="0" applyFont="1" applyBorder="1" applyAlignment="1">
      <alignment horizontal="left" vertical="center"/>
    </xf>
    <xf numFmtId="0" fontId="61" fillId="0" borderId="63" xfId="0" applyFont="1" applyBorder="1" applyAlignment="1">
      <alignment horizontal="left" vertical="center"/>
    </xf>
    <xf numFmtId="0" fontId="61" fillId="0" borderId="4" xfId="0" applyFont="1" applyBorder="1" applyAlignment="1">
      <alignment horizontal="left" vertical="center"/>
    </xf>
    <xf numFmtId="0" fontId="61" fillId="0" borderId="59" xfId="0" applyFont="1" applyBorder="1" applyAlignment="1">
      <alignment horizontal="left" vertical="center"/>
    </xf>
    <xf numFmtId="0" fontId="61" fillId="0" borderId="54" xfId="0" applyFont="1" applyBorder="1" applyAlignment="1">
      <alignment horizontal="left" vertical="center"/>
    </xf>
    <xf numFmtId="0" fontId="61" fillId="0" borderId="0" xfId="0" applyFont="1" applyAlignment="1">
      <alignment horizontal="left" vertical="center"/>
    </xf>
    <xf numFmtId="0" fontId="61" fillId="0" borderId="55" xfId="0" applyFont="1" applyBorder="1" applyAlignment="1">
      <alignment horizontal="left" vertical="center"/>
    </xf>
    <xf numFmtId="0" fontId="62" fillId="0" borderId="34" xfId="0" applyFont="1" applyBorder="1" applyAlignment="1">
      <alignment horizontal="left" vertical="center" wrapText="1"/>
    </xf>
    <xf numFmtId="0" fontId="62" fillId="0" borderId="1" xfId="0" applyFont="1" applyBorder="1" applyAlignment="1">
      <alignment horizontal="left" vertical="center" wrapText="1"/>
    </xf>
    <xf numFmtId="0" fontId="62" fillId="0" borderId="76" xfId="0" applyFont="1" applyBorder="1" applyAlignment="1">
      <alignment horizontal="left" vertical="center" wrapText="1"/>
    </xf>
    <xf numFmtId="0" fontId="62" fillId="0" borderId="86" xfId="0" applyFont="1" applyBorder="1" applyAlignment="1">
      <alignment horizontal="left" vertical="center" wrapText="1"/>
    </xf>
    <xf numFmtId="0" fontId="62" fillId="0" borderId="45" xfId="0" applyFont="1" applyBorder="1" applyAlignment="1">
      <alignment horizontal="left" vertical="center" wrapText="1"/>
    </xf>
    <xf numFmtId="0" fontId="62" fillId="0" borderId="87" xfId="0" applyFont="1" applyBorder="1" applyAlignment="1">
      <alignment horizontal="left" vertical="center" wrapText="1"/>
    </xf>
    <xf numFmtId="0" fontId="21" fillId="0" borderId="77" xfId="0" applyFont="1" applyBorder="1" applyAlignment="1">
      <alignment horizontal="left" vertical="center"/>
    </xf>
    <xf numFmtId="0" fontId="21" fillId="0" borderId="78" xfId="0" applyFont="1" applyBorder="1" applyAlignment="1">
      <alignment horizontal="left" vertical="center"/>
    </xf>
    <xf numFmtId="0" fontId="21" fillId="0" borderId="79" xfId="0" applyFont="1" applyBorder="1" applyAlignment="1">
      <alignment horizontal="left" vertical="center"/>
    </xf>
    <xf numFmtId="0" fontId="21" fillId="0" borderId="54" xfId="0" applyFont="1" applyBorder="1" applyAlignment="1">
      <alignment horizontal="left" vertical="center"/>
    </xf>
    <xf numFmtId="0" fontId="21" fillId="0" borderId="0" xfId="0" applyFont="1" applyAlignment="1">
      <alignment horizontal="left" vertical="center"/>
    </xf>
    <xf numFmtId="0" fontId="21" fillId="0" borderId="55" xfId="0" applyFont="1" applyBorder="1" applyAlignment="1">
      <alignment horizontal="left" vertical="center"/>
    </xf>
    <xf numFmtId="0" fontId="0" fillId="0" borderId="63" xfId="0" applyBorder="1" applyAlignment="1">
      <alignment horizontal="left" vertical="center" shrinkToFit="1"/>
    </xf>
    <xf numFmtId="0" fontId="0" fillId="0" borderId="4" xfId="0" applyBorder="1" applyAlignment="1">
      <alignment horizontal="left" vertical="center" shrinkToFit="1"/>
    </xf>
    <xf numFmtId="0" fontId="0" fillId="0" borderId="59" xfId="0" applyBorder="1" applyAlignment="1">
      <alignment horizontal="left" vertical="center" shrinkToFit="1"/>
    </xf>
    <xf numFmtId="0" fontId="0" fillId="0" borderId="80" xfId="0" applyBorder="1" applyAlignment="1">
      <alignment horizontal="left" vertical="center" shrinkToFit="1"/>
    </xf>
    <xf numFmtId="0" fontId="0" fillId="0" borderId="81" xfId="0" applyBorder="1" applyAlignment="1">
      <alignment horizontal="left" vertical="center" shrinkToFit="1"/>
    </xf>
    <xf numFmtId="0" fontId="0" fillId="0" borderId="82" xfId="0" applyBorder="1" applyAlignment="1">
      <alignment horizontal="left" vertical="center" shrinkToFit="1"/>
    </xf>
    <xf numFmtId="0" fontId="61" fillId="0" borderId="54" xfId="0" applyFont="1" applyBorder="1" applyAlignment="1">
      <alignment horizontal="left" vertical="center" shrinkToFit="1"/>
    </xf>
    <xf numFmtId="0" fontId="61" fillId="0" borderId="0" xfId="0" applyFont="1" applyAlignment="1">
      <alignment horizontal="left" vertical="center" shrinkToFit="1"/>
    </xf>
    <xf numFmtId="0" fontId="61" fillId="0" borderId="55" xfId="0" applyFont="1" applyBorder="1" applyAlignment="1">
      <alignment horizontal="left" vertical="center" shrinkToFit="1"/>
    </xf>
    <xf numFmtId="0" fontId="61" fillId="0" borderId="80" xfId="0" applyFont="1" applyBorder="1" applyAlignment="1">
      <alignment horizontal="left" vertical="center" shrinkToFit="1"/>
    </xf>
    <xf numFmtId="0" fontId="61" fillId="0" borderId="81" xfId="0" applyFont="1" applyBorder="1" applyAlignment="1">
      <alignment horizontal="left" vertical="center" shrinkToFit="1"/>
    </xf>
    <xf numFmtId="0" fontId="61" fillId="0" borderId="82" xfId="0" applyFont="1" applyBorder="1" applyAlignment="1">
      <alignment horizontal="left" vertical="center" shrinkToFit="1"/>
    </xf>
    <xf numFmtId="0" fontId="0" fillId="0" borderId="77" xfId="0" applyBorder="1" applyAlignment="1">
      <alignment horizontal="left" vertical="distributed" shrinkToFit="1"/>
    </xf>
    <xf numFmtId="0" fontId="0" fillId="0" borderId="78" xfId="0" applyBorder="1" applyAlignment="1">
      <alignment horizontal="left" vertical="distributed" shrinkToFit="1"/>
    </xf>
    <xf numFmtId="0" fontId="0" fillId="0" borderId="79" xfId="0" applyBorder="1" applyAlignment="1">
      <alignment horizontal="left" vertical="distributed" shrinkToFit="1"/>
    </xf>
    <xf numFmtId="0" fontId="0" fillId="0" borderId="83" xfId="0" applyBorder="1" applyAlignment="1">
      <alignment horizontal="left" vertical="distributed" shrinkToFit="1"/>
    </xf>
    <xf numFmtId="0" fontId="0" fillId="0" borderId="46" xfId="0" applyBorder="1" applyAlignment="1">
      <alignment horizontal="left" vertical="distributed" shrinkToFit="1"/>
    </xf>
    <xf numFmtId="0" fontId="0" fillId="0" borderId="84" xfId="0" applyBorder="1" applyAlignment="1">
      <alignment horizontal="left" vertical="distributed" shrinkToFit="1"/>
    </xf>
    <xf numFmtId="0" fontId="0" fillId="0" borderId="77" xfId="0" applyBorder="1" applyAlignment="1">
      <alignment horizontal="left" vertical="center" shrinkToFit="1"/>
    </xf>
    <xf numFmtId="0" fontId="0" fillId="0" borderId="78" xfId="0" applyBorder="1" applyAlignment="1">
      <alignment horizontal="left" vertical="center" shrinkToFit="1"/>
    </xf>
    <xf numFmtId="0" fontId="0" fillId="0" borderId="79" xfId="0" applyBorder="1" applyAlignment="1">
      <alignment horizontal="left" vertical="center" shrinkToFit="1"/>
    </xf>
    <xf numFmtId="0" fontId="0" fillId="0" borderId="83" xfId="0" applyBorder="1" applyAlignment="1">
      <alignment horizontal="left" vertical="center" shrinkToFit="1"/>
    </xf>
    <xf numFmtId="0" fontId="0" fillId="0" borderId="46" xfId="0" applyBorder="1" applyAlignment="1">
      <alignment horizontal="left" vertical="center" shrinkToFit="1"/>
    </xf>
    <xf numFmtId="0" fontId="0" fillId="0" borderId="84" xfId="0" applyBorder="1" applyAlignment="1">
      <alignment horizontal="left" vertical="center" shrinkToFit="1"/>
    </xf>
    <xf numFmtId="0" fontId="0" fillId="0" borderId="78" xfId="0" applyBorder="1" applyAlignment="1">
      <alignment horizontal="center" vertical="center" shrinkToFit="1"/>
    </xf>
    <xf numFmtId="0" fontId="0" fillId="0" borderId="79" xfId="0" applyBorder="1" applyAlignment="1">
      <alignment horizontal="center" vertical="center" shrinkToFit="1"/>
    </xf>
    <xf numFmtId="0" fontId="0" fillId="0" borderId="46" xfId="0" applyBorder="1" applyAlignment="1">
      <alignment horizontal="center" vertical="center" shrinkToFit="1"/>
    </xf>
    <xf numFmtId="0" fontId="0" fillId="0" borderId="84" xfId="0" applyBorder="1" applyAlignment="1">
      <alignment horizontal="center" vertical="center" shrinkToFit="1"/>
    </xf>
    <xf numFmtId="0" fontId="63" fillId="0" borderId="63" xfId="0" applyFont="1" applyBorder="1" applyAlignment="1">
      <alignment horizontal="center" vertical="center"/>
    </xf>
    <xf numFmtId="0" fontId="63" fillId="0" borderId="4" xfId="0" applyFont="1" applyBorder="1" applyAlignment="1">
      <alignment horizontal="center" vertical="center"/>
    </xf>
    <xf numFmtId="0" fontId="63" fillId="0" borderId="67" xfId="0" applyFont="1" applyBorder="1" applyAlignment="1">
      <alignment horizontal="center" vertical="center"/>
    </xf>
    <xf numFmtId="0" fontId="63"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6" xfId="0" applyFont="1" applyBorder="1" applyAlignment="1">
      <alignment horizontal="center" vertical="center"/>
    </xf>
    <xf numFmtId="0" fontId="50" fillId="9" borderId="88" xfId="0" applyFont="1" applyFill="1" applyBorder="1" applyAlignment="1">
      <alignment horizontal="center" vertical="center"/>
    </xf>
    <xf numFmtId="0" fontId="50" fillId="9" borderId="89" xfId="0" applyFont="1" applyFill="1" applyBorder="1" applyAlignment="1">
      <alignment horizontal="center" vertical="center"/>
    </xf>
    <xf numFmtId="0" fontId="50" fillId="9" borderId="90" xfId="0" applyFont="1" applyFill="1" applyBorder="1" applyAlignment="1">
      <alignment horizontal="center" vertical="center"/>
    </xf>
    <xf numFmtId="0" fontId="50" fillId="9" borderId="75" xfId="0" applyFont="1" applyFill="1" applyBorder="1" applyAlignment="1">
      <alignment horizontal="center" vertical="center"/>
    </xf>
    <xf numFmtId="0" fontId="50" fillId="9" borderId="1" xfId="0" applyFont="1" applyFill="1" applyBorder="1" applyAlignment="1">
      <alignment horizontal="center" vertical="center"/>
    </xf>
    <xf numFmtId="0" fontId="50" fillId="9" borderId="76" xfId="0" applyFont="1" applyFill="1" applyBorder="1" applyAlignment="1">
      <alignment horizontal="center" vertical="center"/>
    </xf>
    <xf numFmtId="0" fontId="21" fillId="0" borderId="54" xfId="0" quotePrefix="1" applyFont="1" applyBorder="1" applyAlignment="1">
      <alignment horizontal="left" vertical="center"/>
    </xf>
    <xf numFmtId="0" fontId="21" fillId="0" borderId="0" xfId="0" quotePrefix="1" applyFont="1" applyAlignment="1">
      <alignment horizontal="left" vertical="center"/>
    </xf>
    <xf numFmtId="0" fontId="21" fillId="0" borderId="55" xfId="0" quotePrefix="1" applyFont="1" applyBorder="1" applyAlignment="1">
      <alignment horizontal="left" vertical="center"/>
    </xf>
    <xf numFmtId="0" fontId="0" fillId="0" borderId="75" xfId="0" applyBorder="1" applyAlignment="1">
      <alignment horizontal="center" vertical="center"/>
    </xf>
    <xf numFmtId="0" fontId="0" fillId="0" borderId="1" xfId="0" applyBorder="1" applyAlignment="1">
      <alignment horizontal="center" vertical="center"/>
    </xf>
    <xf numFmtId="0" fontId="0" fillId="0" borderId="32" xfId="0" applyBorder="1" applyAlignment="1">
      <alignment horizontal="center" vertical="center"/>
    </xf>
    <xf numFmtId="0" fontId="0" fillId="0" borderId="76" xfId="0" applyBorder="1" applyAlignment="1">
      <alignment horizontal="center" vertical="center"/>
    </xf>
    <xf numFmtId="0" fontId="21" fillId="0" borderId="1" xfId="0" applyFont="1" applyBorder="1" applyAlignment="1">
      <alignment horizontal="center" vertical="center"/>
    </xf>
    <xf numFmtId="0" fontId="21" fillId="0" borderId="32" xfId="0" applyFont="1" applyBorder="1" applyAlignment="1">
      <alignment horizontal="center" vertical="center"/>
    </xf>
    <xf numFmtId="0" fontId="21" fillId="0" borderId="76" xfId="0" applyFont="1" applyBorder="1" applyAlignment="1">
      <alignment horizontal="center" vertical="center"/>
    </xf>
    <xf numFmtId="0" fontId="50" fillId="0" borderId="77" xfId="0" applyFont="1" applyBorder="1" applyAlignment="1">
      <alignment horizontal="left" vertical="center"/>
    </xf>
    <xf numFmtId="0" fontId="50" fillId="0" borderId="78" xfId="0" applyFont="1" applyBorder="1" applyAlignment="1">
      <alignment horizontal="left" vertical="center"/>
    </xf>
    <xf numFmtId="0" fontId="50" fillId="0" borderId="79" xfId="0" applyFont="1" applyBorder="1" applyAlignment="1">
      <alignment horizontal="left" vertical="center"/>
    </xf>
    <xf numFmtId="0" fontId="50" fillId="0" borderId="54" xfId="0" applyFont="1" applyBorder="1" applyAlignment="1">
      <alignment horizontal="left" vertical="center"/>
    </xf>
    <xf numFmtId="0" fontId="50" fillId="0" borderId="0" xfId="0" applyFont="1" applyAlignment="1">
      <alignment horizontal="left" vertical="center"/>
    </xf>
    <xf numFmtId="0" fontId="50" fillId="0" borderId="55" xfId="0" applyFont="1" applyBorder="1" applyAlignment="1">
      <alignment horizontal="left" vertical="center"/>
    </xf>
    <xf numFmtId="0" fontId="63" fillId="10" borderId="75" xfId="0" applyFont="1" applyFill="1" applyBorder="1" applyAlignment="1">
      <alignment horizontal="left" vertical="center"/>
    </xf>
    <xf numFmtId="0" fontId="63" fillId="10" borderId="1" xfId="0" applyFont="1" applyFill="1" applyBorder="1" applyAlignment="1">
      <alignment horizontal="left" vertical="center"/>
    </xf>
    <xf numFmtId="0" fontId="21" fillId="10" borderId="75" xfId="0" applyFont="1" applyFill="1" applyBorder="1" applyAlignment="1">
      <alignment horizontal="center" vertical="center" shrinkToFit="1"/>
    </xf>
    <xf numFmtId="0" fontId="21" fillId="10" borderId="1" xfId="0" applyFont="1" applyFill="1" applyBorder="1" applyAlignment="1">
      <alignment horizontal="center" vertical="center" shrinkToFit="1"/>
    </xf>
    <xf numFmtId="0" fontId="0" fillId="10" borderId="75" xfId="0" applyFill="1" applyBorder="1" applyAlignment="1">
      <alignment horizontal="center" vertical="center"/>
    </xf>
    <xf numFmtId="0" fontId="0" fillId="10" borderId="1" xfId="0" applyFill="1" applyBorder="1" applyAlignment="1">
      <alignment horizontal="center" vertical="center"/>
    </xf>
    <xf numFmtId="178" fontId="0" fillId="0" borderId="1" xfId="0" applyNumberFormat="1" applyBorder="1" applyAlignment="1">
      <alignment horizontal="center" vertical="center"/>
    </xf>
    <xf numFmtId="178" fontId="0" fillId="0" borderId="76" xfId="0" applyNumberFormat="1" applyBorder="1" applyAlignment="1">
      <alignment horizontal="center" vertical="center"/>
    </xf>
    <xf numFmtId="0" fontId="0" fillId="0" borderId="54" xfId="0" applyBorder="1" applyAlignment="1">
      <alignment horizontal="left" vertical="center"/>
    </xf>
    <xf numFmtId="0" fontId="0" fillId="0" borderId="0" xfId="0" applyAlignment="1">
      <alignment horizontal="left" vertical="center"/>
    </xf>
    <xf numFmtId="0" fontId="0" fillId="0" borderId="55" xfId="0" applyBorder="1" applyAlignment="1">
      <alignment horizontal="left" vertical="center"/>
    </xf>
    <xf numFmtId="0" fontId="21" fillId="10" borderId="75" xfId="0" applyFont="1" applyFill="1" applyBorder="1" applyAlignment="1">
      <alignment horizontal="left" vertical="center"/>
    </xf>
    <xf numFmtId="0" fontId="21" fillId="10" borderId="1" xfId="0" applyFont="1" applyFill="1" applyBorder="1" applyAlignment="1">
      <alignment horizontal="left" vertical="center"/>
    </xf>
    <xf numFmtId="0" fontId="21" fillId="0" borderId="1" xfId="0" quotePrefix="1" applyFont="1" applyBorder="1" applyAlignment="1">
      <alignment horizontal="center" vertical="center"/>
    </xf>
    <xf numFmtId="0" fontId="64" fillId="0" borderId="54" xfId="0" quotePrefix="1" applyFont="1" applyBorder="1" applyAlignment="1">
      <alignment horizontal="center" vertical="center"/>
    </xf>
    <xf numFmtId="0" fontId="64" fillId="0" borderId="0" xfId="0" applyFont="1" applyAlignment="1">
      <alignment horizontal="center" vertical="center"/>
    </xf>
    <xf numFmtId="0" fontId="64" fillId="0" borderId="55" xfId="0" applyFont="1" applyBorder="1" applyAlignment="1">
      <alignment horizontal="center" vertical="center"/>
    </xf>
    <xf numFmtId="0" fontId="64" fillId="0" borderId="54" xfId="0" applyFont="1" applyBorder="1" applyAlignment="1">
      <alignment horizontal="center" vertical="center"/>
    </xf>
    <xf numFmtId="0" fontId="21" fillId="0" borderId="54" xfId="0" applyFont="1" applyBorder="1" applyAlignment="1">
      <alignment vertical="center" shrinkToFit="1"/>
    </xf>
    <xf numFmtId="0" fontId="21" fillId="0" borderId="0" xfId="0" applyFont="1" applyAlignment="1">
      <alignment vertical="center" shrinkToFit="1"/>
    </xf>
    <xf numFmtId="0" fontId="65" fillId="0" borderId="54" xfId="0" quotePrefix="1" applyFont="1" applyBorder="1" applyAlignment="1">
      <alignment horizontal="left" vertical="center"/>
    </xf>
    <xf numFmtId="0" fontId="65" fillId="0" borderId="0" xfId="0" applyFont="1" applyAlignment="1">
      <alignment horizontal="left" vertical="center"/>
    </xf>
    <xf numFmtId="0" fontId="65" fillId="0" borderId="55" xfId="0" applyFont="1" applyBorder="1" applyAlignment="1">
      <alignment horizontal="left" vertical="center"/>
    </xf>
    <xf numFmtId="0" fontId="65" fillId="0" borderId="54" xfId="0" applyFont="1" applyBorder="1" applyAlignment="1">
      <alignment horizontal="left" vertical="center"/>
    </xf>
    <xf numFmtId="0" fontId="21" fillId="10" borderId="63" xfId="0" applyFont="1" applyFill="1" applyBorder="1" applyAlignment="1">
      <alignment horizontal="center" vertical="center" shrinkToFit="1"/>
    </xf>
    <xf numFmtId="0" fontId="21" fillId="10" borderId="4" xfId="0" applyFont="1" applyFill="1" applyBorder="1" applyAlignment="1">
      <alignment horizontal="center" vertical="center" shrinkToFit="1"/>
    </xf>
    <xf numFmtId="0" fontId="21" fillId="10" borderId="5" xfId="0" applyFont="1" applyFill="1" applyBorder="1" applyAlignment="1">
      <alignment horizontal="center" vertical="center" shrinkToFit="1"/>
    </xf>
    <xf numFmtId="0" fontId="21" fillId="10" borderId="67" xfId="0" applyFont="1" applyFill="1" applyBorder="1" applyAlignment="1">
      <alignment horizontal="center" vertical="center" shrinkToFit="1"/>
    </xf>
    <xf numFmtId="0" fontId="21" fillId="10" borderId="2" xfId="0" applyFont="1" applyFill="1" applyBorder="1" applyAlignment="1">
      <alignment horizontal="center" vertical="center" shrinkToFit="1"/>
    </xf>
    <xf numFmtId="0" fontId="21" fillId="10" borderId="9" xfId="0" applyFont="1" applyFill="1" applyBorder="1" applyAlignment="1">
      <alignment horizontal="center" vertical="center" shrinkToFit="1"/>
    </xf>
    <xf numFmtId="0" fontId="59" fillId="0" borderId="54" xfId="0" applyFont="1" applyBorder="1" applyAlignment="1">
      <alignment horizontal="left" vertical="center"/>
    </xf>
    <xf numFmtId="0" fontId="59" fillId="0" borderId="0" xfId="0" applyFont="1" applyAlignment="1">
      <alignment horizontal="left" vertical="center"/>
    </xf>
    <xf numFmtId="0" fontId="59" fillId="0" borderId="55" xfId="0" applyFont="1" applyBorder="1" applyAlignment="1">
      <alignment horizontal="left" vertical="center"/>
    </xf>
    <xf numFmtId="0" fontId="66" fillId="0" borderId="54" xfId="0" applyFont="1" applyBorder="1" applyAlignment="1">
      <alignment vertical="center" shrinkToFit="1"/>
    </xf>
    <xf numFmtId="0" fontId="66" fillId="0" borderId="0" xfId="0" applyFont="1" applyAlignment="1">
      <alignment vertical="center" shrinkToFit="1"/>
    </xf>
    <xf numFmtId="0" fontId="66" fillId="0" borderId="91" xfId="0" applyFont="1" applyBorder="1" applyAlignment="1">
      <alignment vertical="center" shrinkToFit="1"/>
    </xf>
    <xf numFmtId="0" fontId="66" fillId="0" borderId="28" xfId="0" applyFont="1" applyBorder="1" applyAlignment="1">
      <alignment vertical="center" shrinkToFit="1"/>
    </xf>
    <xf numFmtId="0" fontId="59" fillId="0" borderId="83" xfId="0" applyFont="1" applyBorder="1" applyAlignment="1">
      <alignment horizontal="left" vertical="center"/>
    </xf>
    <xf numFmtId="0" fontId="59" fillId="0" borderId="46" xfId="0" applyFont="1" applyBorder="1" applyAlignment="1">
      <alignment horizontal="left" vertical="center"/>
    </xf>
    <xf numFmtId="0" fontId="59" fillId="0" borderId="84" xfId="0" applyFont="1" applyBorder="1" applyAlignment="1">
      <alignment horizontal="left" vertical="center"/>
    </xf>
    <xf numFmtId="0" fontId="63" fillId="0" borderId="63" xfId="0" applyFont="1" applyBorder="1" applyAlignment="1">
      <alignment horizontal="center" vertical="center" wrapText="1" shrinkToFit="1"/>
    </xf>
    <xf numFmtId="0" fontId="63" fillId="0" borderId="4" xfId="0" applyFont="1" applyBorder="1" applyAlignment="1">
      <alignment horizontal="center" vertical="center" wrapText="1" shrinkToFit="1"/>
    </xf>
    <xf numFmtId="0" fontId="63" fillId="0" borderId="5" xfId="0" applyFont="1" applyBorder="1" applyAlignment="1">
      <alignment horizontal="center" vertical="center" wrapText="1" shrinkToFit="1"/>
    </xf>
    <xf numFmtId="0" fontId="63" fillId="0" borderId="54" xfId="0" applyFont="1" applyBorder="1" applyAlignment="1">
      <alignment horizontal="center" vertical="center" wrapText="1" shrinkToFit="1"/>
    </xf>
    <xf numFmtId="0" fontId="63" fillId="0" borderId="0" xfId="0" applyFont="1" applyAlignment="1">
      <alignment horizontal="center" vertical="center" wrapText="1" shrinkToFit="1"/>
    </xf>
    <xf numFmtId="0" fontId="63" fillId="0" borderId="7" xfId="0" applyFont="1" applyBorder="1" applyAlignment="1">
      <alignment horizontal="center" vertical="center" wrapText="1" shrinkToFit="1"/>
    </xf>
    <xf numFmtId="0" fontId="63" fillId="0" borderId="3" xfId="0" applyFont="1" applyBorder="1" applyAlignment="1">
      <alignment horizontal="center" vertical="center"/>
    </xf>
    <xf numFmtId="0" fontId="63" fillId="0" borderId="59" xfId="0" applyFont="1" applyBorder="1" applyAlignment="1">
      <alignment horizontal="center" vertical="center"/>
    </xf>
    <xf numFmtId="0" fontId="63" fillId="0" borderId="6" xfId="0" applyFont="1" applyBorder="1" applyAlignment="1">
      <alignment horizontal="center" vertical="center"/>
    </xf>
    <xf numFmtId="0" fontId="63" fillId="0" borderId="0" xfId="0" applyFont="1" applyAlignment="1">
      <alignment horizontal="center" vertical="center"/>
    </xf>
    <xf numFmtId="0" fontId="63" fillId="0" borderId="55" xfId="0" applyFont="1" applyBorder="1" applyAlignment="1">
      <alignment horizontal="center" vertical="center"/>
    </xf>
    <xf numFmtId="0" fontId="67" fillId="0" borderId="63" xfId="0" applyFont="1" applyBorder="1" applyAlignment="1">
      <alignment horizontal="left" vertical="center"/>
    </xf>
    <xf numFmtId="0" fontId="67" fillId="0" borderId="4" xfId="0" applyFont="1" applyBorder="1" applyAlignment="1">
      <alignment horizontal="left" vertical="center"/>
    </xf>
    <xf numFmtId="0" fontId="67" fillId="0" borderId="59" xfId="0" applyFont="1" applyBorder="1" applyAlignment="1">
      <alignment horizontal="left" vertical="center"/>
    </xf>
    <xf numFmtId="0" fontId="67" fillId="0" borderId="54" xfId="0" applyFont="1" applyBorder="1" applyAlignment="1">
      <alignment horizontal="left" vertical="center"/>
    </xf>
    <xf numFmtId="0" fontId="67" fillId="0" borderId="0" xfId="0" applyFont="1" applyAlignment="1">
      <alignment horizontal="left" vertical="center"/>
    </xf>
    <xf numFmtId="0" fontId="67" fillId="0" borderId="55" xfId="0" applyFont="1" applyBorder="1" applyAlignment="1">
      <alignment horizontal="left" vertical="center"/>
    </xf>
    <xf numFmtId="0" fontId="69" fillId="9" borderId="68" xfId="0" applyFont="1" applyFill="1" applyBorder="1" applyAlignment="1">
      <alignment horizontal="center" vertical="center"/>
    </xf>
    <xf numFmtId="0" fontId="69" fillId="9" borderId="69" xfId="0" applyFont="1" applyFill="1" applyBorder="1" applyAlignment="1">
      <alignment horizontal="center" vertical="center"/>
    </xf>
    <xf numFmtId="0" fontId="69" fillId="9" borderId="70" xfId="0" applyFont="1" applyFill="1" applyBorder="1" applyAlignment="1">
      <alignment horizontal="center" vertical="center"/>
    </xf>
    <xf numFmtId="0" fontId="69" fillId="9" borderId="71" xfId="0" applyFont="1" applyFill="1" applyBorder="1" applyAlignment="1">
      <alignment horizontal="center" vertical="center"/>
    </xf>
    <xf numFmtId="0" fontId="69" fillId="9" borderId="98" xfId="0" applyFont="1" applyFill="1" applyBorder="1" applyAlignment="1">
      <alignment horizontal="center" vertical="center"/>
    </xf>
    <xf numFmtId="0" fontId="69" fillId="9" borderId="99" xfId="0" applyFont="1" applyFill="1" applyBorder="1" applyAlignment="1">
      <alignment horizontal="center" vertical="center"/>
    </xf>
    <xf numFmtId="0" fontId="21" fillId="10" borderId="92" xfId="0" applyFont="1" applyFill="1" applyBorder="1" applyAlignment="1">
      <alignment horizontal="center" vertical="center" shrinkToFit="1"/>
    </xf>
    <xf numFmtId="0" fontId="21" fillId="10" borderId="33" xfId="0" applyFont="1" applyFill="1" applyBorder="1" applyAlignment="1">
      <alignment horizontal="center" vertical="center" shrinkToFit="1"/>
    </xf>
    <xf numFmtId="0" fontId="21" fillId="10" borderId="34" xfId="0" applyFont="1" applyFill="1" applyBorder="1" applyAlignment="1">
      <alignment horizontal="center" vertical="center" shrinkToFit="1"/>
    </xf>
    <xf numFmtId="0" fontId="63" fillId="10" borderId="32" xfId="0" applyFont="1" applyFill="1" applyBorder="1" applyAlignment="1">
      <alignment horizontal="center" vertical="center" shrinkToFit="1"/>
    </xf>
    <xf numFmtId="0" fontId="63" fillId="10" borderId="33" xfId="0" applyFont="1" applyFill="1" applyBorder="1" applyAlignment="1">
      <alignment horizontal="center" vertical="center" shrinkToFit="1"/>
    </xf>
    <xf numFmtId="0" fontId="63" fillId="10" borderId="93" xfId="0" applyFont="1" applyFill="1" applyBorder="1" applyAlignment="1">
      <alignment horizontal="center" vertical="center" shrinkToFit="1"/>
    </xf>
    <xf numFmtId="0" fontId="70" fillId="0" borderId="68" xfId="0" quotePrefix="1" applyFont="1" applyBorder="1" applyAlignment="1">
      <alignment horizontal="center" vertical="center"/>
    </xf>
    <xf numFmtId="0" fontId="70" fillId="0" borderId="69" xfId="0" applyFont="1" applyBorder="1" applyAlignment="1">
      <alignment horizontal="center" vertical="center"/>
    </xf>
    <xf numFmtId="0" fontId="70" fillId="0" borderId="70" xfId="0" applyFont="1" applyBorder="1" applyAlignment="1">
      <alignment horizontal="center" vertical="center"/>
    </xf>
    <xf numFmtId="0" fontId="70" fillId="0" borderId="71" xfId="0" applyFont="1" applyBorder="1" applyAlignment="1">
      <alignment horizontal="center" vertical="center"/>
    </xf>
    <xf numFmtId="0" fontId="70" fillId="0" borderId="73" xfId="0" applyFont="1" applyBorder="1" applyAlignment="1">
      <alignment horizontal="center" vertical="center"/>
    </xf>
    <xf numFmtId="0" fontId="70" fillId="0" borderId="74" xfId="0" applyFont="1" applyBorder="1" applyAlignment="1">
      <alignment horizontal="center" vertical="center"/>
    </xf>
    <xf numFmtId="0" fontId="70" fillId="0" borderId="69" xfId="0" quotePrefix="1" applyFont="1" applyBorder="1" applyAlignment="1">
      <alignment horizontal="center" vertical="center"/>
    </xf>
    <xf numFmtId="0" fontId="70" fillId="0" borderId="98" xfId="0" applyFont="1" applyBorder="1" applyAlignment="1">
      <alignment horizontal="center" vertical="center"/>
    </xf>
    <xf numFmtId="0" fontId="70" fillId="0" borderId="99" xfId="0" applyFont="1" applyBorder="1" applyAlignment="1">
      <alignment horizontal="center" vertical="center"/>
    </xf>
    <xf numFmtId="0" fontId="70" fillId="0" borderId="100" xfId="0" applyFont="1" applyBorder="1" applyAlignment="1">
      <alignment horizontal="center" vertical="center"/>
    </xf>
    <xf numFmtId="0" fontId="61" fillId="0" borderId="54" xfId="0" quotePrefix="1" applyFont="1" applyBorder="1" applyAlignment="1">
      <alignment horizontal="center" vertical="center" shrinkToFit="1"/>
    </xf>
    <xf numFmtId="0" fontId="61" fillId="0" borderId="0" xfId="0" applyFont="1" applyAlignment="1">
      <alignment horizontal="center" vertical="center" shrinkToFit="1"/>
    </xf>
    <xf numFmtId="0" fontId="61" fillId="0" borderId="55" xfId="0" applyFont="1" applyBorder="1" applyAlignment="1">
      <alignment horizontal="center" vertical="center" shrinkToFit="1"/>
    </xf>
    <xf numFmtId="0" fontId="61" fillId="0" borderId="54" xfId="0" applyFont="1" applyBorder="1" applyAlignment="1">
      <alignment horizontal="center" vertical="center" shrinkToFit="1"/>
    </xf>
    <xf numFmtId="0" fontId="71" fillId="0" borderId="63" xfId="0" applyFont="1" applyBorder="1" applyAlignment="1">
      <alignment horizontal="left" vertical="center" wrapText="1"/>
    </xf>
    <xf numFmtId="0" fontId="71" fillId="0" borderId="4" xfId="0" applyFont="1" applyBorder="1" applyAlignment="1">
      <alignment horizontal="left" vertical="center" wrapText="1"/>
    </xf>
    <xf numFmtId="0" fontId="71" fillId="0" borderId="59" xfId="0" applyFont="1" applyBorder="1" applyAlignment="1">
      <alignment horizontal="left" vertical="center" wrapText="1"/>
    </xf>
    <xf numFmtId="0" fontId="71" fillId="0" borderId="54" xfId="0" applyFont="1" applyBorder="1" applyAlignment="1">
      <alignment horizontal="left" vertical="center" wrapText="1"/>
    </xf>
    <xf numFmtId="0" fontId="71" fillId="0" borderId="0" xfId="0" applyFont="1" applyAlignment="1">
      <alignment horizontal="left" vertical="center" wrapText="1"/>
    </xf>
    <xf numFmtId="0" fontId="71" fillId="0" borderId="55" xfId="0" applyFont="1" applyBorder="1" applyAlignment="1">
      <alignment horizontal="left" vertical="center" wrapText="1"/>
    </xf>
    <xf numFmtId="0" fontId="21" fillId="0" borderId="83" xfId="0" applyFont="1" applyBorder="1" applyAlignment="1">
      <alignment horizontal="left" vertical="center"/>
    </xf>
    <xf numFmtId="0" fontId="21" fillId="0" borderId="46" xfId="0" applyFont="1" applyBorder="1" applyAlignment="1">
      <alignment horizontal="left" vertical="center"/>
    </xf>
    <xf numFmtId="0" fontId="21" fillId="0" borderId="84" xfId="0" applyFont="1" applyBorder="1" applyAlignment="1">
      <alignment horizontal="left" vertical="center"/>
    </xf>
    <xf numFmtId="0" fontId="71" fillId="0" borderId="54" xfId="0" quotePrefix="1" applyFont="1" applyBorder="1" applyAlignment="1">
      <alignment horizontal="left" vertical="center" wrapText="1"/>
    </xf>
    <xf numFmtId="0" fontId="63" fillId="0" borderId="54" xfId="0" quotePrefix="1" applyFont="1" applyBorder="1" applyAlignment="1">
      <alignment horizontal="left" vertical="center" shrinkToFit="1"/>
    </xf>
    <xf numFmtId="0" fontId="63" fillId="0" borderId="0" xfId="0" quotePrefix="1" applyFont="1" applyAlignment="1">
      <alignment horizontal="left" vertical="center" shrinkToFit="1"/>
    </xf>
    <xf numFmtId="0" fontId="63" fillId="0" borderId="55" xfId="0" quotePrefix="1" applyFont="1" applyBorder="1" applyAlignment="1">
      <alignment horizontal="left" vertical="center" shrinkToFit="1"/>
    </xf>
    <xf numFmtId="0" fontId="65" fillId="0" borderId="54" xfId="0" quotePrefix="1" applyFont="1" applyBorder="1" applyAlignment="1">
      <alignment horizontal="left" vertical="center" shrinkToFit="1"/>
    </xf>
    <xf numFmtId="0" fontId="65" fillId="0" borderId="0" xfId="0" applyFont="1" applyAlignment="1">
      <alignment horizontal="left" vertical="center" shrinkToFit="1"/>
    </xf>
    <xf numFmtId="0" fontId="65" fillId="0" borderId="55" xfId="0" applyFont="1" applyBorder="1" applyAlignment="1">
      <alignment horizontal="left" vertical="center" shrinkToFit="1"/>
    </xf>
    <xf numFmtId="0" fontId="65" fillId="0" borderId="54" xfId="0" applyFont="1" applyBorder="1" applyAlignment="1">
      <alignment horizontal="left" vertical="center" shrinkToFit="1"/>
    </xf>
    <xf numFmtId="0" fontId="0" fillId="11" borderId="47" xfId="0" applyFill="1" applyBorder="1" applyAlignment="1">
      <alignment horizontal="left" vertical="center"/>
    </xf>
    <xf numFmtId="0" fontId="0" fillId="11" borderId="48" xfId="0" applyFill="1" applyBorder="1" applyAlignment="1">
      <alignment horizontal="left" vertical="center"/>
    </xf>
    <xf numFmtId="0" fontId="0" fillId="11" borderId="51" xfId="0" applyFill="1" applyBorder="1" applyAlignment="1">
      <alignment horizontal="left" vertical="center"/>
    </xf>
    <xf numFmtId="0" fontId="0" fillId="11" borderId="54" xfId="0" applyFill="1" applyBorder="1" applyAlignment="1">
      <alignment horizontal="left" vertical="center"/>
    </xf>
    <xf numFmtId="0" fontId="0" fillId="11" borderId="0" xfId="0" applyFill="1" applyAlignment="1">
      <alignment horizontal="left" vertical="center"/>
    </xf>
    <xf numFmtId="0" fontId="0" fillId="11" borderId="55" xfId="0" applyFill="1" applyBorder="1" applyAlignment="1">
      <alignment horizontal="left" vertical="center"/>
    </xf>
    <xf numFmtId="0" fontId="0" fillId="0" borderId="83" xfId="0" applyBorder="1" applyAlignment="1">
      <alignment horizontal="left" vertical="center"/>
    </xf>
    <xf numFmtId="0" fontId="0" fillId="0" borderId="46" xfId="0" applyBorder="1" applyAlignment="1">
      <alignment horizontal="left" vertical="center"/>
    </xf>
    <xf numFmtId="0" fontId="0" fillId="0" borderId="84" xfId="0" applyBorder="1" applyAlignment="1">
      <alignment horizontal="left" vertical="center"/>
    </xf>
    <xf numFmtId="0" fontId="0" fillId="11" borderId="83" xfId="0" applyFill="1" applyBorder="1" applyAlignment="1">
      <alignment horizontal="left" vertical="center"/>
    </xf>
    <xf numFmtId="0" fontId="0" fillId="11" borderId="46" xfId="0" applyFill="1" applyBorder="1" applyAlignment="1">
      <alignment horizontal="left" vertical="center"/>
    </xf>
    <xf numFmtId="0" fontId="0" fillId="11" borderId="84" xfId="0" applyFill="1" applyBorder="1" applyAlignment="1">
      <alignment horizontal="left" vertical="center"/>
    </xf>
    <xf numFmtId="0" fontId="66" fillId="0" borderId="0" xfId="0" applyFont="1" applyAlignment="1">
      <alignment horizontal="center" vertical="center"/>
    </xf>
    <xf numFmtId="0" fontId="21" fillId="0" borderId="63" xfId="0" quotePrefix="1" applyFont="1" applyBorder="1" applyAlignment="1">
      <alignment horizontal="center" vertical="center"/>
    </xf>
    <xf numFmtId="0" fontId="21" fillId="0" borderId="4" xfId="0" quotePrefix="1" applyFont="1" applyBorder="1" applyAlignment="1">
      <alignment horizontal="center" vertical="center"/>
    </xf>
    <xf numFmtId="0" fontId="21" fillId="0" borderId="59" xfId="0" quotePrefix="1" applyFont="1" applyBorder="1" applyAlignment="1">
      <alignment horizontal="center" vertical="center"/>
    </xf>
    <xf numFmtId="0" fontId="21" fillId="0" borderId="54" xfId="0" quotePrefix="1" applyFont="1" applyBorder="1" applyAlignment="1">
      <alignment horizontal="center" vertical="center"/>
    </xf>
    <xf numFmtId="0" fontId="21" fillId="0" borderId="0" xfId="0" quotePrefix="1" applyFont="1" applyAlignment="1">
      <alignment horizontal="center" vertical="center"/>
    </xf>
    <xf numFmtId="0" fontId="21" fillId="0" borderId="55" xfId="0" quotePrefix="1" applyFont="1" applyBorder="1" applyAlignment="1">
      <alignment horizontal="center" vertical="center"/>
    </xf>
    <xf numFmtId="0" fontId="21" fillId="0" borderId="67" xfId="0" quotePrefix="1" applyFont="1" applyBorder="1" applyAlignment="1">
      <alignment horizontal="center" vertical="center"/>
    </xf>
    <xf numFmtId="0" fontId="21" fillId="0" borderId="2" xfId="0" quotePrefix="1" applyFont="1" applyBorder="1" applyAlignment="1">
      <alignment horizontal="center" vertical="center"/>
    </xf>
    <xf numFmtId="0" fontId="21" fillId="0" borderId="65" xfId="0" quotePrefix="1" applyFont="1" applyBorder="1" applyAlignment="1">
      <alignment horizontal="center" vertical="center"/>
    </xf>
    <xf numFmtId="0" fontId="65" fillId="0" borderId="80" xfId="0" applyFont="1" applyBorder="1" applyAlignment="1">
      <alignment horizontal="left" vertical="center" shrinkToFit="1"/>
    </xf>
    <xf numFmtId="0" fontId="65" fillId="0" borderId="81" xfId="0" applyFont="1" applyBorder="1" applyAlignment="1">
      <alignment horizontal="left" vertical="center" shrinkToFit="1"/>
    </xf>
    <xf numFmtId="0" fontId="65" fillId="0" borderId="82" xfId="0" applyFont="1" applyBorder="1" applyAlignment="1">
      <alignment horizontal="left" vertical="center" shrinkToFit="1"/>
    </xf>
    <xf numFmtId="0" fontId="21" fillId="0" borderId="63" xfId="0" applyFont="1" applyBorder="1" applyAlignment="1">
      <alignment horizontal="left" vertical="center"/>
    </xf>
    <xf numFmtId="0" fontId="21" fillId="0" borderId="4" xfId="0" applyFont="1" applyBorder="1" applyAlignment="1">
      <alignment horizontal="left" vertical="center"/>
    </xf>
    <xf numFmtId="0" fontId="21" fillId="0" borderId="59" xfId="0" applyFont="1" applyBorder="1" applyAlignment="1">
      <alignment horizontal="left" vertical="center"/>
    </xf>
    <xf numFmtId="0" fontId="58" fillId="0" borderId="77" xfId="0" applyFont="1" applyBorder="1" applyAlignment="1">
      <alignment horizontal="left" vertical="center"/>
    </xf>
    <xf numFmtId="0" fontId="58" fillId="0" borderId="78" xfId="0" applyFont="1" applyBorder="1" applyAlignment="1">
      <alignment horizontal="left" vertical="center"/>
    </xf>
    <xf numFmtId="0" fontId="58" fillId="0" borderId="79" xfId="0" applyFont="1" applyBorder="1" applyAlignment="1">
      <alignment horizontal="left" vertical="center"/>
    </xf>
    <xf numFmtId="0" fontId="27" fillId="2" borderId="1" xfId="12" quotePrefix="1" applyFont="1" applyFill="1" applyBorder="1" applyAlignment="1">
      <alignment horizontal="center" vertical="center" wrapText="1"/>
    </xf>
    <xf numFmtId="186" fontId="29" fillId="2" borderId="1" xfId="12" applyNumberFormat="1" applyFont="1" applyFill="1" applyBorder="1" applyAlignment="1">
      <alignment vertical="center" wrapText="1"/>
    </xf>
    <xf numFmtId="0" fontId="82" fillId="0" borderId="1" xfId="12" quotePrefix="1" applyFont="1" applyBorder="1" applyAlignment="1">
      <alignment horizontal="center" vertical="center" wrapText="1"/>
    </xf>
    <xf numFmtId="186" fontId="82" fillId="0" borderId="1" xfId="12" applyNumberFormat="1" applyFont="1" applyBorder="1" applyAlignment="1">
      <alignment vertical="center" wrapText="1"/>
    </xf>
    <xf numFmtId="0" fontId="82" fillId="2" borderId="1" xfId="12" quotePrefix="1" applyFont="1" applyFill="1" applyBorder="1" applyAlignment="1">
      <alignment horizontal="center" vertical="center" wrapText="1"/>
    </xf>
    <xf numFmtId="186" fontId="82" fillId="2" borderId="1" xfId="12" applyNumberFormat="1" applyFont="1" applyFill="1" applyBorder="1" applyAlignment="1">
      <alignment vertical="center" wrapText="1"/>
    </xf>
    <xf numFmtId="0" fontId="82" fillId="0" borderId="32" xfId="12" quotePrefix="1" applyFont="1" applyBorder="1" applyAlignment="1">
      <alignment horizontal="center" vertical="center" wrapText="1"/>
    </xf>
    <xf numFmtId="0" fontId="82" fillId="0" borderId="33" xfId="12" quotePrefix="1" applyFont="1" applyBorder="1" applyAlignment="1">
      <alignment horizontal="center" vertical="center" wrapText="1"/>
    </xf>
    <xf numFmtId="0" fontId="82" fillId="0" borderId="34" xfId="12" quotePrefix="1" applyFont="1" applyBorder="1" applyAlignment="1">
      <alignment horizontal="center" vertical="center" wrapText="1"/>
    </xf>
    <xf numFmtId="195" fontId="83" fillId="0" borderId="1" xfId="16" applyNumberFormat="1" applyFont="1" applyBorder="1" applyAlignment="1">
      <alignment vertical="center"/>
    </xf>
    <xf numFmtId="194" fontId="83" fillId="0" borderId="1" xfId="16" applyNumberFormat="1" applyFont="1" applyBorder="1" applyAlignment="1">
      <alignment vertical="center" wrapText="1"/>
    </xf>
  </cellXfs>
  <cellStyles count="17">
    <cellStyle name="백분율 2 6" xfId="9"/>
    <cellStyle name="쉼표 [0]" xfId="1" builtinId="6"/>
    <cellStyle name="쉼표 [0] 2" xfId="13"/>
    <cellStyle name="쉼표 [0] 2 12" xfId="7"/>
    <cellStyle name="쉼표 [0] 2 14" xfId="10"/>
    <cellStyle name="쉼표 [0] 2 2" xfId="14"/>
    <cellStyle name="쉼표 [0] 2 2 6" xfId="11"/>
    <cellStyle name="통화 [0] 2 3" xfId="6"/>
    <cellStyle name="표준" xfId="0" builtinId="0"/>
    <cellStyle name="표준 2" xfId="12"/>
    <cellStyle name="표준 2 2" xfId="4"/>
    <cellStyle name="표준 2 2 5" xfId="15"/>
    <cellStyle name="표준 3" xfId="16"/>
    <cellStyle name="표준 3 4" xfId="8"/>
    <cellStyle name="표준_수량산출서" xfId="2"/>
    <cellStyle name="표준_수량산출서-100510(전체)" xfId="3"/>
    <cellStyle name="표준_원가변경"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40</xdr:col>
      <xdr:colOff>0</xdr:colOff>
      <xdr:row>6</xdr:row>
      <xdr:rowOff>0</xdr:rowOff>
    </xdr:from>
    <xdr:to>
      <xdr:col>53</xdr:col>
      <xdr:colOff>0</xdr:colOff>
      <xdr:row>6</xdr:row>
      <xdr:rowOff>0</xdr:rowOff>
    </xdr:to>
    <xdr:sp macro="" textlink="">
      <xdr:nvSpPr>
        <xdr:cNvPr id="2" name="Line 17">
          <a:extLst>
            <a:ext uri="{FF2B5EF4-FFF2-40B4-BE49-F238E27FC236}">
              <a16:creationId xmlns:a16="http://schemas.microsoft.com/office/drawing/2014/main" xmlns="" id="{06E1F511-DC94-4987-822D-528D53482546}"/>
            </a:ext>
          </a:extLst>
        </xdr:cNvPr>
        <xdr:cNvSpPr>
          <a:spLocks noChangeShapeType="1"/>
        </xdr:cNvSpPr>
      </xdr:nvSpPr>
      <xdr:spPr bwMode="auto">
        <a:xfrm>
          <a:off x="28603575" y="1600200"/>
          <a:ext cx="7343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1057275</xdr:colOff>
      <xdr:row>7</xdr:row>
      <xdr:rowOff>133350</xdr:rowOff>
    </xdr:from>
    <xdr:to>
      <xdr:col>26</xdr:col>
      <xdr:colOff>171450</xdr:colOff>
      <xdr:row>7</xdr:row>
      <xdr:rowOff>133350</xdr:rowOff>
    </xdr:to>
    <xdr:cxnSp macro="">
      <xdr:nvCxnSpPr>
        <xdr:cNvPr id="3" name="직선 연결선 12">
          <a:extLst>
            <a:ext uri="{FF2B5EF4-FFF2-40B4-BE49-F238E27FC236}">
              <a16:creationId xmlns:a16="http://schemas.microsoft.com/office/drawing/2014/main" xmlns="" id="{256A0A9C-D1FD-4BCB-B75F-09B58C5BA73E}"/>
            </a:ext>
          </a:extLst>
        </xdr:cNvPr>
        <xdr:cNvCxnSpPr>
          <a:cxnSpLocks noChangeShapeType="1"/>
        </xdr:cNvCxnSpPr>
      </xdr:nvCxnSpPr>
      <xdr:spPr bwMode="auto">
        <a:xfrm>
          <a:off x="19335750" y="2000250"/>
          <a:ext cx="981075" cy="0"/>
        </a:xfrm>
        <a:prstGeom prst="line">
          <a:avLst/>
        </a:prstGeom>
        <a:noFill/>
        <a:ln w="25400" algn="ctr">
          <a:solidFill>
            <a:srgbClr val="000000"/>
          </a:solidFill>
          <a:round/>
          <a:headEnd type="triangle" w="med" len="me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590550</xdr:colOff>
      <xdr:row>8</xdr:row>
      <xdr:rowOff>152400</xdr:rowOff>
    </xdr:from>
    <xdr:to>
      <xdr:col>28</xdr:col>
      <xdr:colOff>561975</xdr:colOff>
      <xdr:row>8</xdr:row>
      <xdr:rowOff>152400</xdr:rowOff>
    </xdr:to>
    <xdr:cxnSp macro="">
      <xdr:nvCxnSpPr>
        <xdr:cNvPr id="4" name="직선 연결선 12">
          <a:extLst>
            <a:ext uri="{FF2B5EF4-FFF2-40B4-BE49-F238E27FC236}">
              <a16:creationId xmlns:a16="http://schemas.microsoft.com/office/drawing/2014/main" xmlns="" id="{3F5817F6-8227-4616-A5E5-3F9802967498}"/>
            </a:ext>
          </a:extLst>
        </xdr:cNvPr>
        <xdr:cNvCxnSpPr>
          <a:cxnSpLocks noChangeShapeType="1"/>
        </xdr:cNvCxnSpPr>
      </xdr:nvCxnSpPr>
      <xdr:spPr bwMode="auto">
        <a:xfrm>
          <a:off x="19935825" y="2286000"/>
          <a:ext cx="2371725" cy="0"/>
        </a:xfrm>
        <a:prstGeom prst="line">
          <a:avLst/>
        </a:prstGeom>
        <a:noFill/>
        <a:ln w="25400" algn="ctr">
          <a:solidFill>
            <a:srgbClr val="000000"/>
          </a:solidFill>
          <a:round/>
          <a:headEnd type="triangle" w="med" len="med"/>
          <a:tailEnd type="triangle" w="med" len="med"/>
        </a:ln>
        <a:extLst>
          <a:ext uri="{909E8E84-426E-40DD-AFC4-6F175D3DCCD1}">
            <a14:hiddenFill xmlns:a14="http://schemas.microsoft.com/office/drawing/2010/main">
              <a:noFill/>
            </a14:hiddenFill>
          </a:ext>
        </a:extLst>
      </xdr:spPr>
    </xdr:cxnSp>
    <xdr:clientData/>
  </xdr:twoCellAnchor>
  <xdr:twoCellAnchor>
    <xdr:from>
      <xdr:col>26</xdr:col>
      <xdr:colOff>552450</xdr:colOff>
      <xdr:row>9</xdr:row>
      <xdr:rowOff>133350</xdr:rowOff>
    </xdr:from>
    <xdr:to>
      <xdr:col>28</xdr:col>
      <xdr:colOff>581025</xdr:colOff>
      <xdr:row>9</xdr:row>
      <xdr:rowOff>142875</xdr:rowOff>
    </xdr:to>
    <xdr:cxnSp macro="">
      <xdr:nvCxnSpPr>
        <xdr:cNvPr id="5" name="직선 연결선 12">
          <a:extLst>
            <a:ext uri="{FF2B5EF4-FFF2-40B4-BE49-F238E27FC236}">
              <a16:creationId xmlns:a16="http://schemas.microsoft.com/office/drawing/2014/main" xmlns="" id="{689624C3-F82A-4841-AB89-4C665BD37D83}"/>
            </a:ext>
          </a:extLst>
        </xdr:cNvPr>
        <xdr:cNvCxnSpPr>
          <a:cxnSpLocks noChangeShapeType="1"/>
        </xdr:cNvCxnSpPr>
      </xdr:nvCxnSpPr>
      <xdr:spPr bwMode="auto">
        <a:xfrm>
          <a:off x="20697825" y="2533650"/>
          <a:ext cx="1628775" cy="9525"/>
        </a:xfrm>
        <a:prstGeom prst="line">
          <a:avLst/>
        </a:prstGeom>
        <a:noFill/>
        <a:ln w="25400" algn="ctr">
          <a:solidFill>
            <a:srgbClr val="000000"/>
          </a:solidFill>
          <a:round/>
          <a:headEnd type="triangle" w="med" len="med"/>
          <a:tailEnd type="triangle" w="med" len="med"/>
        </a:ln>
        <a:extLst>
          <a:ext uri="{909E8E84-426E-40DD-AFC4-6F175D3DCCD1}">
            <a14:hiddenFill xmlns:a14="http://schemas.microsoft.com/office/drawing/2010/main">
              <a:noFill/>
            </a14:hiddenFill>
          </a:ext>
        </a:extLst>
      </xdr:spPr>
    </xdr:cxnSp>
    <xdr:clientData/>
  </xdr:twoCellAnchor>
  <xdr:twoCellAnchor>
    <xdr:from>
      <xdr:col>27</xdr:col>
      <xdr:colOff>581025</xdr:colOff>
      <xdr:row>10</xdr:row>
      <xdr:rowOff>133350</xdr:rowOff>
    </xdr:from>
    <xdr:to>
      <xdr:col>29</xdr:col>
      <xdr:colOff>581025</xdr:colOff>
      <xdr:row>10</xdr:row>
      <xdr:rowOff>142875</xdr:rowOff>
    </xdr:to>
    <xdr:cxnSp macro="">
      <xdr:nvCxnSpPr>
        <xdr:cNvPr id="6" name="직선 연결선 12">
          <a:extLst>
            <a:ext uri="{FF2B5EF4-FFF2-40B4-BE49-F238E27FC236}">
              <a16:creationId xmlns:a16="http://schemas.microsoft.com/office/drawing/2014/main" xmlns="" id="{40930DFA-BE12-47D7-BCE9-8F9E71096211}"/>
            </a:ext>
          </a:extLst>
        </xdr:cNvPr>
        <xdr:cNvCxnSpPr>
          <a:cxnSpLocks noChangeShapeType="1"/>
        </xdr:cNvCxnSpPr>
      </xdr:nvCxnSpPr>
      <xdr:spPr bwMode="auto">
        <a:xfrm>
          <a:off x="21526500" y="2800350"/>
          <a:ext cx="1600200" cy="9525"/>
        </a:xfrm>
        <a:prstGeom prst="line">
          <a:avLst/>
        </a:prstGeom>
        <a:noFill/>
        <a:ln w="25400" algn="ctr">
          <a:solidFill>
            <a:srgbClr val="000000"/>
          </a:solidFill>
          <a:round/>
          <a:headEnd type="triangle" w="med" len="med"/>
          <a:tailEnd type="triangle" w="med" len="med"/>
        </a:ln>
        <a:extLst>
          <a:ext uri="{909E8E84-426E-40DD-AFC4-6F175D3DCCD1}">
            <a14:hiddenFill xmlns:a14="http://schemas.microsoft.com/office/drawing/2010/main">
              <a:noFill/>
            </a14:hiddenFill>
          </a:ext>
        </a:extLst>
      </xdr:spPr>
    </xdr:cxnSp>
    <xdr:clientData/>
  </xdr:twoCellAnchor>
  <xdr:twoCellAnchor>
    <xdr:from>
      <xdr:col>31</xdr:col>
      <xdr:colOff>571500</xdr:colOff>
      <xdr:row>12</xdr:row>
      <xdr:rowOff>142875</xdr:rowOff>
    </xdr:from>
    <xdr:to>
      <xdr:col>34</xdr:col>
      <xdr:colOff>0</xdr:colOff>
      <xdr:row>12</xdr:row>
      <xdr:rowOff>142875</xdr:rowOff>
    </xdr:to>
    <xdr:cxnSp macro="">
      <xdr:nvCxnSpPr>
        <xdr:cNvPr id="7" name="직선 연결선 12">
          <a:extLst>
            <a:ext uri="{FF2B5EF4-FFF2-40B4-BE49-F238E27FC236}">
              <a16:creationId xmlns:a16="http://schemas.microsoft.com/office/drawing/2014/main" xmlns="" id="{AA83082A-3EC0-4B50-A14F-48F9F509B193}"/>
            </a:ext>
          </a:extLst>
        </xdr:cNvPr>
        <xdr:cNvCxnSpPr>
          <a:cxnSpLocks noChangeShapeType="1"/>
        </xdr:cNvCxnSpPr>
      </xdr:nvCxnSpPr>
      <xdr:spPr bwMode="auto">
        <a:xfrm>
          <a:off x="24717375" y="3343275"/>
          <a:ext cx="1828800" cy="0"/>
        </a:xfrm>
        <a:prstGeom prst="line">
          <a:avLst/>
        </a:prstGeom>
        <a:noFill/>
        <a:ln w="25400" algn="ctr">
          <a:solidFill>
            <a:srgbClr val="000000"/>
          </a:solidFill>
          <a:round/>
          <a:headEnd type="triangle" w="med" len="med"/>
          <a:tailEnd type="triangle" w="med" len="med"/>
        </a:ln>
        <a:extLst>
          <a:ext uri="{909E8E84-426E-40DD-AFC4-6F175D3DCCD1}">
            <a14:hiddenFill xmlns:a14="http://schemas.microsoft.com/office/drawing/2010/main">
              <a:noFill/>
            </a14:hiddenFill>
          </a:ext>
        </a:extLst>
      </xdr:spPr>
    </xdr:cxnSp>
    <xdr:clientData/>
  </xdr:twoCellAnchor>
  <xdr:twoCellAnchor>
    <xdr:from>
      <xdr:col>29</xdr:col>
      <xdr:colOff>257175</xdr:colOff>
      <xdr:row>11</xdr:row>
      <xdr:rowOff>142875</xdr:rowOff>
    </xdr:from>
    <xdr:to>
      <xdr:col>32</xdr:col>
      <xdr:colOff>76200</xdr:colOff>
      <xdr:row>11</xdr:row>
      <xdr:rowOff>142875</xdr:rowOff>
    </xdr:to>
    <xdr:cxnSp macro="">
      <xdr:nvCxnSpPr>
        <xdr:cNvPr id="8" name="직선 연결선 12">
          <a:extLst>
            <a:ext uri="{FF2B5EF4-FFF2-40B4-BE49-F238E27FC236}">
              <a16:creationId xmlns:a16="http://schemas.microsoft.com/office/drawing/2014/main" xmlns="" id="{30D84773-378F-411D-A93E-A22BCB3F02F2}"/>
            </a:ext>
          </a:extLst>
        </xdr:cNvPr>
        <xdr:cNvCxnSpPr>
          <a:cxnSpLocks noChangeShapeType="1"/>
        </xdr:cNvCxnSpPr>
      </xdr:nvCxnSpPr>
      <xdr:spPr bwMode="auto">
        <a:xfrm>
          <a:off x="22802850" y="3076575"/>
          <a:ext cx="2219325" cy="0"/>
        </a:xfrm>
        <a:prstGeom prst="line">
          <a:avLst/>
        </a:prstGeom>
        <a:noFill/>
        <a:ln w="25400" algn="ctr">
          <a:solidFill>
            <a:srgbClr val="000000"/>
          </a:solidFill>
          <a:round/>
          <a:headEnd type="triangle" w="med" len="med"/>
          <a:tailEnd type="triangle" w="med" len="med"/>
        </a:ln>
        <a:extLst>
          <a:ext uri="{909E8E84-426E-40DD-AFC4-6F175D3DCCD1}">
            <a14:hiddenFill xmlns:a14="http://schemas.microsoft.com/office/drawing/2010/main">
              <a:noFill/>
            </a14:hiddenFill>
          </a:ext>
        </a:extLst>
      </xdr:spPr>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224532</xdr:colOff>
      <xdr:row>2</xdr:row>
      <xdr:rowOff>88900</xdr:rowOff>
    </xdr:from>
    <xdr:to>
      <xdr:col>11</xdr:col>
      <xdr:colOff>105936</xdr:colOff>
      <xdr:row>19</xdr:row>
      <xdr:rowOff>106267</xdr:rowOff>
    </xdr:to>
    <xdr:pic>
      <xdr:nvPicPr>
        <xdr:cNvPr id="2" name="그림 1">
          <a:extLst>
            <a:ext uri="{FF2B5EF4-FFF2-40B4-BE49-F238E27FC236}">
              <a16:creationId xmlns:a16="http://schemas.microsoft.com/office/drawing/2014/main" xmlns="" id="{0BDF1D5F-9911-64F9-4681-E922BD22D032}"/>
            </a:ext>
          </a:extLst>
        </xdr:cNvPr>
        <xdr:cNvPicPr>
          <a:picLocks noChangeAspect="1"/>
        </xdr:cNvPicPr>
      </xdr:nvPicPr>
      <xdr:blipFill>
        <a:blip xmlns:r="http://schemas.openxmlformats.org/officeDocument/2006/relationships" r:embed="rId1"/>
        <a:stretch>
          <a:fillRect/>
        </a:stretch>
      </xdr:blipFill>
      <xdr:spPr>
        <a:xfrm>
          <a:off x="9527282" y="965200"/>
          <a:ext cx="4301004" cy="5522817"/>
        </a:xfrm>
        <a:prstGeom prst="rect">
          <a:avLst/>
        </a:prstGeom>
      </xdr:spPr>
    </xdr:pic>
    <xdr:clientData/>
  </xdr:twoCellAnchor>
  <xdr:twoCellAnchor editAs="oneCell">
    <xdr:from>
      <xdr:col>11</xdr:col>
      <xdr:colOff>0</xdr:colOff>
      <xdr:row>2</xdr:row>
      <xdr:rowOff>0</xdr:rowOff>
    </xdr:from>
    <xdr:to>
      <xdr:col>16</xdr:col>
      <xdr:colOff>729043</xdr:colOff>
      <xdr:row>18</xdr:row>
      <xdr:rowOff>304800</xdr:rowOff>
    </xdr:to>
    <xdr:pic>
      <xdr:nvPicPr>
        <xdr:cNvPr id="3" name="그림 2">
          <a:extLst>
            <a:ext uri="{FF2B5EF4-FFF2-40B4-BE49-F238E27FC236}">
              <a16:creationId xmlns:a16="http://schemas.microsoft.com/office/drawing/2014/main" xmlns="" id="{8AA1EEA9-9EB0-96DF-E864-7D42996BB079}"/>
            </a:ext>
          </a:extLst>
        </xdr:cNvPr>
        <xdr:cNvPicPr>
          <a:picLocks noChangeAspect="1"/>
        </xdr:cNvPicPr>
      </xdr:nvPicPr>
      <xdr:blipFill>
        <a:blip xmlns:r="http://schemas.openxmlformats.org/officeDocument/2006/relationships" r:embed="rId2"/>
        <a:stretch>
          <a:fillRect/>
        </a:stretch>
      </xdr:blipFill>
      <xdr:spPr>
        <a:xfrm>
          <a:off x="13706475" y="876300"/>
          <a:ext cx="6253543" cy="5486400"/>
        </a:xfrm>
        <a:prstGeom prst="rect">
          <a:avLst/>
        </a:prstGeom>
      </xdr:spPr>
    </xdr:pic>
    <xdr:clientData/>
  </xdr:twoCellAnchor>
  <xdr:twoCellAnchor editAs="oneCell">
    <xdr:from>
      <xdr:col>7</xdr:col>
      <xdr:colOff>161925</xdr:colOff>
      <xdr:row>19</xdr:row>
      <xdr:rowOff>171450</xdr:rowOff>
    </xdr:from>
    <xdr:to>
      <xdr:col>11</xdr:col>
      <xdr:colOff>756060</xdr:colOff>
      <xdr:row>41</xdr:row>
      <xdr:rowOff>306264</xdr:rowOff>
    </xdr:to>
    <xdr:pic>
      <xdr:nvPicPr>
        <xdr:cNvPr id="4" name="그림 3">
          <a:extLst>
            <a:ext uri="{FF2B5EF4-FFF2-40B4-BE49-F238E27FC236}">
              <a16:creationId xmlns:a16="http://schemas.microsoft.com/office/drawing/2014/main" xmlns="" id="{06AE0C70-D42E-448D-347C-271502B83BC8}"/>
            </a:ext>
          </a:extLst>
        </xdr:cNvPr>
        <xdr:cNvPicPr>
          <a:picLocks noChangeAspect="1"/>
        </xdr:cNvPicPr>
      </xdr:nvPicPr>
      <xdr:blipFill>
        <a:blip xmlns:r="http://schemas.openxmlformats.org/officeDocument/2006/relationships" r:embed="rId3"/>
        <a:stretch>
          <a:fillRect/>
        </a:stretch>
      </xdr:blipFill>
      <xdr:spPr>
        <a:xfrm>
          <a:off x="9448800" y="6553200"/>
          <a:ext cx="5013735" cy="7049964"/>
        </a:xfrm>
        <a:prstGeom prst="rect">
          <a:avLst/>
        </a:prstGeom>
      </xdr:spPr>
    </xdr:pic>
    <xdr:clientData/>
  </xdr:twoCellAnchor>
  <xdr:twoCellAnchor editAs="oneCell">
    <xdr:from>
      <xdr:col>11</xdr:col>
      <xdr:colOff>1006394</xdr:colOff>
      <xdr:row>18</xdr:row>
      <xdr:rowOff>266700</xdr:rowOff>
    </xdr:from>
    <xdr:to>
      <xdr:col>16</xdr:col>
      <xdr:colOff>363847</xdr:colOff>
      <xdr:row>39</xdr:row>
      <xdr:rowOff>59640</xdr:rowOff>
    </xdr:to>
    <xdr:pic>
      <xdr:nvPicPr>
        <xdr:cNvPr id="5" name="그림 4">
          <a:extLst>
            <a:ext uri="{FF2B5EF4-FFF2-40B4-BE49-F238E27FC236}">
              <a16:creationId xmlns:a16="http://schemas.microsoft.com/office/drawing/2014/main" xmlns="" id="{4CFCBDC9-5705-D457-FC51-07C6350C6136}"/>
            </a:ext>
          </a:extLst>
        </xdr:cNvPr>
        <xdr:cNvPicPr>
          <a:picLocks noChangeAspect="1"/>
        </xdr:cNvPicPr>
      </xdr:nvPicPr>
      <xdr:blipFill>
        <a:blip xmlns:r="http://schemas.openxmlformats.org/officeDocument/2006/relationships" r:embed="rId4"/>
        <a:stretch>
          <a:fillRect/>
        </a:stretch>
      </xdr:blipFill>
      <xdr:spPr>
        <a:xfrm>
          <a:off x="14712869" y="6324600"/>
          <a:ext cx="4881953" cy="6403290"/>
        </a:xfrm>
        <a:prstGeom prst="rect">
          <a:avLst/>
        </a:prstGeom>
      </xdr:spPr>
    </xdr:pic>
    <xdr:clientData/>
  </xdr:twoCellAnchor>
  <xdr:twoCellAnchor editAs="oneCell">
    <xdr:from>
      <xdr:col>0</xdr:col>
      <xdr:colOff>0</xdr:colOff>
      <xdr:row>18</xdr:row>
      <xdr:rowOff>171450</xdr:rowOff>
    </xdr:from>
    <xdr:to>
      <xdr:col>4</xdr:col>
      <xdr:colOff>69996</xdr:colOff>
      <xdr:row>29</xdr:row>
      <xdr:rowOff>296925</xdr:rowOff>
    </xdr:to>
    <xdr:pic>
      <xdr:nvPicPr>
        <xdr:cNvPr id="6" name="그림 5">
          <a:extLst>
            <a:ext uri="{FF2B5EF4-FFF2-40B4-BE49-F238E27FC236}">
              <a16:creationId xmlns:a16="http://schemas.microsoft.com/office/drawing/2014/main" xmlns="" id="{4116CB0F-3295-28C9-D15A-26B71FDB85C8}"/>
            </a:ext>
          </a:extLst>
        </xdr:cNvPr>
        <xdr:cNvPicPr>
          <a:picLocks noChangeAspect="1"/>
        </xdr:cNvPicPr>
      </xdr:nvPicPr>
      <xdr:blipFill>
        <a:blip xmlns:r="http://schemas.openxmlformats.org/officeDocument/2006/relationships" r:embed="rId5"/>
        <a:stretch>
          <a:fillRect/>
        </a:stretch>
      </xdr:blipFill>
      <xdr:spPr>
        <a:xfrm>
          <a:off x="0" y="6229350"/>
          <a:ext cx="4908696" cy="3592575"/>
        </a:xfrm>
        <a:prstGeom prst="rect">
          <a:avLst/>
        </a:prstGeom>
      </xdr:spPr>
    </xdr:pic>
    <xdr:clientData/>
  </xdr:twoCellAnchor>
  <xdr:twoCellAnchor editAs="oneCell">
    <xdr:from>
      <xdr:col>3</xdr:col>
      <xdr:colOff>388354</xdr:colOff>
      <xdr:row>18</xdr:row>
      <xdr:rowOff>104775</xdr:rowOff>
    </xdr:from>
    <xdr:to>
      <xdr:col>7</xdr:col>
      <xdr:colOff>307072</xdr:colOff>
      <xdr:row>29</xdr:row>
      <xdr:rowOff>277923</xdr:rowOff>
    </xdr:to>
    <xdr:pic>
      <xdr:nvPicPr>
        <xdr:cNvPr id="7" name="그림 6">
          <a:extLst>
            <a:ext uri="{FF2B5EF4-FFF2-40B4-BE49-F238E27FC236}">
              <a16:creationId xmlns:a16="http://schemas.microsoft.com/office/drawing/2014/main" xmlns="" id="{EBC81DA7-E506-F8F0-677F-00340266505D}"/>
            </a:ext>
          </a:extLst>
        </xdr:cNvPr>
        <xdr:cNvPicPr>
          <a:picLocks noChangeAspect="1"/>
        </xdr:cNvPicPr>
      </xdr:nvPicPr>
      <xdr:blipFill>
        <a:blip xmlns:r="http://schemas.openxmlformats.org/officeDocument/2006/relationships" r:embed="rId6"/>
        <a:stretch>
          <a:fillRect/>
        </a:stretch>
      </xdr:blipFill>
      <xdr:spPr>
        <a:xfrm>
          <a:off x="4655554" y="6162675"/>
          <a:ext cx="4871718" cy="364024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32"/>
  <sheetViews>
    <sheetView showZeros="0" tabSelected="1" view="pageBreakPreview" zoomScale="85" zoomScaleNormal="100" zoomScaleSheetLayoutView="85" workbookViewId="0">
      <selection activeCell="Q32" sqref="Q32"/>
    </sheetView>
  </sheetViews>
  <sheetFormatPr defaultRowHeight="21" customHeight="1"/>
  <cols>
    <col min="1" max="13" width="9.375" style="4" customWidth="1"/>
    <col min="14" max="14" width="14.25" style="4" customWidth="1"/>
    <col min="15" max="15" width="8.75" style="4" customWidth="1"/>
    <col min="16" max="16" width="5.25" style="4" customWidth="1"/>
    <col min="17" max="17" width="8.75" style="4" customWidth="1"/>
    <col min="18" max="18" width="12.25" style="4" customWidth="1"/>
    <col min="19" max="19" width="10.25" style="4" customWidth="1"/>
    <col min="20" max="21" width="15.5" style="4" customWidth="1"/>
    <col min="22" max="22" width="13" style="4" customWidth="1"/>
    <col min="23" max="23" width="8.625" style="4" customWidth="1"/>
    <col min="24" max="24" width="8" style="4" customWidth="1"/>
    <col min="25" max="25" width="14" style="4" customWidth="1"/>
    <col min="26" max="35" width="10.5" style="4" customWidth="1"/>
    <col min="36" max="36" width="0.625" style="4" customWidth="1"/>
    <col min="37" max="37" width="1.25" style="4" hidden="1" customWidth="1"/>
    <col min="38" max="38" width="1.25" style="4" customWidth="1"/>
    <col min="39" max="39" width="7.625" style="4" customWidth="1"/>
    <col min="40" max="40" width="7" style="4" customWidth="1"/>
    <col min="41" max="42" width="7.625" style="4" customWidth="1"/>
    <col min="43" max="43" width="8" style="4" customWidth="1"/>
    <col min="44" max="45" width="7.625" style="4" customWidth="1"/>
    <col min="46" max="46" width="9.125" style="4" customWidth="1"/>
    <col min="47" max="47" width="2.375" style="4" customWidth="1"/>
    <col min="48" max="48" width="6.375" style="4" customWidth="1"/>
    <col min="49" max="49" width="3.625" style="4" customWidth="1"/>
    <col min="50" max="50" width="14.5" style="4" customWidth="1"/>
    <col min="51" max="51" width="5.875" style="4" customWidth="1"/>
    <col min="52" max="52" width="5" style="4" customWidth="1"/>
    <col min="53" max="53" width="11" style="4" customWidth="1"/>
    <col min="54" max="256" width="9" style="4"/>
    <col min="257" max="257" width="8.875" style="4" customWidth="1"/>
    <col min="258" max="258" width="9.75" style="4" customWidth="1"/>
    <col min="259" max="259" width="10.5" style="4" customWidth="1"/>
    <col min="260" max="268" width="8.75" style="4" customWidth="1"/>
    <col min="269" max="269" width="11.875" style="4" customWidth="1"/>
    <col min="270" max="270" width="14.25" style="4" customWidth="1"/>
    <col min="271" max="271" width="8.75" style="4" customWidth="1"/>
    <col min="272" max="272" width="5.25" style="4" customWidth="1"/>
    <col min="273" max="273" width="8.75" style="4" customWidth="1"/>
    <col min="274" max="274" width="12.25" style="4" customWidth="1"/>
    <col min="275" max="275" width="10.25" style="4" customWidth="1"/>
    <col min="276" max="277" width="15.5" style="4" customWidth="1"/>
    <col min="278" max="278" width="13" style="4" customWidth="1"/>
    <col min="279" max="279" width="8.625" style="4" customWidth="1"/>
    <col min="280" max="280" width="8" style="4" customWidth="1"/>
    <col min="281" max="281" width="14" style="4" customWidth="1"/>
    <col min="282" max="291" width="10.5" style="4" customWidth="1"/>
    <col min="292" max="292" width="1.125" style="4" customWidth="1"/>
    <col min="293" max="294" width="1.25" style="4" customWidth="1"/>
    <col min="295" max="295" width="7.625" style="4" customWidth="1"/>
    <col min="296" max="296" width="7" style="4" customWidth="1"/>
    <col min="297" max="298" width="7.625" style="4" customWidth="1"/>
    <col min="299" max="299" width="8" style="4" customWidth="1"/>
    <col min="300" max="301" width="7.625" style="4" customWidth="1"/>
    <col min="302" max="302" width="9.125" style="4" customWidth="1"/>
    <col min="303" max="303" width="2.375" style="4" customWidth="1"/>
    <col min="304" max="304" width="6.375" style="4" customWidth="1"/>
    <col min="305" max="305" width="3.625" style="4" customWidth="1"/>
    <col min="306" max="306" width="14.5" style="4" customWidth="1"/>
    <col min="307" max="307" width="5.875" style="4" customWidth="1"/>
    <col min="308" max="308" width="5" style="4" customWidth="1"/>
    <col min="309" max="309" width="11" style="4" customWidth="1"/>
    <col min="310" max="512" width="9" style="4"/>
    <col min="513" max="513" width="8.875" style="4" customWidth="1"/>
    <col min="514" max="514" width="9.75" style="4" customWidth="1"/>
    <col min="515" max="515" width="10.5" style="4" customWidth="1"/>
    <col min="516" max="524" width="8.75" style="4" customWidth="1"/>
    <col min="525" max="525" width="11.875" style="4" customWidth="1"/>
    <col min="526" max="526" width="14.25" style="4" customWidth="1"/>
    <col min="527" max="527" width="8.75" style="4" customWidth="1"/>
    <col min="528" max="528" width="5.25" style="4" customWidth="1"/>
    <col min="529" max="529" width="8.75" style="4" customWidth="1"/>
    <col min="530" max="530" width="12.25" style="4" customWidth="1"/>
    <col min="531" max="531" width="10.25" style="4" customWidth="1"/>
    <col min="532" max="533" width="15.5" style="4" customWidth="1"/>
    <col min="534" max="534" width="13" style="4" customWidth="1"/>
    <col min="535" max="535" width="8.625" style="4" customWidth="1"/>
    <col min="536" max="536" width="8" style="4" customWidth="1"/>
    <col min="537" max="537" width="14" style="4" customWidth="1"/>
    <col min="538" max="547" width="10.5" style="4" customWidth="1"/>
    <col min="548" max="548" width="1.125" style="4" customWidth="1"/>
    <col min="549" max="550" width="1.25" style="4" customWidth="1"/>
    <col min="551" max="551" width="7.625" style="4" customWidth="1"/>
    <col min="552" max="552" width="7" style="4" customWidth="1"/>
    <col min="553" max="554" width="7.625" style="4" customWidth="1"/>
    <col min="555" max="555" width="8" style="4" customWidth="1"/>
    <col min="556" max="557" width="7.625" style="4" customWidth="1"/>
    <col min="558" max="558" width="9.125" style="4" customWidth="1"/>
    <col min="559" max="559" width="2.375" style="4" customWidth="1"/>
    <col min="560" max="560" width="6.375" style="4" customWidth="1"/>
    <col min="561" max="561" width="3.625" style="4" customWidth="1"/>
    <col min="562" max="562" width="14.5" style="4" customWidth="1"/>
    <col min="563" max="563" width="5.875" style="4" customWidth="1"/>
    <col min="564" max="564" width="5" style="4" customWidth="1"/>
    <col min="565" max="565" width="11" style="4" customWidth="1"/>
    <col min="566" max="768" width="9" style="4"/>
    <col min="769" max="769" width="8.875" style="4" customWidth="1"/>
    <col min="770" max="770" width="9.75" style="4" customWidth="1"/>
    <col min="771" max="771" width="10.5" style="4" customWidth="1"/>
    <col min="772" max="780" width="8.75" style="4" customWidth="1"/>
    <col min="781" max="781" width="11.875" style="4" customWidth="1"/>
    <col min="782" max="782" width="14.25" style="4" customWidth="1"/>
    <col min="783" max="783" width="8.75" style="4" customWidth="1"/>
    <col min="784" max="784" width="5.25" style="4" customWidth="1"/>
    <col min="785" max="785" width="8.75" style="4" customWidth="1"/>
    <col min="786" max="786" width="12.25" style="4" customWidth="1"/>
    <col min="787" max="787" width="10.25" style="4" customWidth="1"/>
    <col min="788" max="789" width="15.5" style="4" customWidth="1"/>
    <col min="790" max="790" width="13" style="4" customWidth="1"/>
    <col min="791" max="791" width="8.625" style="4" customWidth="1"/>
    <col min="792" max="792" width="8" style="4" customWidth="1"/>
    <col min="793" max="793" width="14" style="4" customWidth="1"/>
    <col min="794" max="803" width="10.5" style="4" customWidth="1"/>
    <col min="804" max="804" width="1.125" style="4" customWidth="1"/>
    <col min="805" max="806" width="1.25" style="4" customWidth="1"/>
    <col min="807" max="807" width="7.625" style="4" customWidth="1"/>
    <col min="808" max="808" width="7" style="4" customWidth="1"/>
    <col min="809" max="810" width="7.625" style="4" customWidth="1"/>
    <col min="811" max="811" width="8" style="4" customWidth="1"/>
    <col min="812" max="813" width="7.625" style="4" customWidth="1"/>
    <col min="814" max="814" width="9.125" style="4" customWidth="1"/>
    <col min="815" max="815" width="2.375" style="4" customWidth="1"/>
    <col min="816" max="816" width="6.375" style="4" customWidth="1"/>
    <col min="817" max="817" width="3.625" style="4" customWidth="1"/>
    <col min="818" max="818" width="14.5" style="4" customWidth="1"/>
    <col min="819" max="819" width="5.875" style="4" customWidth="1"/>
    <col min="820" max="820" width="5" style="4" customWidth="1"/>
    <col min="821" max="821" width="11" style="4" customWidth="1"/>
    <col min="822" max="1024" width="9" style="4"/>
    <col min="1025" max="1025" width="8.875" style="4" customWidth="1"/>
    <col min="1026" max="1026" width="9.75" style="4" customWidth="1"/>
    <col min="1027" max="1027" width="10.5" style="4" customWidth="1"/>
    <col min="1028" max="1036" width="8.75" style="4" customWidth="1"/>
    <col min="1037" max="1037" width="11.875" style="4" customWidth="1"/>
    <col min="1038" max="1038" width="14.25" style="4" customWidth="1"/>
    <col min="1039" max="1039" width="8.75" style="4" customWidth="1"/>
    <col min="1040" max="1040" width="5.25" style="4" customWidth="1"/>
    <col min="1041" max="1041" width="8.75" style="4" customWidth="1"/>
    <col min="1042" max="1042" width="12.25" style="4" customWidth="1"/>
    <col min="1043" max="1043" width="10.25" style="4" customWidth="1"/>
    <col min="1044" max="1045" width="15.5" style="4" customWidth="1"/>
    <col min="1046" max="1046" width="13" style="4" customWidth="1"/>
    <col min="1047" max="1047" width="8.625" style="4" customWidth="1"/>
    <col min="1048" max="1048" width="8" style="4" customWidth="1"/>
    <col min="1049" max="1049" width="14" style="4" customWidth="1"/>
    <col min="1050" max="1059" width="10.5" style="4" customWidth="1"/>
    <col min="1060" max="1060" width="1.125" style="4" customWidth="1"/>
    <col min="1061" max="1062" width="1.25" style="4" customWidth="1"/>
    <col min="1063" max="1063" width="7.625" style="4" customWidth="1"/>
    <col min="1064" max="1064" width="7" style="4" customWidth="1"/>
    <col min="1065" max="1066" width="7.625" style="4" customWidth="1"/>
    <col min="1067" max="1067" width="8" style="4" customWidth="1"/>
    <col min="1068" max="1069" width="7.625" style="4" customWidth="1"/>
    <col min="1070" max="1070" width="9.125" style="4" customWidth="1"/>
    <col min="1071" max="1071" width="2.375" style="4" customWidth="1"/>
    <col min="1072" max="1072" width="6.375" style="4" customWidth="1"/>
    <col min="1073" max="1073" width="3.625" style="4" customWidth="1"/>
    <col min="1074" max="1074" width="14.5" style="4" customWidth="1"/>
    <col min="1075" max="1075" width="5.875" style="4" customWidth="1"/>
    <col min="1076" max="1076" width="5" style="4" customWidth="1"/>
    <col min="1077" max="1077" width="11" style="4" customWidth="1"/>
    <col min="1078" max="1280" width="9" style="4"/>
    <col min="1281" max="1281" width="8.875" style="4" customWidth="1"/>
    <col min="1282" max="1282" width="9.75" style="4" customWidth="1"/>
    <col min="1283" max="1283" width="10.5" style="4" customWidth="1"/>
    <col min="1284" max="1292" width="8.75" style="4" customWidth="1"/>
    <col min="1293" max="1293" width="11.875" style="4" customWidth="1"/>
    <col min="1294" max="1294" width="14.25" style="4" customWidth="1"/>
    <col min="1295" max="1295" width="8.75" style="4" customWidth="1"/>
    <col min="1296" max="1296" width="5.25" style="4" customWidth="1"/>
    <col min="1297" max="1297" width="8.75" style="4" customWidth="1"/>
    <col min="1298" max="1298" width="12.25" style="4" customWidth="1"/>
    <col min="1299" max="1299" width="10.25" style="4" customWidth="1"/>
    <col min="1300" max="1301" width="15.5" style="4" customWidth="1"/>
    <col min="1302" max="1302" width="13" style="4" customWidth="1"/>
    <col min="1303" max="1303" width="8.625" style="4" customWidth="1"/>
    <col min="1304" max="1304" width="8" style="4" customWidth="1"/>
    <col min="1305" max="1305" width="14" style="4" customWidth="1"/>
    <col min="1306" max="1315" width="10.5" style="4" customWidth="1"/>
    <col min="1316" max="1316" width="1.125" style="4" customWidth="1"/>
    <col min="1317" max="1318" width="1.25" style="4" customWidth="1"/>
    <col min="1319" max="1319" width="7.625" style="4" customWidth="1"/>
    <col min="1320" max="1320" width="7" style="4" customWidth="1"/>
    <col min="1321" max="1322" width="7.625" style="4" customWidth="1"/>
    <col min="1323" max="1323" width="8" style="4" customWidth="1"/>
    <col min="1324" max="1325" width="7.625" style="4" customWidth="1"/>
    <col min="1326" max="1326" width="9.125" style="4" customWidth="1"/>
    <col min="1327" max="1327" width="2.375" style="4" customWidth="1"/>
    <col min="1328" max="1328" width="6.375" style="4" customWidth="1"/>
    <col min="1329" max="1329" width="3.625" style="4" customWidth="1"/>
    <col min="1330" max="1330" width="14.5" style="4" customWidth="1"/>
    <col min="1331" max="1331" width="5.875" style="4" customWidth="1"/>
    <col min="1332" max="1332" width="5" style="4" customWidth="1"/>
    <col min="1333" max="1333" width="11" style="4" customWidth="1"/>
    <col min="1334" max="1536" width="9" style="4"/>
    <col min="1537" max="1537" width="8.875" style="4" customWidth="1"/>
    <col min="1538" max="1538" width="9.75" style="4" customWidth="1"/>
    <col min="1539" max="1539" width="10.5" style="4" customWidth="1"/>
    <col min="1540" max="1548" width="8.75" style="4" customWidth="1"/>
    <col min="1549" max="1549" width="11.875" style="4" customWidth="1"/>
    <col min="1550" max="1550" width="14.25" style="4" customWidth="1"/>
    <col min="1551" max="1551" width="8.75" style="4" customWidth="1"/>
    <col min="1552" max="1552" width="5.25" style="4" customWidth="1"/>
    <col min="1553" max="1553" width="8.75" style="4" customWidth="1"/>
    <col min="1554" max="1554" width="12.25" style="4" customWidth="1"/>
    <col min="1555" max="1555" width="10.25" style="4" customWidth="1"/>
    <col min="1556" max="1557" width="15.5" style="4" customWidth="1"/>
    <col min="1558" max="1558" width="13" style="4" customWidth="1"/>
    <col min="1559" max="1559" width="8.625" style="4" customWidth="1"/>
    <col min="1560" max="1560" width="8" style="4" customWidth="1"/>
    <col min="1561" max="1561" width="14" style="4" customWidth="1"/>
    <col min="1562" max="1571" width="10.5" style="4" customWidth="1"/>
    <col min="1572" max="1572" width="1.125" style="4" customWidth="1"/>
    <col min="1573" max="1574" width="1.25" style="4" customWidth="1"/>
    <col min="1575" max="1575" width="7.625" style="4" customWidth="1"/>
    <col min="1576" max="1576" width="7" style="4" customWidth="1"/>
    <col min="1577" max="1578" width="7.625" style="4" customWidth="1"/>
    <col min="1579" max="1579" width="8" style="4" customWidth="1"/>
    <col min="1580" max="1581" width="7.625" style="4" customWidth="1"/>
    <col min="1582" max="1582" width="9.125" style="4" customWidth="1"/>
    <col min="1583" max="1583" width="2.375" style="4" customWidth="1"/>
    <col min="1584" max="1584" width="6.375" style="4" customWidth="1"/>
    <col min="1585" max="1585" width="3.625" style="4" customWidth="1"/>
    <col min="1586" max="1586" width="14.5" style="4" customWidth="1"/>
    <col min="1587" max="1587" width="5.875" style="4" customWidth="1"/>
    <col min="1588" max="1588" width="5" style="4" customWidth="1"/>
    <col min="1589" max="1589" width="11" style="4" customWidth="1"/>
    <col min="1590" max="1792" width="9" style="4"/>
    <col min="1793" max="1793" width="8.875" style="4" customWidth="1"/>
    <col min="1794" max="1794" width="9.75" style="4" customWidth="1"/>
    <col min="1795" max="1795" width="10.5" style="4" customWidth="1"/>
    <col min="1796" max="1804" width="8.75" style="4" customWidth="1"/>
    <col min="1805" max="1805" width="11.875" style="4" customWidth="1"/>
    <col min="1806" max="1806" width="14.25" style="4" customWidth="1"/>
    <col min="1807" max="1807" width="8.75" style="4" customWidth="1"/>
    <col min="1808" max="1808" width="5.25" style="4" customWidth="1"/>
    <col min="1809" max="1809" width="8.75" style="4" customWidth="1"/>
    <col min="1810" max="1810" width="12.25" style="4" customWidth="1"/>
    <col min="1811" max="1811" width="10.25" style="4" customWidth="1"/>
    <col min="1812" max="1813" width="15.5" style="4" customWidth="1"/>
    <col min="1814" max="1814" width="13" style="4" customWidth="1"/>
    <col min="1815" max="1815" width="8.625" style="4" customWidth="1"/>
    <col min="1816" max="1816" width="8" style="4" customWidth="1"/>
    <col min="1817" max="1817" width="14" style="4" customWidth="1"/>
    <col min="1818" max="1827" width="10.5" style="4" customWidth="1"/>
    <col min="1828" max="1828" width="1.125" style="4" customWidth="1"/>
    <col min="1829" max="1830" width="1.25" style="4" customWidth="1"/>
    <col min="1831" max="1831" width="7.625" style="4" customWidth="1"/>
    <col min="1832" max="1832" width="7" style="4" customWidth="1"/>
    <col min="1833" max="1834" width="7.625" style="4" customWidth="1"/>
    <col min="1835" max="1835" width="8" style="4" customWidth="1"/>
    <col min="1836" max="1837" width="7.625" style="4" customWidth="1"/>
    <col min="1838" max="1838" width="9.125" style="4" customWidth="1"/>
    <col min="1839" max="1839" width="2.375" style="4" customWidth="1"/>
    <col min="1840" max="1840" width="6.375" style="4" customWidth="1"/>
    <col min="1841" max="1841" width="3.625" style="4" customWidth="1"/>
    <col min="1842" max="1842" width="14.5" style="4" customWidth="1"/>
    <col min="1843" max="1843" width="5.875" style="4" customWidth="1"/>
    <col min="1844" max="1844" width="5" style="4" customWidth="1"/>
    <col min="1845" max="1845" width="11" style="4" customWidth="1"/>
    <col min="1846" max="2048" width="9" style="4"/>
    <col min="2049" max="2049" width="8.875" style="4" customWidth="1"/>
    <col min="2050" max="2050" width="9.75" style="4" customWidth="1"/>
    <col min="2051" max="2051" width="10.5" style="4" customWidth="1"/>
    <col min="2052" max="2060" width="8.75" style="4" customWidth="1"/>
    <col min="2061" max="2061" width="11.875" style="4" customWidth="1"/>
    <col min="2062" max="2062" width="14.25" style="4" customWidth="1"/>
    <col min="2063" max="2063" width="8.75" style="4" customWidth="1"/>
    <col min="2064" max="2064" width="5.25" style="4" customWidth="1"/>
    <col min="2065" max="2065" width="8.75" style="4" customWidth="1"/>
    <col min="2066" max="2066" width="12.25" style="4" customWidth="1"/>
    <col min="2067" max="2067" width="10.25" style="4" customWidth="1"/>
    <col min="2068" max="2069" width="15.5" style="4" customWidth="1"/>
    <col min="2070" max="2070" width="13" style="4" customWidth="1"/>
    <col min="2071" max="2071" width="8.625" style="4" customWidth="1"/>
    <col min="2072" max="2072" width="8" style="4" customWidth="1"/>
    <col min="2073" max="2073" width="14" style="4" customWidth="1"/>
    <col min="2074" max="2083" width="10.5" style="4" customWidth="1"/>
    <col min="2084" max="2084" width="1.125" style="4" customWidth="1"/>
    <col min="2085" max="2086" width="1.25" style="4" customWidth="1"/>
    <col min="2087" max="2087" width="7.625" style="4" customWidth="1"/>
    <col min="2088" max="2088" width="7" style="4" customWidth="1"/>
    <col min="2089" max="2090" width="7.625" style="4" customWidth="1"/>
    <col min="2091" max="2091" width="8" style="4" customWidth="1"/>
    <col min="2092" max="2093" width="7.625" style="4" customWidth="1"/>
    <col min="2094" max="2094" width="9.125" style="4" customWidth="1"/>
    <col min="2095" max="2095" width="2.375" style="4" customWidth="1"/>
    <col min="2096" max="2096" width="6.375" style="4" customWidth="1"/>
    <col min="2097" max="2097" width="3.625" style="4" customWidth="1"/>
    <col min="2098" max="2098" width="14.5" style="4" customWidth="1"/>
    <col min="2099" max="2099" width="5.875" style="4" customWidth="1"/>
    <col min="2100" max="2100" width="5" style="4" customWidth="1"/>
    <col min="2101" max="2101" width="11" style="4" customWidth="1"/>
    <col min="2102" max="2304" width="9" style="4"/>
    <col min="2305" max="2305" width="8.875" style="4" customWidth="1"/>
    <col min="2306" max="2306" width="9.75" style="4" customWidth="1"/>
    <col min="2307" max="2307" width="10.5" style="4" customWidth="1"/>
    <col min="2308" max="2316" width="8.75" style="4" customWidth="1"/>
    <col min="2317" max="2317" width="11.875" style="4" customWidth="1"/>
    <col min="2318" max="2318" width="14.25" style="4" customWidth="1"/>
    <col min="2319" max="2319" width="8.75" style="4" customWidth="1"/>
    <col min="2320" max="2320" width="5.25" style="4" customWidth="1"/>
    <col min="2321" max="2321" width="8.75" style="4" customWidth="1"/>
    <col min="2322" max="2322" width="12.25" style="4" customWidth="1"/>
    <col min="2323" max="2323" width="10.25" style="4" customWidth="1"/>
    <col min="2324" max="2325" width="15.5" style="4" customWidth="1"/>
    <col min="2326" max="2326" width="13" style="4" customWidth="1"/>
    <col min="2327" max="2327" width="8.625" style="4" customWidth="1"/>
    <col min="2328" max="2328" width="8" style="4" customWidth="1"/>
    <col min="2329" max="2329" width="14" style="4" customWidth="1"/>
    <col min="2330" max="2339" width="10.5" style="4" customWidth="1"/>
    <col min="2340" max="2340" width="1.125" style="4" customWidth="1"/>
    <col min="2341" max="2342" width="1.25" style="4" customWidth="1"/>
    <col min="2343" max="2343" width="7.625" style="4" customWidth="1"/>
    <col min="2344" max="2344" width="7" style="4" customWidth="1"/>
    <col min="2345" max="2346" width="7.625" style="4" customWidth="1"/>
    <col min="2347" max="2347" width="8" style="4" customWidth="1"/>
    <col min="2348" max="2349" width="7.625" style="4" customWidth="1"/>
    <col min="2350" max="2350" width="9.125" style="4" customWidth="1"/>
    <col min="2351" max="2351" width="2.375" style="4" customWidth="1"/>
    <col min="2352" max="2352" width="6.375" style="4" customWidth="1"/>
    <col min="2353" max="2353" width="3.625" style="4" customWidth="1"/>
    <col min="2354" max="2354" width="14.5" style="4" customWidth="1"/>
    <col min="2355" max="2355" width="5.875" style="4" customWidth="1"/>
    <col min="2356" max="2356" width="5" style="4" customWidth="1"/>
    <col min="2357" max="2357" width="11" style="4" customWidth="1"/>
    <col min="2358" max="2560" width="9" style="4"/>
    <col min="2561" max="2561" width="8.875" style="4" customWidth="1"/>
    <col min="2562" max="2562" width="9.75" style="4" customWidth="1"/>
    <col min="2563" max="2563" width="10.5" style="4" customWidth="1"/>
    <col min="2564" max="2572" width="8.75" style="4" customWidth="1"/>
    <col min="2573" max="2573" width="11.875" style="4" customWidth="1"/>
    <col min="2574" max="2574" width="14.25" style="4" customWidth="1"/>
    <col min="2575" max="2575" width="8.75" style="4" customWidth="1"/>
    <col min="2576" max="2576" width="5.25" style="4" customWidth="1"/>
    <col min="2577" max="2577" width="8.75" style="4" customWidth="1"/>
    <col min="2578" max="2578" width="12.25" style="4" customWidth="1"/>
    <col min="2579" max="2579" width="10.25" style="4" customWidth="1"/>
    <col min="2580" max="2581" width="15.5" style="4" customWidth="1"/>
    <col min="2582" max="2582" width="13" style="4" customWidth="1"/>
    <col min="2583" max="2583" width="8.625" style="4" customWidth="1"/>
    <col min="2584" max="2584" width="8" style="4" customWidth="1"/>
    <col min="2585" max="2585" width="14" style="4" customWidth="1"/>
    <col min="2586" max="2595" width="10.5" style="4" customWidth="1"/>
    <col min="2596" max="2596" width="1.125" style="4" customWidth="1"/>
    <col min="2597" max="2598" width="1.25" style="4" customWidth="1"/>
    <col min="2599" max="2599" width="7.625" style="4" customWidth="1"/>
    <col min="2600" max="2600" width="7" style="4" customWidth="1"/>
    <col min="2601" max="2602" width="7.625" style="4" customWidth="1"/>
    <col min="2603" max="2603" width="8" style="4" customWidth="1"/>
    <col min="2604" max="2605" width="7.625" style="4" customWidth="1"/>
    <col min="2606" max="2606" width="9.125" style="4" customWidth="1"/>
    <col min="2607" max="2607" width="2.375" style="4" customWidth="1"/>
    <col min="2608" max="2608" width="6.375" style="4" customWidth="1"/>
    <col min="2609" max="2609" width="3.625" style="4" customWidth="1"/>
    <col min="2610" max="2610" width="14.5" style="4" customWidth="1"/>
    <col min="2611" max="2611" width="5.875" style="4" customWidth="1"/>
    <col min="2612" max="2612" width="5" style="4" customWidth="1"/>
    <col min="2613" max="2613" width="11" style="4" customWidth="1"/>
    <col min="2614" max="2816" width="9" style="4"/>
    <col min="2817" max="2817" width="8.875" style="4" customWidth="1"/>
    <col min="2818" max="2818" width="9.75" style="4" customWidth="1"/>
    <col min="2819" max="2819" width="10.5" style="4" customWidth="1"/>
    <col min="2820" max="2828" width="8.75" style="4" customWidth="1"/>
    <col min="2829" max="2829" width="11.875" style="4" customWidth="1"/>
    <col min="2830" max="2830" width="14.25" style="4" customWidth="1"/>
    <col min="2831" max="2831" width="8.75" style="4" customWidth="1"/>
    <col min="2832" max="2832" width="5.25" style="4" customWidth="1"/>
    <col min="2833" max="2833" width="8.75" style="4" customWidth="1"/>
    <col min="2834" max="2834" width="12.25" style="4" customWidth="1"/>
    <col min="2835" max="2835" width="10.25" style="4" customWidth="1"/>
    <col min="2836" max="2837" width="15.5" style="4" customWidth="1"/>
    <col min="2838" max="2838" width="13" style="4" customWidth="1"/>
    <col min="2839" max="2839" width="8.625" style="4" customWidth="1"/>
    <col min="2840" max="2840" width="8" style="4" customWidth="1"/>
    <col min="2841" max="2841" width="14" style="4" customWidth="1"/>
    <col min="2842" max="2851" width="10.5" style="4" customWidth="1"/>
    <col min="2852" max="2852" width="1.125" style="4" customWidth="1"/>
    <col min="2853" max="2854" width="1.25" style="4" customWidth="1"/>
    <col min="2855" max="2855" width="7.625" style="4" customWidth="1"/>
    <col min="2856" max="2856" width="7" style="4" customWidth="1"/>
    <col min="2857" max="2858" width="7.625" style="4" customWidth="1"/>
    <col min="2859" max="2859" width="8" style="4" customWidth="1"/>
    <col min="2860" max="2861" width="7.625" style="4" customWidth="1"/>
    <col min="2862" max="2862" width="9.125" style="4" customWidth="1"/>
    <col min="2863" max="2863" width="2.375" style="4" customWidth="1"/>
    <col min="2864" max="2864" width="6.375" style="4" customWidth="1"/>
    <col min="2865" max="2865" width="3.625" style="4" customWidth="1"/>
    <col min="2866" max="2866" width="14.5" style="4" customWidth="1"/>
    <col min="2867" max="2867" width="5.875" style="4" customWidth="1"/>
    <col min="2868" max="2868" width="5" style="4" customWidth="1"/>
    <col min="2869" max="2869" width="11" style="4" customWidth="1"/>
    <col min="2870" max="3072" width="9" style="4"/>
    <col min="3073" max="3073" width="8.875" style="4" customWidth="1"/>
    <col min="3074" max="3074" width="9.75" style="4" customWidth="1"/>
    <col min="3075" max="3075" width="10.5" style="4" customWidth="1"/>
    <col min="3076" max="3084" width="8.75" style="4" customWidth="1"/>
    <col min="3085" max="3085" width="11.875" style="4" customWidth="1"/>
    <col min="3086" max="3086" width="14.25" style="4" customWidth="1"/>
    <col min="3087" max="3087" width="8.75" style="4" customWidth="1"/>
    <col min="3088" max="3088" width="5.25" style="4" customWidth="1"/>
    <col min="3089" max="3089" width="8.75" style="4" customWidth="1"/>
    <col min="3090" max="3090" width="12.25" style="4" customWidth="1"/>
    <col min="3091" max="3091" width="10.25" style="4" customWidth="1"/>
    <col min="3092" max="3093" width="15.5" style="4" customWidth="1"/>
    <col min="3094" max="3094" width="13" style="4" customWidth="1"/>
    <col min="3095" max="3095" width="8.625" style="4" customWidth="1"/>
    <col min="3096" max="3096" width="8" style="4" customWidth="1"/>
    <col min="3097" max="3097" width="14" style="4" customWidth="1"/>
    <col min="3098" max="3107" width="10.5" style="4" customWidth="1"/>
    <col min="3108" max="3108" width="1.125" style="4" customWidth="1"/>
    <col min="3109" max="3110" width="1.25" style="4" customWidth="1"/>
    <col min="3111" max="3111" width="7.625" style="4" customWidth="1"/>
    <col min="3112" max="3112" width="7" style="4" customWidth="1"/>
    <col min="3113" max="3114" width="7.625" style="4" customWidth="1"/>
    <col min="3115" max="3115" width="8" style="4" customWidth="1"/>
    <col min="3116" max="3117" width="7.625" style="4" customWidth="1"/>
    <col min="3118" max="3118" width="9.125" style="4" customWidth="1"/>
    <col min="3119" max="3119" width="2.375" style="4" customWidth="1"/>
    <col min="3120" max="3120" width="6.375" style="4" customWidth="1"/>
    <col min="3121" max="3121" width="3.625" style="4" customWidth="1"/>
    <col min="3122" max="3122" width="14.5" style="4" customWidth="1"/>
    <col min="3123" max="3123" width="5.875" style="4" customWidth="1"/>
    <col min="3124" max="3124" width="5" style="4" customWidth="1"/>
    <col min="3125" max="3125" width="11" style="4" customWidth="1"/>
    <col min="3126" max="3328" width="9" style="4"/>
    <col min="3329" max="3329" width="8.875" style="4" customWidth="1"/>
    <col min="3330" max="3330" width="9.75" style="4" customWidth="1"/>
    <col min="3331" max="3331" width="10.5" style="4" customWidth="1"/>
    <col min="3332" max="3340" width="8.75" style="4" customWidth="1"/>
    <col min="3341" max="3341" width="11.875" style="4" customWidth="1"/>
    <col min="3342" max="3342" width="14.25" style="4" customWidth="1"/>
    <col min="3343" max="3343" width="8.75" style="4" customWidth="1"/>
    <col min="3344" max="3344" width="5.25" style="4" customWidth="1"/>
    <col min="3345" max="3345" width="8.75" style="4" customWidth="1"/>
    <col min="3346" max="3346" width="12.25" style="4" customWidth="1"/>
    <col min="3347" max="3347" width="10.25" style="4" customWidth="1"/>
    <col min="3348" max="3349" width="15.5" style="4" customWidth="1"/>
    <col min="3350" max="3350" width="13" style="4" customWidth="1"/>
    <col min="3351" max="3351" width="8.625" style="4" customWidth="1"/>
    <col min="3352" max="3352" width="8" style="4" customWidth="1"/>
    <col min="3353" max="3353" width="14" style="4" customWidth="1"/>
    <col min="3354" max="3363" width="10.5" style="4" customWidth="1"/>
    <col min="3364" max="3364" width="1.125" style="4" customWidth="1"/>
    <col min="3365" max="3366" width="1.25" style="4" customWidth="1"/>
    <col min="3367" max="3367" width="7.625" style="4" customWidth="1"/>
    <col min="3368" max="3368" width="7" style="4" customWidth="1"/>
    <col min="3369" max="3370" width="7.625" style="4" customWidth="1"/>
    <col min="3371" max="3371" width="8" style="4" customWidth="1"/>
    <col min="3372" max="3373" width="7.625" style="4" customWidth="1"/>
    <col min="3374" max="3374" width="9.125" style="4" customWidth="1"/>
    <col min="3375" max="3375" width="2.375" style="4" customWidth="1"/>
    <col min="3376" max="3376" width="6.375" style="4" customWidth="1"/>
    <col min="3377" max="3377" width="3.625" style="4" customWidth="1"/>
    <col min="3378" max="3378" width="14.5" style="4" customWidth="1"/>
    <col min="3379" max="3379" width="5.875" style="4" customWidth="1"/>
    <col min="3380" max="3380" width="5" style="4" customWidth="1"/>
    <col min="3381" max="3381" width="11" style="4" customWidth="1"/>
    <col min="3382" max="3584" width="9" style="4"/>
    <col min="3585" max="3585" width="8.875" style="4" customWidth="1"/>
    <col min="3586" max="3586" width="9.75" style="4" customWidth="1"/>
    <col min="3587" max="3587" width="10.5" style="4" customWidth="1"/>
    <col min="3588" max="3596" width="8.75" style="4" customWidth="1"/>
    <col min="3597" max="3597" width="11.875" style="4" customWidth="1"/>
    <col min="3598" max="3598" width="14.25" style="4" customWidth="1"/>
    <col min="3599" max="3599" width="8.75" style="4" customWidth="1"/>
    <col min="3600" max="3600" width="5.25" style="4" customWidth="1"/>
    <col min="3601" max="3601" width="8.75" style="4" customWidth="1"/>
    <col min="3602" max="3602" width="12.25" style="4" customWidth="1"/>
    <col min="3603" max="3603" width="10.25" style="4" customWidth="1"/>
    <col min="3604" max="3605" width="15.5" style="4" customWidth="1"/>
    <col min="3606" max="3606" width="13" style="4" customWidth="1"/>
    <col min="3607" max="3607" width="8.625" style="4" customWidth="1"/>
    <col min="3608" max="3608" width="8" style="4" customWidth="1"/>
    <col min="3609" max="3609" width="14" style="4" customWidth="1"/>
    <col min="3610" max="3619" width="10.5" style="4" customWidth="1"/>
    <col min="3620" max="3620" width="1.125" style="4" customWidth="1"/>
    <col min="3621" max="3622" width="1.25" style="4" customWidth="1"/>
    <col min="3623" max="3623" width="7.625" style="4" customWidth="1"/>
    <col min="3624" max="3624" width="7" style="4" customWidth="1"/>
    <col min="3625" max="3626" width="7.625" style="4" customWidth="1"/>
    <col min="3627" max="3627" width="8" style="4" customWidth="1"/>
    <col min="3628" max="3629" width="7.625" style="4" customWidth="1"/>
    <col min="3630" max="3630" width="9.125" style="4" customWidth="1"/>
    <col min="3631" max="3631" width="2.375" style="4" customWidth="1"/>
    <col min="3632" max="3632" width="6.375" style="4" customWidth="1"/>
    <col min="3633" max="3633" width="3.625" style="4" customWidth="1"/>
    <col min="3634" max="3634" width="14.5" style="4" customWidth="1"/>
    <col min="3635" max="3635" width="5.875" style="4" customWidth="1"/>
    <col min="3636" max="3636" width="5" style="4" customWidth="1"/>
    <col min="3637" max="3637" width="11" style="4" customWidth="1"/>
    <col min="3638" max="3840" width="9" style="4"/>
    <col min="3841" max="3841" width="8.875" style="4" customWidth="1"/>
    <col min="3842" max="3842" width="9.75" style="4" customWidth="1"/>
    <col min="3843" max="3843" width="10.5" style="4" customWidth="1"/>
    <col min="3844" max="3852" width="8.75" style="4" customWidth="1"/>
    <col min="3853" max="3853" width="11.875" style="4" customWidth="1"/>
    <col min="3854" max="3854" width="14.25" style="4" customWidth="1"/>
    <col min="3855" max="3855" width="8.75" style="4" customWidth="1"/>
    <col min="3856" max="3856" width="5.25" style="4" customWidth="1"/>
    <col min="3857" max="3857" width="8.75" style="4" customWidth="1"/>
    <col min="3858" max="3858" width="12.25" style="4" customWidth="1"/>
    <col min="3859" max="3859" width="10.25" style="4" customWidth="1"/>
    <col min="3860" max="3861" width="15.5" style="4" customWidth="1"/>
    <col min="3862" max="3862" width="13" style="4" customWidth="1"/>
    <col min="3863" max="3863" width="8.625" style="4" customWidth="1"/>
    <col min="3864" max="3864" width="8" style="4" customWidth="1"/>
    <col min="3865" max="3865" width="14" style="4" customWidth="1"/>
    <col min="3866" max="3875" width="10.5" style="4" customWidth="1"/>
    <col min="3876" max="3876" width="1.125" style="4" customWidth="1"/>
    <col min="3877" max="3878" width="1.25" style="4" customWidth="1"/>
    <col min="3879" max="3879" width="7.625" style="4" customWidth="1"/>
    <col min="3880" max="3880" width="7" style="4" customWidth="1"/>
    <col min="3881" max="3882" width="7.625" style="4" customWidth="1"/>
    <col min="3883" max="3883" width="8" style="4" customWidth="1"/>
    <col min="3884" max="3885" width="7.625" style="4" customWidth="1"/>
    <col min="3886" max="3886" width="9.125" style="4" customWidth="1"/>
    <col min="3887" max="3887" width="2.375" style="4" customWidth="1"/>
    <col min="3888" max="3888" width="6.375" style="4" customWidth="1"/>
    <col min="3889" max="3889" width="3.625" style="4" customWidth="1"/>
    <col min="3890" max="3890" width="14.5" style="4" customWidth="1"/>
    <col min="3891" max="3891" width="5.875" style="4" customWidth="1"/>
    <col min="3892" max="3892" width="5" style="4" customWidth="1"/>
    <col min="3893" max="3893" width="11" style="4" customWidth="1"/>
    <col min="3894" max="4096" width="9" style="4"/>
    <col min="4097" max="4097" width="8.875" style="4" customWidth="1"/>
    <col min="4098" max="4098" width="9.75" style="4" customWidth="1"/>
    <col min="4099" max="4099" width="10.5" style="4" customWidth="1"/>
    <col min="4100" max="4108" width="8.75" style="4" customWidth="1"/>
    <col min="4109" max="4109" width="11.875" style="4" customWidth="1"/>
    <col min="4110" max="4110" width="14.25" style="4" customWidth="1"/>
    <col min="4111" max="4111" width="8.75" style="4" customWidth="1"/>
    <col min="4112" max="4112" width="5.25" style="4" customWidth="1"/>
    <col min="4113" max="4113" width="8.75" style="4" customWidth="1"/>
    <col min="4114" max="4114" width="12.25" style="4" customWidth="1"/>
    <col min="4115" max="4115" width="10.25" style="4" customWidth="1"/>
    <col min="4116" max="4117" width="15.5" style="4" customWidth="1"/>
    <col min="4118" max="4118" width="13" style="4" customWidth="1"/>
    <col min="4119" max="4119" width="8.625" style="4" customWidth="1"/>
    <col min="4120" max="4120" width="8" style="4" customWidth="1"/>
    <col min="4121" max="4121" width="14" style="4" customWidth="1"/>
    <col min="4122" max="4131" width="10.5" style="4" customWidth="1"/>
    <col min="4132" max="4132" width="1.125" style="4" customWidth="1"/>
    <col min="4133" max="4134" width="1.25" style="4" customWidth="1"/>
    <col min="4135" max="4135" width="7.625" style="4" customWidth="1"/>
    <col min="4136" max="4136" width="7" style="4" customWidth="1"/>
    <col min="4137" max="4138" width="7.625" style="4" customWidth="1"/>
    <col min="4139" max="4139" width="8" style="4" customWidth="1"/>
    <col min="4140" max="4141" width="7.625" style="4" customWidth="1"/>
    <col min="4142" max="4142" width="9.125" style="4" customWidth="1"/>
    <col min="4143" max="4143" width="2.375" style="4" customWidth="1"/>
    <col min="4144" max="4144" width="6.375" style="4" customWidth="1"/>
    <col min="4145" max="4145" width="3.625" style="4" customWidth="1"/>
    <col min="4146" max="4146" width="14.5" style="4" customWidth="1"/>
    <col min="4147" max="4147" width="5.875" style="4" customWidth="1"/>
    <col min="4148" max="4148" width="5" style="4" customWidth="1"/>
    <col min="4149" max="4149" width="11" style="4" customWidth="1"/>
    <col min="4150" max="4352" width="9" style="4"/>
    <col min="4353" max="4353" width="8.875" style="4" customWidth="1"/>
    <col min="4354" max="4354" width="9.75" style="4" customWidth="1"/>
    <col min="4355" max="4355" width="10.5" style="4" customWidth="1"/>
    <col min="4356" max="4364" width="8.75" style="4" customWidth="1"/>
    <col min="4365" max="4365" width="11.875" style="4" customWidth="1"/>
    <col min="4366" max="4366" width="14.25" style="4" customWidth="1"/>
    <col min="4367" max="4367" width="8.75" style="4" customWidth="1"/>
    <col min="4368" max="4368" width="5.25" style="4" customWidth="1"/>
    <col min="4369" max="4369" width="8.75" style="4" customWidth="1"/>
    <col min="4370" max="4370" width="12.25" style="4" customWidth="1"/>
    <col min="4371" max="4371" width="10.25" style="4" customWidth="1"/>
    <col min="4372" max="4373" width="15.5" style="4" customWidth="1"/>
    <col min="4374" max="4374" width="13" style="4" customWidth="1"/>
    <col min="4375" max="4375" width="8.625" style="4" customWidth="1"/>
    <col min="4376" max="4376" width="8" style="4" customWidth="1"/>
    <col min="4377" max="4377" width="14" style="4" customWidth="1"/>
    <col min="4378" max="4387" width="10.5" style="4" customWidth="1"/>
    <col min="4388" max="4388" width="1.125" style="4" customWidth="1"/>
    <col min="4389" max="4390" width="1.25" style="4" customWidth="1"/>
    <col min="4391" max="4391" width="7.625" style="4" customWidth="1"/>
    <col min="4392" max="4392" width="7" style="4" customWidth="1"/>
    <col min="4393" max="4394" width="7.625" style="4" customWidth="1"/>
    <col min="4395" max="4395" width="8" style="4" customWidth="1"/>
    <col min="4396" max="4397" width="7.625" style="4" customWidth="1"/>
    <col min="4398" max="4398" width="9.125" style="4" customWidth="1"/>
    <col min="4399" max="4399" width="2.375" style="4" customWidth="1"/>
    <col min="4400" max="4400" width="6.375" style="4" customWidth="1"/>
    <col min="4401" max="4401" width="3.625" style="4" customWidth="1"/>
    <col min="4402" max="4402" width="14.5" style="4" customWidth="1"/>
    <col min="4403" max="4403" width="5.875" style="4" customWidth="1"/>
    <col min="4404" max="4404" width="5" style="4" customWidth="1"/>
    <col min="4405" max="4405" width="11" style="4" customWidth="1"/>
    <col min="4406" max="4608" width="9" style="4"/>
    <col min="4609" max="4609" width="8.875" style="4" customWidth="1"/>
    <col min="4610" max="4610" width="9.75" style="4" customWidth="1"/>
    <col min="4611" max="4611" width="10.5" style="4" customWidth="1"/>
    <col min="4612" max="4620" width="8.75" style="4" customWidth="1"/>
    <col min="4621" max="4621" width="11.875" style="4" customWidth="1"/>
    <col min="4622" max="4622" width="14.25" style="4" customWidth="1"/>
    <col min="4623" max="4623" width="8.75" style="4" customWidth="1"/>
    <col min="4624" max="4624" width="5.25" style="4" customWidth="1"/>
    <col min="4625" max="4625" width="8.75" style="4" customWidth="1"/>
    <col min="4626" max="4626" width="12.25" style="4" customWidth="1"/>
    <col min="4627" max="4627" width="10.25" style="4" customWidth="1"/>
    <col min="4628" max="4629" width="15.5" style="4" customWidth="1"/>
    <col min="4630" max="4630" width="13" style="4" customWidth="1"/>
    <col min="4631" max="4631" width="8.625" style="4" customWidth="1"/>
    <col min="4632" max="4632" width="8" style="4" customWidth="1"/>
    <col min="4633" max="4633" width="14" style="4" customWidth="1"/>
    <col min="4634" max="4643" width="10.5" style="4" customWidth="1"/>
    <col min="4644" max="4644" width="1.125" style="4" customWidth="1"/>
    <col min="4645" max="4646" width="1.25" style="4" customWidth="1"/>
    <col min="4647" max="4647" width="7.625" style="4" customWidth="1"/>
    <col min="4648" max="4648" width="7" style="4" customWidth="1"/>
    <col min="4649" max="4650" width="7.625" style="4" customWidth="1"/>
    <col min="4651" max="4651" width="8" style="4" customWidth="1"/>
    <col min="4652" max="4653" width="7.625" style="4" customWidth="1"/>
    <col min="4654" max="4654" width="9.125" style="4" customWidth="1"/>
    <col min="4655" max="4655" width="2.375" style="4" customWidth="1"/>
    <col min="4656" max="4656" width="6.375" style="4" customWidth="1"/>
    <col min="4657" max="4657" width="3.625" style="4" customWidth="1"/>
    <col min="4658" max="4658" width="14.5" style="4" customWidth="1"/>
    <col min="4659" max="4659" width="5.875" style="4" customWidth="1"/>
    <col min="4660" max="4660" width="5" style="4" customWidth="1"/>
    <col min="4661" max="4661" width="11" style="4" customWidth="1"/>
    <col min="4662" max="4864" width="9" style="4"/>
    <col min="4865" max="4865" width="8.875" style="4" customWidth="1"/>
    <col min="4866" max="4866" width="9.75" style="4" customWidth="1"/>
    <col min="4867" max="4867" width="10.5" style="4" customWidth="1"/>
    <col min="4868" max="4876" width="8.75" style="4" customWidth="1"/>
    <col min="4877" max="4877" width="11.875" style="4" customWidth="1"/>
    <col min="4878" max="4878" width="14.25" style="4" customWidth="1"/>
    <col min="4879" max="4879" width="8.75" style="4" customWidth="1"/>
    <col min="4880" max="4880" width="5.25" style="4" customWidth="1"/>
    <col min="4881" max="4881" width="8.75" style="4" customWidth="1"/>
    <col min="4882" max="4882" width="12.25" style="4" customWidth="1"/>
    <col min="4883" max="4883" width="10.25" style="4" customWidth="1"/>
    <col min="4884" max="4885" width="15.5" style="4" customWidth="1"/>
    <col min="4886" max="4886" width="13" style="4" customWidth="1"/>
    <col min="4887" max="4887" width="8.625" style="4" customWidth="1"/>
    <col min="4888" max="4888" width="8" style="4" customWidth="1"/>
    <col min="4889" max="4889" width="14" style="4" customWidth="1"/>
    <col min="4890" max="4899" width="10.5" style="4" customWidth="1"/>
    <col min="4900" max="4900" width="1.125" style="4" customWidth="1"/>
    <col min="4901" max="4902" width="1.25" style="4" customWidth="1"/>
    <col min="4903" max="4903" width="7.625" style="4" customWidth="1"/>
    <col min="4904" max="4904" width="7" style="4" customWidth="1"/>
    <col min="4905" max="4906" width="7.625" style="4" customWidth="1"/>
    <col min="4907" max="4907" width="8" style="4" customWidth="1"/>
    <col min="4908" max="4909" width="7.625" style="4" customWidth="1"/>
    <col min="4910" max="4910" width="9.125" style="4" customWidth="1"/>
    <col min="4911" max="4911" width="2.375" style="4" customWidth="1"/>
    <col min="4912" max="4912" width="6.375" style="4" customWidth="1"/>
    <col min="4913" max="4913" width="3.625" style="4" customWidth="1"/>
    <col min="4914" max="4914" width="14.5" style="4" customWidth="1"/>
    <col min="4915" max="4915" width="5.875" style="4" customWidth="1"/>
    <col min="4916" max="4916" width="5" style="4" customWidth="1"/>
    <col min="4917" max="4917" width="11" style="4" customWidth="1"/>
    <col min="4918" max="5120" width="9" style="4"/>
    <col min="5121" max="5121" width="8.875" style="4" customWidth="1"/>
    <col min="5122" max="5122" width="9.75" style="4" customWidth="1"/>
    <col min="5123" max="5123" width="10.5" style="4" customWidth="1"/>
    <col min="5124" max="5132" width="8.75" style="4" customWidth="1"/>
    <col min="5133" max="5133" width="11.875" style="4" customWidth="1"/>
    <col min="5134" max="5134" width="14.25" style="4" customWidth="1"/>
    <col min="5135" max="5135" width="8.75" style="4" customWidth="1"/>
    <col min="5136" max="5136" width="5.25" style="4" customWidth="1"/>
    <col min="5137" max="5137" width="8.75" style="4" customWidth="1"/>
    <col min="5138" max="5138" width="12.25" style="4" customWidth="1"/>
    <col min="5139" max="5139" width="10.25" style="4" customWidth="1"/>
    <col min="5140" max="5141" width="15.5" style="4" customWidth="1"/>
    <col min="5142" max="5142" width="13" style="4" customWidth="1"/>
    <col min="5143" max="5143" width="8.625" style="4" customWidth="1"/>
    <col min="5144" max="5144" width="8" style="4" customWidth="1"/>
    <col min="5145" max="5145" width="14" style="4" customWidth="1"/>
    <col min="5146" max="5155" width="10.5" style="4" customWidth="1"/>
    <col min="5156" max="5156" width="1.125" style="4" customWidth="1"/>
    <col min="5157" max="5158" width="1.25" style="4" customWidth="1"/>
    <col min="5159" max="5159" width="7.625" style="4" customWidth="1"/>
    <col min="5160" max="5160" width="7" style="4" customWidth="1"/>
    <col min="5161" max="5162" width="7.625" style="4" customWidth="1"/>
    <col min="5163" max="5163" width="8" style="4" customWidth="1"/>
    <col min="5164" max="5165" width="7.625" style="4" customWidth="1"/>
    <col min="5166" max="5166" width="9.125" style="4" customWidth="1"/>
    <col min="5167" max="5167" width="2.375" style="4" customWidth="1"/>
    <col min="5168" max="5168" width="6.375" style="4" customWidth="1"/>
    <col min="5169" max="5169" width="3.625" style="4" customWidth="1"/>
    <col min="5170" max="5170" width="14.5" style="4" customWidth="1"/>
    <col min="5171" max="5171" width="5.875" style="4" customWidth="1"/>
    <col min="5172" max="5172" width="5" style="4" customWidth="1"/>
    <col min="5173" max="5173" width="11" style="4" customWidth="1"/>
    <col min="5174" max="5376" width="9" style="4"/>
    <col min="5377" max="5377" width="8.875" style="4" customWidth="1"/>
    <col min="5378" max="5378" width="9.75" style="4" customWidth="1"/>
    <col min="5379" max="5379" width="10.5" style="4" customWidth="1"/>
    <col min="5380" max="5388" width="8.75" style="4" customWidth="1"/>
    <col min="5389" max="5389" width="11.875" style="4" customWidth="1"/>
    <col min="5390" max="5390" width="14.25" style="4" customWidth="1"/>
    <col min="5391" max="5391" width="8.75" style="4" customWidth="1"/>
    <col min="5392" max="5392" width="5.25" style="4" customWidth="1"/>
    <col min="5393" max="5393" width="8.75" style="4" customWidth="1"/>
    <col min="5394" max="5394" width="12.25" style="4" customWidth="1"/>
    <col min="5395" max="5395" width="10.25" style="4" customWidth="1"/>
    <col min="5396" max="5397" width="15.5" style="4" customWidth="1"/>
    <col min="5398" max="5398" width="13" style="4" customWidth="1"/>
    <col min="5399" max="5399" width="8.625" style="4" customWidth="1"/>
    <col min="5400" max="5400" width="8" style="4" customWidth="1"/>
    <col min="5401" max="5401" width="14" style="4" customWidth="1"/>
    <col min="5402" max="5411" width="10.5" style="4" customWidth="1"/>
    <col min="5412" max="5412" width="1.125" style="4" customWidth="1"/>
    <col min="5413" max="5414" width="1.25" style="4" customWidth="1"/>
    <col min="5415" max="5415" width="7.625" style="4" customWidth="1"/>
    <col min="5416" max="5416" width="7" style="4" customWidth="1"/>
    <col min="5417" max="5418" width="7.625" style="4" customWidth="1"/>
    <col min="5419" max="5419" width="8" style="4" customWidth="1"/>
    <col min="5420" max="5421" width="7.625" style="4" customWidth="1"/>
    <col min="5422" max="5422" width="9.125" style="4" customWidth="1"/>
    <col min="5423" max="5423" width="2.375" style="4" customWidth="1"/>
    <col min="5424" max="5424" width="6.375" style="4" customWidth="1"/>
    <col min="5425" max="5425" width="3.625" style="4" customWidth="1"/>
    <col min="5426" max="5426" width="14.5" style="4" customWidth="1"/>
    <col min="5427" max="5427" width="5.875" style="4" customWidth="1"/>
    <col min="5428" max="5428" width="5" style="4" customWidth="1"/>
    <col min="5429" max="5429" width="11" style="4" customWidth="1"/>
    <col min="5430" max="5632" width="9" style="4"/>
    <col min="5633" max="5633" width="8.875" style="4" customWidth="1"/>
    <col min="5634" max="5634" width="9.75" style="4" customWidth="1"/>
    <col min="5635" max="5635" width="10.5" style="4" customWidth="1"/>
    <col min="5636" max="5644" width="8.75" style="4" customWidth="1"/>
    <col min="5645" max="5645" width="11.875" style="4" customWidth="1"/>
    <col min="5646" max="5646" width="14.25" style="4" customWidth="1"/>
    <col min="5647" max="5647" width="8.75" style="4" customWidth="1"/>
    <col min="5648" max="5648" width="5.25" style="4" customWidth="1"/>
    <col min="5649" max="5649" width="8.75" style="4" customWidth="1"/>
    <col min="5650" max="5650" width="12.25" style="4" customWidth="1"/>
    <col min="5651" max="5651" width="10.25" style="4" customWidth="1"/>
    <col min="5652" max="5653" width="15.5" style="4" customWidth="1"/>
    <col min="5654" max="5654" width="13" style="4" customWidth="1"/>
    <col min="5655" max="5655" width="8.625" style="4" customWidth="1"/>
    <col min="5656" max="5656" width="8" style="4" customWidth="1"/>
    <col min="5657" max="5657" width="14" style="4" customWidth="1"/>
    <col min="5658" max="5667" width="10.5" style="4" customWidth="1"/>
    <col min="5668" max="5668" width="1.125" style="4" customWidth="1"/>
    <col min="5669" max="5670" width="1.25" style="4" customWidth="1"/>
    <col min="5671" max="5671" width="7.625" style="4" customWidth="1"/>
    <col min="5672" max="5672" width="7" style="4" customWidth="1"/>
    <col min="5673" max="5674" width="7.625" style="4" customWidth="1"/>
    <col min="5675" max="5675" width="8" style="4" customWidth="1"/>
    <col min="5676" max="5677" width="7.625" style="4" customWidth="1"/>
    <col min="5678" max="5678" width="9.125" style="4" customWidth="1"/>
    <col min="5679" max="5679" width="2.375" style="4" customWidth="1"/>
    <col min="5680" max="5680" width="6.375" style="4" customWidth="1"/>
    <col min="5681" max="5681" width="3.625" style="4" customWidth="1"/>
    <col min="5682" max="5682" width="14.5" style="4" customWidth="1"/>
    <col min="5683" max="5683" width="5.875" style="4" customWidth="1"/>
    <col min="5684" max="5684" width="5" style="4" customWidth="1"/>
    <col min="5685" max="5685" width="11" style="4" customWidth="1"/>
    <col min="5686" max="5888" width="9" style="4"/>
    <col min="5889" max="5889" width="8.875" style="4" customWidth="1"/>
    <col min="5890" max="5890" width="9.75" style="4" customWidth="1"/>
    <col min="5891" max="5891" width="10.5" style="4" customWidth="1"/>
    <col min="5892" max="5900" width="8.75" style="4" customWidth="1"/>
    <col min="5901" max="5901" width="11.875" style="4" customWidth="1"/>
    <col min="5902" max="5902" width="14.25" style="4" customWidth="1"/>
    <col min="5903" max="5903" width="8.75" style="4" customWidth="1"/>
    <col min="5904" max="5904" width="5.25" style="4" customWidth="1"/>
    <col min="5905" max="5905" width="8.75" style="4" customWidth="1"/>
    <col min="5906" max="5906" width="12.25" style="4" customWidth="1"/>
    <col min="5907" max="5907" width="10.25" style="4" customWidth="1"/>
    <col min="5908" max="5909" width="15.5" style="4" customWidth="1"/>
    <col min="5910" max="5910" width="13" style="4" customWidth="1"/>
    <col min="5911" max="5911" width="8.625" style="4" customWidth="1"/>
    <col min="5912" max="5912" width="8" style="4" customWidth="1"/>
    <col min="5913" max="5913" width="14" style="4" customWidth="1"/>
    <col min="5914" max="5923" width="10.5" style="4" customWidth="1"/>
    <col min="5924" max="5924" width="1.125" style="4" customWidth="1"/>
    <col min="5925" max="5926" width="1.25" style="4" customWidth="1"/>
    <col min="5927" max="5927" width="7.625" style="4" customWidth="1"/>
    <col min="5928" max="5928" width="7" style="4" customWidth="1"/>
    <col min="5929" max="5930" width="7.625" style="4" customWidth="1"/>
    <col min="5931" max="5931" width="8" style="4" customWidth="1"/>
    <col min="5932" max="5933" width="7.625" style="4" customWidth="1"/>
    <col min="5934" max="5934" width="9.125" style="4" customWidth="1"/>
    <col min="5935" max="5935" width="2.375" style="4" customWidth="1"/>
    <col min="5936" max="5936" width="6.375" style="4" customWidth="1"/>
    <col min="5937" max="5937" width="3.625" style="4" customWidth="1"/>
    <col min="5938" max="5938" width="14.5" style="4" customWidth="1"/>
    <col min="5939" max="5939" width="5.875" style="4" customWidth="1"/>
    <col min="5940" max="5940" width="5" style="4" customWidth="1"/>
    <col min="5941" max="5941" width="11" style="4" customWidth="1"/>
    <col min="5942" max="6144" width="9" style="4"/>
    <col min="6145" max="6145" width="8.875" style="4" customWidth="1"/>
    <col min="6146" max="6146" width="9.75" style="4" customWidth="1"/>
    <col min="6147" max="6147" width="10.5" style="4" customWidth="1"/>
    <col min="6148" max="6156" width="8.75" style="4" customWidth="1"/>
    <col min="6157" max="6157" width="11.875" style="4" customWidth="1"/>
    <col min="6158" max="6158" width="14.25" style="4" customWidth="1"/>
    <col min="6159" max="6159" width="8.75" style="4" customWidth="1"/>
    <col min="6160" max="6160" width="5.25" style="4" customWidth="1"/>
    <col min="6161" max="6161" width="8.75" style="4" customWidth="1"/>
    <col min="6162" max="6162" width="12.25" style="4" customWidth="1"/>
    <col min="6163" max="6163" width="10.25" style="4" customWidth="1"/>
    <col min="6164" max="6165" width="15.5" style="4" customWidth="1"/>
    <col min="6166" max="6166" width="13" style="4" customWidth="1"/>
    <col min="6167" max="6167" width="8.625" style="4" customWidth="1"/>
    <col min="6168" max="6168" width="8" style="4" customWidth="1"/>
    <col min="6169" max="6169" width="14" style="4" customWidth="1"/>
    <col min="6170" max="6179" width="10.5" style="4" customWidth="1"/>
    <col min="6180" max="6180" width="1.125" style="4" customWidth="1"/>
    <col min="6181" max="6182" width="1.25" style="4" customWidth="1"/>
    <col min="6183" max="6183" width="7.625" style="4" customWidth="1"/>
    <col min="6184" max="6184" width="7" style="4" customWidth="1"/>
    <col min="6185" max="6186" width="7.625" style="4" customWidth="1"/>
    <col min="6187" max="6187" width="8" style="4" customWidth="1"/>
    <col min="6188" max="6189" width="7.625" style="4" customWidth="1"/>
    <col min="6190" max="6190" width="9.125" style="4" customWidth="1"/>
    <col min="6191" max="6191" width="2.375" style="4" customWidth="1"/>
    <col min="6192" max="6192" width="6.375" style="4" customWidth="1"/>
    <col min="6193" max="6193" width="3.625" style="4" customWidth="1"/>
    <col min="6194" max="6194" width="14.5" style="4" customWidth="1"/>
    <col min="6195" max="6195" width="5.875" style="4" customWidth="1"/>
    <col min="6196" max="6196" width="5" style="4" customWidth="1"/>
    <col min="6197" max="6197" width="11" style="4" customWidth="1"/>
    <col min="6198" max="6400" width="9" style="4"/>
    <col min="6401" max="6401" width="8.875" style="4" customWidth="1"/>
    <col min="6402" max="6402" width="9.75" style="4" customWidth="1"/>
    <col min="6403" max="6403" width="10.5" style="4" customWidth="1"/>
    <col min="6404" max="6412" width="8.75" style="4" customWidth="1"/>
    <col min="6413" max="6413" width="11.875" style="4" customWidth="1"/>
    <col min="6414" max="6414" width="14.25" style="4" customWidth="1"/>
    <col min="6415" max="6415" width="8.75" style="4" customWidth="1"/>
    <col min="6416" max="6416" width="5.25" style="4" customWidth="1"/>
    <col min="6417" max="6417" width="8.75" style="4" customWidth="1"/>
    <col min="6418" max="6418" width="12.25" style="4" customWidth="1"/>
    <col min="6419" max="6419" width="10.25" style="4" customWidth="1"/>
    <col min="6420" max="6421" width="15.5" style="4" customWidth="1"/>
    <col min="6422" max="6422" width="13" style="4" customWidth="1"/>
    <col min="6423" max="6423" width="8.625" style="4" customWidth="1"/>
    <col min="6424" max="6424" width="8" style="4" customWidth="1"/>
    <col min="6425" max="6425" width="14" style="4" customWidth="1"/>
    <col min="6426" max="6435" width="10.5" style="4" customWidth="1"/>
    <col min="6436" max="6436" width="1.125" style="4" customWidth="1"/>
    <col min="6437" max="6438" width="1.25" style="4" customWidth="1"/>
    <col min="6439" max="6439" width="7.625" style="4" customWidth="1"/>
    <col min="6440" max="6440" width="7" style="4" customWidth="1"/>
    <col min="6441" max="6442" width="7.625" style="4" customWidth="1"/>
    <col min="6443" max="6443" width="8" style="4" customWidth="1"/>
    <col min="6444" max="6445" width="7.625" style="4" customWidth="1"/>
    <col min="6446" max="6446" width="9.125" style="4" customWidth="1"/>
    <col min="6447" max="6447" width="2.375" style="4" customWidth="1"/>
    <col min="6448" max="6448" width="6.375" style="4" customWidth="1"/>
    <col min="6449" max="6449" width="3.625" style="4" customWidth="1"/>
    <col min="6450" max="6450" width="14.5" style="4" customWidth="1"/>
    <col min="6451" max="6451" width="5.875" style="4" customWidth="1"/>
    <col min="6452" max="6452" width="5" style="4" customWidth="1"/>
    <col min="6453" max="6453" width="11" style="4" customWidth="1"/>
    <col min="6454" max="6656" width="9" style="4"/>
    <col min="6657" max="6657" width="8.875" style="4" customWidth="1"/>
    <col min="6658" max="6658" width="9.75" style="4" customWidth="1"/>
    <col min="6659" max="6659" width="10.5" style="4" customWidth="1"/>
    <col min="6660" max="6668" width="8.75" style="4" customWidth="1"/>
    <col min="6669" max="6669" width="11.875" style="4" customWidth="1"/>
    <col min="6670" max="6670" width="14.25" style="4" customWidth="1"/>
    <col min="6671" max="6671" width="8.75" style="4" customWidth="1"/>
    <col min="6672" max="6672" width="5.25" style="4" customWidth="1"/>
    <col min="6673" max="6673" width="8.75" style="4" customWidth="1"/>
    <col min="6674" max="6674" width="12.25" style="4" customWidth="1"/>
    <col min="6675" max="6675" width="10.25" style="4" customWidth="1"/>
    <col min="6676" max="6677" width="15.5" style="4" customWidth="1"/>
    <col min="6678" max="6678" width="13" style="4" customWidth="1"/>
    <col min="6679" max="6679" width="8.625" style="4" customWidth="1"/>
    <col min="6680" max="6680" width="8" style="4" customWidth="1"/>
    <col min="6681" max="6681" width="14" style="4" customWidth="1"/>
    <col min="6682" max="6691" width="10.5" style="4" customWidth="1"/>
    <col min="6692" max="6692" width="1.125" style="4" customWidth="1"/>
    <col min="6693" max="6694" width="1.25" style="4" customWidth="1"/>
    <col min="6695" max="6695" width="7.625" style="4" customWidth="1"/>
    <col min="6696" max="6696" width="7" style="4" customWidth="1"/>
    <col min="6697" max="6698" width="7.625" style="4" customWidth="1"/>
    <col min="6699" max="6699" width="8" style="4" customWidth="1"/>
    <col min="6700" max="6701" width="7.625" style="4" customWidth="1"/>
    <col min="6702" max="6702" width="9.125" style="4" customWidth="1"/>
    <col min="6703" max="6703" width="2.375" style="4" customWidth="1"/>
    <col min="6704" max="6704" width="6.375" style="4" customWidth="1"/>
    <col min="6705" max="6705" width="3.625" style="4" customWidth="1"/>
    <col min="6706" max="6706" width="14.5" style="4" customWidth="1"/>
    <col min="6707" max="6707" width="5.875" style="4" customWidth="1"/>
    <col min="6708" max="6708" width="5" style="4" customWidth="1"/>
    <col min="6709" max="6709" width="11" style="4" customWidth="1"/>
    <col min="6710" max="6912" width="9" style="4"/>
    <col min="6913" max="6913" width="8.875" style="4" customWidth="1"/>
    <col min="6914" max="6914" width="9.75" style="4" customWidth="1"/>
    <col min="6915" max="6915" width="10.5" style="4" customWidth="1"/>
    <col min="6916" max="6924" width="8.75" style="4" customWidth="1"/>
    <col min="6925" max="6925" width="11.875" style="4" customWidth="1"/>
    <col min="6926" max="6926" width="14.25" style="4" customWidth="1"/>
    <col min="6927" max="6927" width="8.75" style="4" customWidth="1"/>
    <col min="6928" max="6928" width="5.25" style="4" customWidth="1"/>
    <col min="6929" max="6929" width="8.75" style="4" customWidth="1"/>
    <col min="6930" max="6930" width="12.25" style="4" customWidth="1"/>
    <col min="6931" max="6931" width="10.25" style="4" customWidth="1"/>
    <col min="6932" max="6933" width="15.5" style="4" customWidth="1"/>
    <col min="6934" max="6934" width="13" style="4" customWidth="1"/>
    <col min="6935" max="6935" width="8.625" style="4" customWidth="1"/>
    <col min="6936" max="6936" width="8" style="4" customWidth="1"/>
    <col min="6937" max="6937" width="14" style="4" customWidth="1"/>
    <col min="6938" max="6947" width="10.5" style="4" customWidth="1"/>
    <col min="6948" max="6948" width="1.125" style="4" customWidth="1"/>
    <col min="6949" max="6950" width="1.25" style="4" customWidth="1"/>
    <col min="6951" max="6951" width="7.625" style="4" customWidth="1"/>
    <col min="6952" max="6952" width="7" style="4" customWidth="1"/>
    <col min="6953" max="6954" width="7.625" style="4" customWidth="1"/>
    <col min="6955" max="6955" width="8" style="4" customWidth="1"/>
    <col min="6956" max="6957" width="7.625" style="4" customWidth="1"/>
    <col min="6958" max="6958" width="9.125" style="4" customWidth="1"/>
    <col min="6959" max="6959" width="2.375" style="4" customWidth="1"/>
    <col min="6960" max="6960" width="6.375" style="4" customWidth="1"/>
    <col min="6961" max="6961" width="3.625" style="4" customWidth="1"/>
    <col min="6962" max="6962" width="14.5" style="4" customWidth="1"/>
    <col min="6963" max="6963" width="5.875" style="4" customWidth="1"/>
    <col min="6964" max="6964" width="5" style="4" customWidth="1"/>
    <col min="6965" max="6965" width="11" style="4" customWidth="1"/>
    <col min="6966" max="7168" width="9" style="4"/>
    <col min="7169" max="7169" width="8.875" style="4" customWidth="1"/>
    <col min="7170" max="7170" width="9.75" style="4" customWidth="1"/>
    <col min="7171" max="7171" width="10.5" style="4" customWidth="1"/>
    <col min="7172" max="7180" width="8.75" style="4" customWidth="1"/>
    <col min="7181" max="7181" width="11.875" style="4" customWidth="1"/>
    <col min="7182" max="7182" width="14.25" style="4" customWidth="1"/>
    <col min="7183" max="7183" width="8.75" style="4" customWidth="1"/>
    <col min="7184" max="7184" width="5.25" style="4" customWidth="1"/>
    <col min="7185" max="7185" width="8.75" style="4" customWidth="1"/>
    <col min="7186" max="7186" width="12.25" style="4" customWidth="1"/>
    <col min="7187" max="7187" width="10.25" style="4" customWidth="1"/>
    <col min="7188" max="7189" width="15.5" style="4" customWidth="1"/>
    <col min="7190" max="7190" width="13" style="4" customWidth="1"/>
    <col min="7191" max="7191" width="8.625" style="4" customWidth="1"/>
    <col min="7192" max="7192" width="8" style="4" customWidth="1"/>
    <col min="7193" max="7193" width="14" style="4" customWidth="1"/>
    <col min="7194" max="7203" width="10.5" style="4" customWidth="1"/>
    <col min="7204" max="7204" width="1.125" style="4" customWidth="1"/>
    <col min="7205" max="7206" width="1.25" style="4" customWidth="1"/>
    <col min="7207" max="7207" width="7.625" style="4" customWidth="1"/>
    <col min="7208" max="7208" width="7" style="4" customWidth="1"/>
    <col min="7209" max="7210" width="7.625" style="4" customWidth="1"/>
    <col min="7211" max="7211" width="8" style="4" customWidth="1"/>
    <col min="7212" max="7213" width="7.625" style="4" customWidth="1"/>
    <col min="7214" max="7214" width="9.125" style="4" customWidth="1"/>
    <col min="7215" max="7215" width="2.375" style="4" customWidth="1"/>
    <col min="7216" max="7216" width="6.375" style="4" customWidth="1"/>
    <col min="7217" max="7217" width="3.625" style="4" customWidth="1"/>
    <col min="7218" max="7218" width="14.5" style="4" customWidth="1"/>
    <col min="7219" max="7219" width="5.875" style="4" customWidth="1"/>
    <col min="7220" max="7220" width="5" style="4" customWidth="1"/>
    <col min="7221" max="7221" width="11" style="4" customWidth="1"/>
    <col min="7222" max="7424" width="9" style="4"/>
    <col min="7425" max="7425" width="8.875" style="4" customWidth="1"/>
    <col min="7426" max="7426" width="9.75" style="4" customWidth="1"/>
    <col min="7427" max="7427" width="10.5" style="4" customWidth="1"/>
    <col min="7428" max="7436" width="8.75" style="4" customWidth="1"/>
    <col min="7437" max="7437" width="11.875" style="4" customWidth="1"/>
    <col min="7438" max="7438" width="14.25" style="4" customWidth="1"/>
    <col min="7439" max="7439" width="8.75" style="4" customWidth="1"/>
    <col min="7440" max="7440" width="5.25" style="4" customWidth="1"/>
    <col min="7441" max="7441" width="8.75" style="4" customWidth="1"/>
    <col min="7442" max="7442" width="12.25" style="4" customWidth="1"/>
    <col min="7443" max="7443" width="10.25" style="4" customWidth="1"/>
    <col min="7444" max="7445" width="15.5" style="4" customWidth="1"/>
    <col min="7446" max="7446" width="13" style="4" customWidth="1"/>
    <col min="7447" max="7447" width="8.625" style="4" customWidth="1"/>
    <col min="7448" max="7448" width="8" style="4" customWidth="1"/>
    <col min="7449" max="7449" width="14" style="4" customWidth="1"/>
    <col min="7450" max="7459" width="10.5" style="4" customWidth="1"/>
    <col min="7460" max="7460" width="1.125" style="4" customWidth="1"/>
    <col min="7461" max="7462" width="1.25" style="4" customWidth="1"/>
    <col min="7463" max="7463" width="7.625" style="4" customWidth="1"/>
    <col min="7464" max="7464" width="7" style="4" customWidth="1"/>
    <col min="7465" max="7466" width="7.625" style="4" customWidth="1"/>
    <col min="7467" max="7467" width="8" style="4" customWidth="1"/>
    <col min="7468" max="7469" width="7.625" style="4" customWidth="1"/>
    <col min="7470" max="7470" width="9.125" style="4" customWidth="1"/>
    <col min="7471" max="7471" width="2.375" style="4" customWidth="1"/>
    <col min="7472" max="7472" width="6.375" style="4" customWidth="1"/>
    <col min="7473" max="7473" width="3.625" style="4" customWidth="1"/>
    <col min="7474" max="7474" width="14.5" style="4" customWidth="1"/>
    <col min="7475" max="7475" width="5.875" style="4" customWidth="1"/>
    <col min="7476" max="7476" width="5" style="4" customWidth="1"/>
    <col min="7477" max="7477" width="11" style="4" customWidth="1"/>
    <col min="7478" max="7680" width="9" style="4"/>
    <col min="7681" max="7681" width="8.875" style="4" customWidth="1"/>
    <col min="7682" max="7682" width="9.75" style="4" customWidth="1"/>
    <col min="7683" max="7683" width="10.5" style="4" customWidth="1"/>
    <col min="7684" max="7692" width="8.75" style="4" customWidth="1"/>
    <col min="7693" max="7693" width="11.875" style="4" customWidth="1"/>
    <col min="7694" max="7694" width="14.25" style="4" customWidth="1"/>
    <col min="7695" max="7695" width="8.75" style="4" customWidth="1"/>
    <col min="7696" max="7696" width="5.25" style="4" customWidth="1"/>
    <col min="7697" max="7697" width="8.75" style="4" customWidth="1"/>
    <col min="7698" max="7698" width="12.25" style="4" customWidth="1"/>
    <col min="7699" max="7699" width="10.25" style="4" customWidth="1"/>
    <col min="7700" max="7701" width="15.5" style="4" customWidth="1"/>
    <col min="7702" max="7702" width="13" style="4" customWidth="1"/>
    <col min="7703" max="7703" width="8.625" style="4" customWidth="1"/>
    <col min="7704" max="7704" width="8" style="4" customWidth="1"/>
    <col min="7705" max="7705" width="14" style="4" customWidth="1"/>
    <col min="7706" max="7715" width="10.5" style="4" customWidth="1"/>
    <col min="7716" max="7716" width="1.125" style="4" customWidth="1"/>
    <col min="7717" max="7718" width="1.25" style="4" customWidth="1"/>
    <col min="7719" max="7719" width="7.625" style="4" customWidth="1"/>
    <col min="7720" max="7720" width="7" style="4" customWidth="1"/>
    <col min="7721" max="7722" width="7.625" style="4" customWidth="1"/>
    <col min="7723" max="7723" width="8" style="4" customWidth="1"/>
    <col min="7724" max="7725" width="7.625" style="4" customWidth="1"/>
    <col min="7726" max="7726" width="9.125" style="4" customWidth="1"/>
    <col min="7727" max="7727" width="2.375" style="4" customWidth="1"/>
    <col min="7728" max="7728" width="6.375" style="4" customWidth="1"/>
    <col min="7729" max="7729" width="3.625" style="4" customWidth="1"/>
    <col min="7730" max="7730" width="14.5" style="4" customWidth="1"/>
    <col min="7731" max="7731" width="5.875" style="4" customWidth="1"/>
    <col min="7732" max="7732" width="5" style="4" customWidth="1"/>
    <col min="7733" max="7733" width="11" style="4" customWidth="1"/>
    <col min="7734" max="7936" width="9" style="4"/>
    <col min="7937" max="7937" width="8.875" style="4" customWidth="1"/>
    <col min="7938" max="7938" width="9.75" style="4" customWidth="1"/>
    <col min="7939" max="7939" width="10.5" style="4" customWidth="1"/>
    <col min="7940" max="7948" width="8.75" style="4" customWidth="1"/>
    <col min="7949" max="7949" width="11.875" style="4" customWidth="1"/>
    <col min="7950" max="7950" width="14.25" style="4" customWidth="1"/>
    <col min="7951" max="7951" width="8.75" style="4" customWidth="1"/>
    <col min="7952" max="7952" width="5.25" style="4" customWidth="1"/>
    <col min="7953" max="7953" width="8.75" style="4" customWidth="1"/>
    <col min="7954" max="7954" width="12.25" style="4" customWidth="1"/>
    <col min="7955" max="7955" width="10.25" style="4" customWidth="1"/>
    <col min="7956" max="7957" width="15.5" style="4" customWidth="1"/>
    <col min="7958" max="7958" width="13" style="4" customWidth="1"/>
    <col min="7959" max="7959" width="8.625" style="4" customWidth="1"/>
    <col min="7960" max="7960" width="8" style="4" customWidth="1"/>
    <col min="7961" max="7961" width="14" style="4" customWidth="1"/>
    <col min="7962" max="7971" width="10.5" style="4" customWidth="1"/>
    <col min="7972" max="7972" width="1.125" style="4" customWidth="1"/>
    <col min="7973" max="7974" width="1.25" style="4" customWidth="1"/>
    <col min="7975" max="7975" width="7.625" style="4" customWidth="1"/>
    <col min="7976" max="7976" width="7" style="4" customWidth="1"/>
    <col min="7977" max="7978" width="7.625" style="4" customWidth="1"/>
    <col min="7979" max="7979" width="8" style="4" customWidth="1"/>
    <col min="7980" max="7981" width="7.625" style="4" customWidth="1"/>
    <col min="7982" max="7982" width="9.125" style="4" customWidth="1"/>
    <col min="7983" max="7983" width="2.375" style="4" customWidth="1"/>
    <col min="7984" max="7984" width="6.375" style="4" customWidth="1"/>
    <col min="7985" max="7985" width="3.625" style="4" customWidth="1"/>
    <col min="7986" max="7986" width="14.5" style="4" customWidth="1"/>
    <col min="7987" max="7987" width="5.875" style="4" customWidth="1"/>
    <col min="7988" max="7988" width="5" style="4" customWidth="1"/>
    <col min="7989" max="7989" width="11" style="4" customWidth="1"/>
    <col min="7990" max="8192" width="9" style="4"/>
    <col min="8193" max="8193" width="8.875" style="4" customWidth="1"/>
    <col min="8194" max="8194" width="9.75" style="4" customWidth="1"/>
    <col min="8195" max="8195" width="10.5" style="4" customWidth="1"/>
    <col min="8196" max="8204" width="8.75" style="4" customWidth="1"/>
    <col min="8205" max="8205" width="11.875" style="4" customWidth="1"/>
    <col min="8206" max="8206" width="14.25" style="4" customWidth="1"/>
    <col min="8207" max="8207" width="8.75" style="4" customWidth="1"/>
    <col min="8208" max="8208" width="5.25" style="4" customWidth="1"/>
    <col min="8209" max="8209" width="8.75" style="4" customWidth="1"/>
    <col min="8210" max="8210" width="12.25" style="4" customWidth="1"/>
    <col min="8211" max="8211" width="10.25" style="4" customWidth="1"/>
    <col min="8212" max="8213" width="15.5" style="4" customWidth="1"/>
    <col min="8214" max="8214" width="13" style="4" customWidth="1"/>
    <col min="8215" max="8215" width="8.625" style="4" customWidth="1"/>
    <col min="8216" max="8216" width="8" style="4" customWidth="1"/>
    <col min="8217" max="8217" width="14" style="4" customWidth="1"/>
    <col min="8218" max="8227" width="10.5" style="4" customWidth="1"/>
    <col min="8228" max="8228" width="1.125" style="4" customWidth="1"/>
    <col min="8229" max="8230" width="1.25" style="4" customWidth="1"/>
    <col min="8231" max="8231" width="7.625" style="4" customWidth="1"/>
    <col min="8232" max="8232" width="7" style="4" customWidth="1"/>
    <col min="8233" max="8234" width="7.625" style="4" customWidth="1"/>
    <col min="8235" max="8235" width="8" style="4" customWidth="1"/>
    <col min="8236" max="8237" width="7.625" style="4" customWidth="1"/>
    <col min="8238" max="8238" width="9.125" style="4" customWidth="1"/>
    <col min="8239" max="8239" width="2.375" style="4" customWidth="1"/>
    <col min="8240" max="8240" width="6.375" style="4" customWidth="1"/>
    <col min="8241" max="8241" width="3.625" style="4" customWidth="1"/>
    <col min="8242" max="8242" width="14.5" style="4" customWidth="1"/>
    <col min="8243" max="8243" width="5.875" style="4" customWidth="1"/>
    <col min="8244" max="8244" width="5" style="4" customWidth="1"/>
    <col min="8245" max="8245" width="11" style="4" customWidth="1"/>
    <col min="8246" max="8448" width="9" style="4"/>
    <col min="8449" max="8449" width="8.875" style="4" customWidth="1"/>
    <col min="8450" max="8450" width="9.75" style="4" customWidth="1"/>
    <col min="8451" max="8451" width="10.5" style="4" customWidth="1"/>
    <col min="8452" max="8460" width="8.75" style="4" customWidth="1"/>
    <col min="8461" max="8461" width="11.875" style="4" customWidth="1"/>
    <col min="8462" max="8462" width="14.25" style="4" customWidth="1"/>
    <col min="8463" max="8463" width="8.75" style="4" customWidth="1"/>
    <col min="8464" max="8464" width="5.25" style="4" customWidth="1"/>
    <col min="8465" max="8465" width="8.75" style="4" customWidth="1"/>
    <col min="8466" max="8466" width="12.25" style="4" customWidth="1"/>
    <col min="8467" max="8467" width="10.25" style="4" customWidth="1"/>
    <col min="8468" max="8469" width="15.5" style="4" customWidth="1"/>
    <col min="8470" max="8470" width="13" style="4" customWidth="1"/>
    <col min="8471" max="8471" width="8.625" style="4" customWidth="1"/>
    <col min="8472" max="8472" width="8" style="4" customWidth="1"/>
    <col min="8473" max="8473" width="14" style="4" customWidth="1"/>
    <col min="8474" max="8483" width="10.5" style="4" customWidth="1"/>
    <col min="8484" max="8484" width="1.125" style="4" customWidth="1"/>
    <col min="8485" max="8486" width="1.25" style="4" customWidth="1"/>
    <col min="8487" max="8487" width="7.625" style="4" customWidth="1"/>
    <col min="8488" max="8488" width="7" style="4" customWidth="1"/>
    <col min="8489" max="8490" width="7.625" style="4" customWidth="1"/>
    <col min="8491" max="8491" width="8" style="4" customWidth="1"/>
    <col min="8492" max="8493" width="7.625" style="4" customWidth="1"/>
    <col min="8494" max="8494" width="9.125" style="4" customWidth="1"/>
    <col min="8495" max="8495" width="2.375" style="4" customWidth="1"/>
    <col min="8496" max="8496" width="6.375" style="4" customWidth="1"/>
    <col min="8497" max="8497" width="3.625" style="4" customWidth="1"/>
    <col min="8498" max="8498" width="14.5" style="4" customWidth="1"/>
    <col min="8499" max="8499" width="5.875" style="4" customWidth="1"/>
    <col min="8500" max="8500" width="5" style="4" customWidth="1"/>
    <col min="8501" max="8501" width="11" style="4" customWidth="1"/>
    <col min="8502" max="8704" width="9" style="4"/>
    <col min="8705" max="8705" width="8.875" style="4" customWidth="1"/>
    <col min="8706" max="8706" width="9.75" style="4" customWidth="1"/>
    <col min="8707" max="8707" width="10.5" style="4" customWidth="1"/>
    <col min="8708" max="8716" width="8.75" style="4" customWidth="1"/>
    <col min="8717" max="8717" width="11.875" style="4" customWidth="1"/>
    <col min="8718" max="8718" width="14.25" style="4" customWidth="1"/>
    <col min="8719" max="8719" width="8.75" style="4" customWidth="1"/>
    <col min="8720" max="8720" width="5.25" style="4" customWidth="1"/>
    <col min="8721" max="8721" width="8.75" style="4" customWidth="1"/>
    <col min="8722" max="8722" width="12.25" style="4" customWidth="1"/>
    <col min="8723" max="8723" width="10.25" style="4" customWidth="1"/>
    <col min="8724" max="8725" width="15.5" style="4" customWidth="1"/>
    <col min="8726" max="8726" width="13" style="4" customWidth="1"/>
    <col min="8727" max="8727" width="8.625" style="4" customWidth="1"/>
    <col min="8728" max="8728" width="8" style="4" customWidth="1"/>
    <col min="8729" max="8729" width="14" style="4" customWidth="1"/>
    <col min="8730" max="8739" width="10.5" style="4" customWidth="1"/>
    <col min="8740" max="8740" width="1.125" style="4" customWidth="1"/>
    <col min="8741" max="8742" width="1.25" style="4" customWidth="1"/>
    <col min="8743" max="8743" width="7.625" style="4" customWidth="1"/>
    <col min="8744" max="8744" width="7" style="4" customWidth="1"/>
    <col min="8745" max="8746" width="7.625" style="4" customWidth="1"/>
    <col min="8747" max="8747" width="8" style="4" customWidth="1"/>
    <col min="8748" max="8749" width="7.625" style="4" customWidth="1"/>
    <col min="8750" max="8750" width="9.125" style="4" customWidth="1"/>
    <col min="8751" max="8751" width="2.375" style="4" customWidth="1"/>
    <col min="8752" max="8752" width="6.375" style="4" customWidth="1"/>
    <col min="8753" max="8753" width="3.625" style="4" customWidth="1"/>
    <col min="8754" max="8754" width="14.5" style="4" customWidth="1"/>
    <col min="8755" max="8755" width="5.875" style="4" customWidth="1"/>
    <col min="8756" max="8756" width="5" style="4" customWidth="1"/>
    <col min="8757" max="8757" width="11" style="4" customWidth="1"/>
    <col min="8758" max="8960" width="9" style="4"/>
    <col min="8961" max="8961" width="8.875" style="4" customWidth="1"/>
    <col min="8962" max="8962" width="9.75" style="4" customWidth="1"/>
    <col min="8963" max="8963" width="10.5" style="4" customWidth="1"/>
    <col min="8964" max="8972" width="8.75" style="4" customWidth="1"/>
    <col min="8973" max="8973" width="11.875" style="4" customWidth="1"/>
    <col min="8974" max="8974" width="14.25" style="4" customWidth="1"/>
    <col min="8975" max="8975" width="8.75" style="4" customWidth="1"/>
    <col min="8976" max="8976" width="5.25" style="4" customWidth="1"/>
    <col min="8977" max="8977" width="8.75" style="4" customWidth="1"/>
    <col min="8978" max="8978" width="12.25" style="4" customWidth="1"/>
    <col min="8979" max="8979" width="10.25" style="4" customWidth="1"/>
    <col min="8980" max="8981" width="15.5" style="4" customWidth="1"/>
    <col min="8982" max="8982" width="13" style="4" customWidth="1"/>
    <col min="8983" max="8983" width="8.625" style="4" customWidth="1"/>
    <col min="8984" max="8984" width="8" style="4" customWidth="1"/>
    <col min="8985" max="8985" width="14" style="4" customWidth="1"/>
    <col min="8986" max="8995" width="10.5" style="4" customWidth="1"/>
    <col min="8996" max="8996" width="1.125" style="4" customWidth="1"/>
    <col min="8997" max="8998" width="1.25" style="4" customWidth="1"/>
    <col min="8999" max="8999" width="7.625" style="4" customWidth="1"/>
    <col min="9000" max="9000" width="7" style="4" customWidth="1"/>
    <col min="9001" max="9002" width="7.625" style="4" customWidth="1"/>
    <col min="9003" max="9003" width="8" style="4" customWidth="1"/>
    <col min="9004" max="9005" width="7.625" style="4" customWidth="1"/>
    <col min="9006" max="9006" width="9.125" style="4" customWidth="1"/>
    <col min="9007" max="9007" width="2.375" style="4" customWidth="1"/>
    <col min="9008" max="9008" width="6.375" style="4" customWidth="1"/>
    <col min="9009" max="9009" width="3.625" style="4" customWidth="1"/>
    <col min="9010" max="9010" width="14.5" style="4" customWidth="1"/>
    <col min="9011" max="9011" width="5.875" style="4" customWidth="1"/>
    <col min="9012" max="9012" width="5" style="4" customWidth="1"/>
    <col min="9013" max="9013" width="11" style="4" customWidth="1"/>
    <col min="9014" max="9216" width="9" style="4"/>
    <col min="9217" max="9217" width="8.875" style="4" customWidth="1"/>
    <col min="9218" max="9218" width="9.75" style="4" customWidth="1"/>
    <col min="9219" max="9219" width="10.5" style="4" customWidth="1"/>
    <col min="9220" max="9228" width="8.75" style="4" customWidth="1"/>
    <col min="9229" max="9229" width="11.875" style="4" customWidth="1"/>
    <col min="9230" max="9230" width="14.25" style="4" customWidth="1"/>
    <col min="9231" max="9231" width="8.75" style="4" customWidth="1"/>
    <col min="9232" max="9232" width="5.25" style="4" customWidth="1"/>
    <col min="9233" max="9233" width="8.75" style="4" customWidth="1"/>
    <col min="9234" max="9234" width="12.25" style="4" customWidth="1"/>
    <col min="9235" max="9235" width="10.25" style="4" customWidth="1"/>
    <col min="9236" max="9237" width="15.5" style="4" customWidth="1"/>
    <col min="9238" max="9238" width="13" style="4" customWidth="1"/>
    <col min="9239" max="9239" width="8.625" style="4" customWidth="1"/>
    <col min="9240" max="9240" width="8" style="4" customWidth="1"/>
    <col min="9241" max="9241" width="14" style="4" customWidth="1"/>
    <col min="9242" max="9251" width="10.5" style="4" customWidth="1"/>
    <col min="9252" max="9252" width="1.125" style="4" customWidth="1"/>
    <col min="9253" max="9254" width="1.25" style="4" customWidth="1"/>
    <col min="9255" max="9255" width="7.625" style="4" customWidth="1"/>
    <col min="9256" max="9256" width="7" style="4" customWidth="1"/>
    <col min="9257" max="9258" width="7.625" style="4" customWidth="1"/>
    <col min="9259" max="9259" width="8" style="4" customWidth="1"/>
    <col min="9260" max="9261" width="7.625" style="4" customWidth="1"/>
    <col min="9262" max="9262" width="9.125" style="4" customWidth="1"/>
    <col min="9263" max="9263" width="2.375" style="4" customWidth="1"/>
    <col min="9264" max="9264" width="6.375" style="4" customWidth="1"/>
    <col min="9265" max="9265" width="3.625" style="4" customWidth="1"/>
    <col min="9266" max="9266" width="14.5" style="4" customWidth="1"/>
    <col min="9267" max="9267" width="5.875" style="4" customWidth="1"/>
    <col min="9268" max="9268" width="5" style="4" customWidth="1"/>
    <col min="9269" max="9269" width="11" style="4" customWidth="1"/>
    <col min="9270" max="9472" width="9" style="4"/>
    <col min="9473" max="9473" width="8.875" style="4" customWidth="1"/>
    <col min="9474" max="9474" width="9.75" style="4" customWidth="1"/>
    <col min="9475" max="9475" width="10.5" style="4" customWidth="1"/>
    <col min="9476" max="9484" width="8.75" style="4" customWidth="1"/>
    <col min="9485" max="9485" width="11.875" style="4" customWidth="1"/>
    <col min="9486" max="9486" width="14.25" style="4" customWidth="1"/>
    <col min="9487" max="9487" width="8.75" style="4" customWidth="1"/>
    <col min="9488" max="9488" width="5.25" style="4" customWidth="1"/>
    <col min="9489" max="9489" width="8.75" style="4" customWidth="1"/>
    <col min="9490" max="9490" width="12.25" style="4" customWidth="1"/>
    <col min="9491" max="9491" width="10.25" style="4" customWidth="1"/>
    <col min="9492" max="9493" width="15.5" style="4" customWidth="1"/>
    <col min="9494" max="9494" width="13" style="4" customWidth="1"/>
    <col min="9495" max="9495" width="8.625" style="4" customWidth="1"/>
    <col min="9496" max="9496" width="8" style="4" customWidth="1"/>
    <col min="9497" max="9497" width="14" style="4" customWidth="1"/>
    <col min="9498" max="9507" width="10.5" style="4" customWidth="1"/>
    <col min="9508" max="9508" width="1.125" style="4" customWidth="1"/>
    <col min="9509" max="9510" width="1.25" style="4" customWidth="1"/>
    <col min="9511" max="9511" width="7.625" style="4" customWidth="1"/>
    <col min="9512" max="9512" width="7" style="4" customWidth="1"/>
    <col min="9513" max="9514" width="7.625" style="4" customWidth="1"/>
    <col min="9515" max="9515" width="8" style="4" customWidth="1"/>
    <col min="9516" max="9517" width="7.625" style="4" customWidth="1"/>
    <col min="9518" max="9518" width="9.125" style="4" customWidth="1"/>
    <col min="9519" max="9519" width="2.375" style="4" customWidth="1"/>
    <col min="9520" max="9520" width="6.375" style="4" customWidth="1"/>
    <col min="9521" max="9521" width="3.625" style="4" customWidth="1"/>
    <col min="9522" max="9522" width="14.5" style="4" customWidth="1"/>
    <col min="9523" max="9523" width="5.875" style="4" customWidth="1"/>
    <col min="9524" max="9524" width="5" style="4" customWidth="1"/>
    <col min="9525" max="9525" width="11" style="4" customWidth="1"/>
    <col min="9526" max="9728" width="9" style="4"/>
    <col min="9729" max="9729" width="8.875" style="4" customWidth="1"/>
    <col min="9730" max="9730" width="9.75" style="4" customWidth="1"/>
    <col min="9731" max="9731" width="10.5" style="4" customWidth="1"/>
    <col min="9732" max="9740" width="8.75" style="4" customWidth="1"/>
    <col min="9741" max="9741" width="11.875" style="4" customWidth="1"/>
    <col min="9742" max="9742" width="14.25" style="4" customWidth="1"/>
    <col min="9743" max="9743" width="8.75" style="4" customWidth="1"/>
    <col min="9744" max="9744" width="5.25" style="4" customWidth="1"/>
    <col min="9745" max="9745" width="8.75" style="4" customWidth="1"/>
    <col min="9746" max="9746" width="12.25" style="4" customWidth="1"/>
    <col min="9747" max="9747" width="10.25" style="4" customWidth="1"/>
    <col min="9748" max="9749" width="15.5" style="4" customWidth="1"/>
    <col min="9750" max="9750" width="13" style="4" customWidth="1"/>
    <col min="9751" max="9751" width="8.625" style="4" customWidth="1"/>
    <col min="9752" max="9752" width="8" style="4" customWidth="1"/>
    <col min="9753" max="9753" width="14" style="4" customWidth="1"/>
    <col min="9754" max="9763" width="10.5" style="4" customWidth="1"/>
    <col min="9764" max="9764" width="1.125" style="4" customWidth="1"/>
    <col min="9765" max="9766" width="1.25" style="4" customWidth="1"/>
    <col min="9767" max="9767" width="7.625" style="4" customWidth="1"/>
    <col min="9768" max="9768" width="7" style="4" customWidth="1"/>
    <col min="9769" max="9770" width="7.625" style="4" customWidth="1"/>
    <col min="9771" max="9771" width="8" style="4" customWidth="1"/>
    <col min="9772" max="9773" width="7.625" style="4" customWidth="1"/>
    <col min="9774" max="9774" width="9.125" style="4" customWidth="1"/>
    <col min="9775" max="9775" width="2.375" style="4" customWidth="1"/>
    <col min="9776" max="9776" width="6.375" style="4" customWidth="1"/>
    <col min="9777" max="9777" width="3.625" style="4" customWidth="1"/>
    <col min="9778" max="9778" width="14.5" style="4" customWidth="1"/>
    <col min="9779" max="9779" width="5.875" style="4" customWidth="1"/>
    <col min="9780" max="9780" width="5" style="4" customWidth="1"/>
    <col min="9781" max="9781" width="11" style="4" customWidth="1"/>
    <col min="9782" max="9984" width="9" style="4"/>
    <col min="9985" max="9985" width="8.875" style="4" customWidth="1"/>
    <col min="9986" max="9986" width="9.75" style="4" customWidth="1"/>
    <col min="9987" max="9987" width="10.5" style="4" customWidth="1"/>
    <col min="9988" max="9996" width="8.75" style="4" customWidth="1"/>
    <col min="9997" max="9997" width="11.875" style="4" customWidth="1"/>
    <col min="9998" max="9998" width="14.25" style="4" customWidth="1"/>
    <col min="9999" max="9999" width="8.75" style="4" customWidth="1"/>
    <col min="10000" max="10000" width="5.25" style="4" customWidth="1"/>
    <col min="10001" max="10001" width="8.75" style="4" customWidth="1"/>
    <col min="10002" max="10002" width="12.25" style="4" customWidth="1"/>
    <col min="10003" max="10003" width="10.25" style="4" customWidth="1"/>
    <col min="10004" max="10005" width="15.5" style="4" customWidth="1"/>
    <col min="10006" max="10006" width="13" style="4" customWidth="1"/>
    <col min="10007" max="10007" width="8.625" style="4" customWidth="1"/>
    <col min="10008" max="10008" width="8" style="4" customWidth="1"/>
    <col min="10009" max="10009" width="14" style="4" customWidth="1"/>
    <col min="10010" max="10019" width="10.5" style="4" customWidth="1"/>
    <col min="10020" max="10020" width="1.125" style="4" customWidth="1"/>
    <col min="10021" max="10022" width="1.25" style="4" customWidth="1"/>
    <col min="10023" max="10023" width="7.625" style="4" customWidth="1"/>
    <col min="10024" max="10024" width="7" style="4" customWidth="1"/>
    <col min="10025" max="10026" width="7.625" style="4" customWidth="1"/>
    <col min="10027" max="10027" width="8" style="4" customWidth="1"/>
    <col min="10028" max="10029" width="7.625" style="4" customWidth="1"/>
    <col min="10030" max="10030" width="9.125" style="4" customWidth="1"/>
    <col min="10031" max="10031" width="2.375" style="4" customWidth="1"/>
    <col min="10032" max="10032" width="6.375" style="4" customWidth="1"/>
    <col min="10033" max="10033" width="3.625" style="4" customWidth="1"/>
    <col min="10034" max="10034" width="14.5" style="4" customWidth="1"/>
    <col min="10035" max="10035" width="5.875" style="4" customWidth="1"/>
    <col min="10036" max="10036" width="5" style="4" customWidth="1"/>
    <col min="10037" max="10037" width="11" style="4" customWidth="1"/>
    <col min="10038" max="10240" width="9" style="4"/>
    <col min="10241" max="10241" width="8.875" style="4" customWidth="1"/>
    <col min="10242" max="10242" width="9.75" style="4" customWidth="1"/>
    <col min="10243" max="10243" width="10.5" style="4" customWidth="1"/>
    <col min="10244" max="10252" width="8.75" style="4" customWidth="1"/>
    <col min="10253" max="10253" width="11.875" style="4" customWidth="1"/>
    <col min="10254" max="10254" width="14.25" style="4" customWidth="1"/>
    <col min="10255" max="10255" width="8.75" style="4" customWidth="1"/>
    <col min="10256" max="10256" width="5.25" style="4" customWidth="1"/>
    <col min="10257" max="10257" width="8.75" style="4" customWidth="1"/>
    <col min="10258" max="10258" width="12.25" style="4" customWidth="1"/>
    <col min="10259" max="10259" width="10.25" style="4" customWidth="1"/>
    <col min="10260" max="10261" width="15.5" style="4" customWidth="1"/>
    <col min="10262" max="10262" width="13" style="4" customWidth="1"/>
    <col min="10263" max="10263" width="8.625" style="4" customWidth="1"/>
    <col min="10264" max="10264" width="8" style="4" customWidth="1"/>
    <col min="10265" max="10265" width="14" style="4" customWidth="1"/>
    <col min="10266" max="10275" width="10.5" style="4" customWidth="1"/>
    <col min="10276" max="10276" width="1.125" style="4" customWidth="1"/>
    <col min="10277" max="10278" width="1.25" style="4" customWidth="1"/>
    <col min="10279" max="10279" width="7.625" style="4" customWidth="1"/>
    <col min="10280" max="10280" width="7" style="4" customWidth="1"/>
    <col min="10281" max="10282" width="7.625" style="4" customWidth="1"/>
    <col min="10283" max="10283" width="8" style="4" customWidth="1"/>
    <col min="10284" max="10285" width="7.625" style="4" customWidth="1"/>
    <col min="10286" max="10286" width="9.125" style="4" customWidth="1"/>
    <col min="10287" max="10287" width="2.375" style="4" customWidth="1"/>
    <col min="10288" max="10288" width="6.375" style="4" customWidth="1"/>
    <col min="10289" max="10289" width="3.625" style="4" customWidth="1"/>
    <col min="10290" max="10290" width="14.5" style="4" customWidth="1"/>
    <col min="10291" max="10291" width="5.875" style="4" customWidth="1"/>
    <col min="10292" max="10292" width="5" style="4" customWidth="1"/>
    <col min="10293" max="10293" width="11" style="4" customWidth="1"/>
    <col min="10294" max="10496" width="9" style="4"/>
    <col min="10497" max="10497" width="8.875" style="4" customWidth="1"/>
    <col min="10498" max="10498" width="9.75" style="4" customWidth="1"/>
    <col min="10499" max="10499" width="10.5" style="4" customWidth="1"/>
    <col min="10500" max="10508" width="8.75" style="4" customWidth="1"/>
    <col min="10509" max="10509" width="11.875" style="4" customWidth="1"/>
    <col min="10510" max="10510" width="14.25" style="4" customWidth="1"/>
    <col min="10511" max="10511" width="8.75" style="4" customWidth="1"/>
    <col min="10512" max="10512" width="5.25" style="4" customWidth="1"/>
    <col min="10513" max="10513" width="8.75" style="4" customWidth="1"/>
    <col min="10514" max="10514" width="12.25" style="4" customWidth="1"/>
    <col min="10515" max="10515" width="10.25" style="4" customWidth="1"/>
    <col min="10516" max="10517" width="15.5" style="4" customWidth="1"/>
    <col min="10518" max="10518" width="13" style="4" customWidth="1"/>
    <col min="10519" max="10519" width="8.625" style="4" customWidth="1"/>
    <col min="10520" max="10520" width="8" style="4" customWidth="1"/>
    <col min="10521" max="10521" width="14" style="4" customWidth="1"/>
    <col min="10522" max="10531" width="10.5" style="4" customWidth="1"/>
    <col min="10532" max="10532" width="1.125" style="4" customWidth="1"/>
    <col min="10533" max="10534" width="1.25" style="4" customWidth="1"/>
    <col min="10535" max="10535" width="7.625" style="4" customWidth="1"/>
    <col min="10536" max="10536" width="7" style="4" customWidth="1"/>
    <col min="10537" max="10538" width="7.625" style="4" customWidth="1"/>
    <col min="10539" max="10539" width="8" style="4" customWidth="1"/>
    <col min="10540" max="10541" width="7.625" style="4" customWidth="1"/>
    <col min="10542" max="10542" width="9.125" style="4" customWidth="1"/>
    <col min="10543" max="10543" width="2.375" style="4" customWidth="1"/>
    <col min="10544" max="10544" width="6.375" style="4" customWidth="1"/>
    <col min="10545" max="10545" width="3.625" style="4" customWidth="1"/>
    <col min="10546" max="10546" width="14.5" style="4" customWidth="1"/>
    <col min="10547" max="10547" width="5.875" style="4" customWidth="1"/>
    <col min="10548" max="10548" width="5" style="4" customWidth="1"/>
    <col min="10549" max="10549" width="11" style="4" customWidth="1"/>
    <col min="10550" max="10752" width="9" style="4"/>
    <col min="10753" max="10753" width="8.875" style="4" customWidth="1"/>
    <col min="10754" max="10754" width="9.75" style="4" customWidth="1"/>
    <col min="10755" max="10755" width="10.5" style="4" customWidth="1"/>
    <col min="10756" max="10764" width="8.75" style="4" customWidth="1"/>
    <col min="10765" max="10765" width="11.875" style="4" customWidth="1"/>
    <col min="10766" max="10766" width="14.25" style="4" customWidth="1"/>
    <col min="10767" max="10767" width="8.75" style="4" customWidth="1"/>
    <col min="10768" max="10768" width="5.25" style="4" customWidth="1"/>
    <col min="10769" max="10769" width="8.75" style="4" customWidth="1"/>
    <col min="10770" max="10770" width="12.25" style="4" customWidth="1"/>
    <col min="10771" max="10771" width="10.25" style="4" customWidth="1"/>
    <col min="10772" max="10773" width="15.5" style="4" customWidth="1"/>
    <col min="10774" max="10774" width="13" style="4" customWidth="1"/>
    <col min="10775" max="10775" width="8.625" style="4" customWidth="1"/>
    <col min="10776" max="10776" width="8" style="4" customWidth="1"/>
    <col min="10777" max="10777" width="14" style="4" customWidth="1"/>
    <col min="10778" max="10787" width="10.5" style="4" customWidth="1"/>
    <col min="10788" max="10788" width="1.125" style="4" customWidth="1"/>
    <col min="10789" max="10790" width="1.25" style="4" customWidth="1"/>
    <col min="10791" max="10791" width="7.625" style="4" customWidth="1"/>
    <col min="10792" max="10792" width="7" style="4" customWidth="1"/>
    <col min="10793" max="10794" width="7.625" style="4" customWidth="1"/>
    <col min="10795" max="10795" width="8" style="4" customWidth="1"/>
    <col min="10796" max="10797" width="7.625" style="4" customWidth="1"/>
    <col min="10798" max="10798" width="9.125" style="4" customWidth="1"/>
    <col min="10799" max="10799" width="2.375" style="4" customWidth="1"/>
    <col min="10800" max="10800" width="6.375" style="4" customWidth="1"/>
    <col min="10801" max="10801" width="3.625" style="4" customWidth="1"/>
    <col min="10802" max="10802" width="14.5" style="4" customWidth="1"/>
    <col min="10803" max="10803" width="5.875" style="4" customWidth="1"/>
    <col min="10804" max="10804" width="5" style="4" customWidth="1"/>
    <col min="10805" max="10805" width="11" style="4" customWidth="1"/>
    <col min="10806" max="11008" width="9" style="4"/>
    <col min="11009" max="11009" width="8.875" style="4" customWidth="1"/>
    <col min="11010" max="11010" width="9.75" style="4" customWidth="1"/>
    <col min="11011" max="11011" width="10.5" style="4" customWidth="1"/>
    <col min="11012" max="11020" width="8.75" style="4" customWidth="1"/>
    <col min="11021" max="11021" width="11.875" style="4" customWidth="1"/>
    <col min="11022" max="11022" width="14.25" style="4" customWidth="1"/>
    <col min="11023" max="11023" width="8.75" style="4" customWidth="1"/>
    <col min="11024" max="11024" width="5.25" style="4" customWidth="1"/>
    <col min="11025" max="11025" width="8.75" style="4" customWidth="1"/>
    <col min="11026" max="11026" width="12.25" style="4" customWidth="1"/>
    <col min="11027" max="11027" width="10.25" style="4" customWidth="1"/>
    <col min="11028" max="11029" width="15.5" style="4" customWidth="1"/>
    <col min="11030" max="11030" width="13" style="4" customWidth="1"/>
    <col min="11031" max="11031" width="8.625" style="4" customWidth="1"/>
    <col min="11032" max="11032" width="8" style="4" customWidth="1"/>
    <col min="11033" max="11033" width="14" style="4" customWidth="1"/>
    <col min="11034" max="11043" width="10.5" style="4" customWidth="1"/>
    <col min="11044" max="11044" width="1.125" style="4" customWidth="1"/>
    <col min="11045" max="11046" width="1.25" style="4" customWidth="1"/>
    <col min="11047" max="11047" width="7.625" style="4" customWidth="1"/>
    <col min="11048" max="11048" width="7" style="4" customWidth="1"/>
    <col min="11049" max="11050" width="7.625" style="4" customWidth="1"/>
    <col min="11051" max="11051" width="8" style="4" customWidth="1"/>
    <col min="11052" max="11053" width="7.625" style="4" customWidth="1"/>
    <col min="11054" max="11054" width="9.125" style="4" customWidth="1"/>
    <col min="11055" max="11055" width="2.375" style="4" customWidth="1"/>
    <col min="11056" max="11056" width="6.375" style="4" customWidth="1"/>
    <col min="11057" max="11057" width="3.625" style="4" customWidth="1"/>
    <col min="11058" max="11058" width="14.5" style="4" customWidth="1"/>
    <col min="11059" max="11059" width="5.875" style="4" customWidth="1"/>
    <col min="11060" max="11060" width="5" style="4" customWidth="1"/>
    <col min="11061" max="11061" width="11" style="4" customWidth="1"/>
    <col min="11062" max="11264" width="9" style="4"/>
    <col min="11265" max="11265" width="8.875" style="4" customWidth="1"/>
    <col min="11266" max="11266" width="9.75" style="4" customWidth="1"/>
    <col min="11267" max="11267" width="10.5" style="4" customWidth="1"/>
    <col min="11268" max="11276" width="8.75" style="4" customWidth="1"/>
    <col min="11277" max="11277" width="11.875" style="4" customWidth="1"/>
    <col min="11278" max="11278" width="14.25" style="4" customWidth="1"/>
    <col min="11279" max="11279" width="8.75" style="4" customWidth="1"/>
    <col min="11280" max="11280" width="5.25" style="4" customWidth="1"/>
    <col min="11281" max="11281" width="8.75" style="4" customWidth="1"/>
    <col min="11282" max="11282" width="12.25" style="4" customWidth="1"/>
    <col min="11283" max="11283" width="10.25" style="4" customWidth="1"/>
    <col min="11284" max="11285" width="15.5" style="4" customWidth="1"/>
    <col min="11286" max="11286" width="13" style="4" customWidth="1"/>
    <col min="11287" max="11287" width="8.625" style="4" customWidth="1"/>
    <col min="11288" max="11288" width="8" style="4" customWidth="1"/>
    <col min="11289" max="11289" width="14" style="4" customWidth="1"/>
    <col min="11290" max="11299" width="10.5" style="4" customWidth="1"/>
    <col min="11300" max="11300" width="1.125" style="4" customWidth="1"/>
    <col min="11301" max="11302" width="1.25" style="4" customWidth="1"/>
    <col min="11303" max="11303" width="7.625" style="4" customWidth="1"/>
    <col min="11304" max="11304" width="7" style="4" customWidth="1"/>
    <col min="11305" max="11306" width="7.625" style="4" customWidth="1"/>
    <col min="11307" max="11307" width="8" style="4" customWidth="1"/>
    <col min="11308" max="11309" width="7.625" style="4" customWidth="1"/>
    <col min="11310" max="11310" width="9.125" style="4" customWidth="1"/>
    <col min="11311" max="11311" width="2.375" style="4" customWidth="1"/>
    <col min="11312" max="11312" width="6.375" style="4" customWidth="1"/>
    <col min="11313" max="11313" width="3.625" style="4" customWidth="1"/>
    <col min="11314" max="11314" width="14.5" style="4" customWidth="1"/>
    <col min="11315" max="11315" width="5.875" style="4" customWidth="1"/>
    <col min="11316" max="11316" width="5" style="4" customWidth="1"/>
    <col min="11317" max="11317" width="11" style="4" customWidth="1"/>
    <col min="11318" max="11520" width="9" style="4"/>
    <col min="11521" max="11521" width="8.875" style="4" customWidth="1"/>
    <col min="11522" max="11522" width="9.75" style="4" customWidth="1"/>
    <col min="11523" max="11523" width="10.5" style="4" customWidth="1"/>
    <col min="11524" max="11532" width="8.75" style="4" customWidth="1"/>
    <col min="11533" max="11533" width="11.875" style="4" customWidth="1"/>
    <col min="11534" max="11534" width="14.25" style="4" customWidth="1"/>
    <col min="11535" max="11535" width="8.75" style="4" customWidth="1"/>
    <col min="11536" max="11536" width="5.25" style="4" customWidth="1"/>
    <col min="11537" max="11537" width="8.75" style="4" customWidth="1"/>
    <col min="11538" max="11538" width="12.25" style="4" customWidth="1"/>
    <col min="11539" max="11539" width="10.25" style="4" customWidth="1"/>
    <col min="11540" max="11541" width="15.5" style="4" customWidth="1"/>
    <col min="11542" max="11542" width="13" style="4" customWidth="1"/>
    <col min="11543" max="11543" width="8.625" style="4" customWidth="1"/>
    <col min="11544" max="11544" width="8" style="4" customWidth="1"/>
    <col min="11545" max="11545" width="14" style="4" customWidth="1"/>
    <col min="11546" max="11555" width="10.5" style="4" customWidth="1"/>
    <col min="11556" max="11556" width="1.125" style="4" customWidth="1"/>
    <col min="11557" max="11558" width="1.25" style="4" customWidth="1"/>
    <col min="11559" max="11559" width="7.625" style="4" customWidth="1"/>
    <col min="11560" max="11560" width="7" style="4" customWidth="1"/>
    <col min="11561" max="11562" width="7.625" style="4" customWidth="1"/>
    <col min="11563" max="11563" width="8" style="4" customWidth="1"/>
    <col min="11564" max="11565" width="7.625" style="4" customWidth="1"/>
    <col min="11566" max="11566" width="9.125" style="4" customWidth="1"/>
    <col min="11567" max="11567" width="2.375" style="4" customWidth="1"/>
    <col min="11568" max="11568" width="6.375" style="4" customWidth="1"/>
    <col min="11569" max="11569" width="3.625" style="4" customWidth="1"/>
    <col min="11570" max="11570" width="14.5" style="4" customWidth="1"/>
    <col min="11571" max="11571" width="5.875" style="4" customWidth="1"/>
    <col min="11572" max="11572" width="5" style="4" customWidth="1"/>
    <col min="11573" max="11573" width="11" style="4" customWidth="1"/>
    <col min="11574" max="11776" width="9" style="4"/>
    <col min="11777" max="11777" width="8.875" style="4" customWidth="1"/>
    <col min="11778" max="11778" width="9.75" style="4" customWidth="1"/>
    <col min="11779" max="11779" width="10.5" style="4" customWidth="1"/>
    <col min="11780" max="11788" width="8.75" style="4" customWidth="1"/>
    <col min="11789" max="11789" width="11.875" style="4" customWidth="1"/>
    <col min="11790" max="11790" width="14.25" style="4" customWidth="1"/>
    <col min="11791" max="11791" width="8.75" style="4" customWidth="1"/>
    <col min="11792" max="11792" width="5.25" style="4" customWidth="1"/>
    <col min="11793" max="11793" width="8.75" style="4" customWidth="1"/>
    <col min="11794" max="11794" width="12.25" style="4" customWidth="1"/>
    <col min="11795" max="11795" width="10.25" style="4" customWidth="1"/>
    <col min="11796" max="11797" width="15.5" style="4" customWidth="1"/>
    <col min="11798" max="11798" width="13" style="4" customWidth="1"/>
    <col min="11799" max="11799" width="8.625" style="4" customWidth="1"/>
    <col min="11800" max="11800" width="8" style="4" customWidth="1"/>
    <col min="11801" max="11801" width="14" style="4" customWidth="1"/>
    <col min="11802" max="11811" width="10.5" style="4" customWidth="1"/>
    <col min="11812" max="11812" width="1.125" style="4" customWidth="1"/>
    <col min="11813" max="11814" width="1.25" style="4" customWidth="1"/>
    <col min="11815" max="11815" width="7.625" style="4" customWidth="1"/>
    <col min="11816" max="11816" width="7" style="4" customWidth="1"/>
    <col min="11817" max="11818" width="7.625" style="4" customWidth="1"/>
    <col min="11819" max="11819" width="8" style="4" customWidth="1"/>
    <col min="11820" max="11821" width="7.625" style="4" customWidth="1"/>
    <col min="11822" max="11822" width="9.125" style="4" customWidth="1"/>
    <col min="11823" max="11823" width="2.375" style="4" customWidth="1"/>
    <col min="11824" max="11824" width="6.375" style="4" customWidth="1"/>
    <col min="11825" max="11825" width="3.625" style="4" customWidth="1"/>
    <col min="11826" max="11826" width="14.5" style="4" customWidth="1"/>
    <col min="11827" max="11827" width="5.875" style="4" customWidth="1"/>
    <col min="11828" max="11828" width="5" style="4" customWidth="1"/>
    <col min="11829" max="11829" width="11" style="4" customWidth="1"/>
    <col min="11830" max="12032" width="9" style="4"/>
    <col min="12033" max="12033" width="8.875" style="4" customWidth="1"/>
    <col min="12034" max="12034" width="9.75" style="4" customWidth="1"/>
    <col min="12035" max="12035" width="10.5" style="4" customWidth="1"/>
    <col min="12036" max="12044" width="8.75" style="4" customWidth="1"/>
    <col min="12045" max="12045" width="11.875" style="4" customWidth="1"/>
    <col min="12046" max="12046" width="14.25" style="4" customWidth="1"/>
    <col min="12047" max="12047" width="8.75" style="4" customWidth="1"/>
    <col min="12048" max="12048" width="5.25" style="4" customWidth="1"/>
    <col min="12049" max="12049" width="8.75" style="4" customWidth="1"/>
    <col min="12050" max="12050" width="12.25" style="4" customWidth="1"/>
    <col min="12051" max="12051" width="10.25" style="4" customWidth="1"/>
    <col min="12052" max="12053" width="15.5" style="4" customWidth="1"/>
    <col min="12054" max="12054" width="13" style="4" customWidth="1"/>
    <col min="12055" max="12055" width="8.625" style="4" customWidth="1"/>
    <col min="12056" max="12056" width="8" style="4" customWidth="1"/>
    <col min="12057" max="12057" width="14" style="4" customWidth="1"/>
    <col min="12058" max="12067" width="10.5" style="4" customWidth="1"/>
    <col min="12068" max="12068" width="1.125" style="4" customWidth="1"/>
    <col min="12069" max="12070" width="1.25" style="4" customWidth="1"/>
    <col min="12071" max="12071" width="7.625" style="4" customWidth="1"/>
    <col min="12072" max="12072" width="7" style="4" customWidth="1"/>
    <col min="12073" max="12074" width="7.625" style="4" customWidth="1"/>
    <col min="12075" max="12075" width="8" style="4" customWidth="1"/>
    <col min="12076" max="12077" width="7.625" style="4" customWidth="1"/>
    <col min="12078" max="12078" width="9.125" style="4" customWidth="1"/>
    <col min="12079" max="12079" width="2.375" style="4" customWidth="1"/>
    <col min="12080" max="12080" width="6.375" style="4" customWidth="1"/>
    <col min="12081" max="12081" width="3.625" style="4" customWidth="1"/>
    <col min="12082" max="12082" width="14.5" style="4" customWidth="1"/>
    <col min="12083" max="12083" width="5.875" style="4" customWidth="1"/>
    <col min="12084" max="12084" width="5" style="4" customWidth="1"/>
    <col min="12085" max="12085" width="11" style="4" customWidth="1"/>
    <col min="12086" max="12288" width="9" style="4"/>
    <col min="12289" max="12289" width="8.875" style="4" customWidth="1"/>
    <col min="12290" max="12290" width="9.75" style="4" customWidth="1"/>
    <col min="12291" max="12291" width="10.5" style="4" customWidth="1"/>
    <col min="12292" max="12300" width="8.75" style="4" customWidth="1"/>
    <col min="12301" max="12301" width="11.875" style="4" customWidth="1"/>
    <col min="12302" max="12302" width="14.25" style="4" customWidth="1"/>
    <col min="12303" max="12303" width="8.75" style="4" customWidth="1"/>
    <col min="12304" max="12304" width="5.25" style="4" customWidth="1"/>
    <col min="12305" max="12305" width="8.75" style="4" customWidth="1"/>
    <col min="12306" max="12306" width="12.25" style="4" customWidth="1"/>
    <col min="12307" max="12307" width="10.25" style="4" customWidth="1"/>
    <col min="12308" max="12309" width="15.5" style="4" customWidth="1"/>
    <col min="12310" max="12310" width="13" style="4" customWidth="1"/>
    <col min="12311" max="12311" width="8.625" style="4" customWidth="1"/>
    <col min="12312" max="12312" width="8" style="4" customWidth="1"/>
    <col min="12313" max="12313" width="14" style="4" customWidth="1"/>
    <col min="12314" max="12323" width="10.5" style="4" customWidth="1"/>
    <col min="12324" max="12324" width="1.125" style="4" customWidth="1"/>
    <col min="12325" max="12326" width="1.25" style="4" customWidth="1"/>
    <col min="12327" max="12327" width="7.625" style="4" customWidth="1"/>
    <col min="12328" max="12328" width="7" style="4" customWidth="1"/>
    <col min="12329" max="12330" width="7.625" style="4" customWidth="1"/>
    <col min="12331" max="12331" width="8" style="4" customWidth="1"/>
    <col min="12332" max="12333" width="7.625" style="4" customWidth="1"/>
    <col min="12334" max="12334" width="9.125" style="4" customWidth="1"/>
    <col min="12335" max="12335" width="2.375" style="4" customWidth="1"/>
    <col min="12336" max="12336" width="6.375" style="4" customWidth="1"/>
    <col min="12337" max="12337" width="3.625" style="4" customWidth="1"/>
    <col min="12338" max="12338" width="14.5" style="4" customWidth="1"/>
    <col min="12339" max="12339" width="5.875" style="4" customWidth="1"/>
    <col min="12340" max="12340" width="5" style="4" customWidth="1"/>
    <col min="12341" max="12341" width="11" style="4" customWidth="1"/>
    <col min="12342" max="12544" width="9" style="4"/>
    <col min="12545" max="12545" width="8.875" style="4" customWidth="1"/>
    <col min="12546" max="12546" width="9.75" style="4" customWidth="1"/>
    <col min="12547" max="12547" width="10.5" style="4" customWidth="1"/>
    <col min="12548" max="12556" width="8.75" style="4" customWidth="1"/>
    <col min="12557" max="12557" width="11.875" style="4" customWidth="1"/>
    <col min="12558" max="12558" width="14.25" style="4" customWidth="1"/>
    <col min="12559" max="12559" width="8.75" style="4" customWidth="1"/>
    <col min="12560" max="12560" width="5.25" style="4" customWidth="1"/>
    <col min="12561" max="12561" width="8.75" style="4" customWidth="1"/>
    <col min="12562" max="12562" width="12.25" style="4" customWidth="1"/>
    <col min="12563" max="12563" width="10.25" style="4" customWidth="1"/>
    <col min="12564" max="12565" width="15.5" style="4" customWidth="1"/>
    <col min="12566" max="12566" width="13" style="4" customWidth="1"/>
    <col min="12567" max="12567" width="8.625" style="4" customWidth="1"/>
    <col min="12568" max="12568" width="8" style="4" customWidth="1"/>
    <col min="12569" max="12569" width="14" style="4" customWidth="1"/>
    <col min="12570" max="12579" width="10.5" style="4" customWidth="1"/>
    <col min="12580" max="12580" width="1.125" style="4" customWidth="1"/>
    <col min="12581" max="12582" width="1.25" style="4" customWidth="1"/>
    <col min="12583" max="12583" width="7.625" style="4" customWidth="1"/>
    <col min="12584" max="12584" width="7" style="4" customWidth="1"/>
    <col min="12585" max="12586" width="7.625" style="4" customWidth="1"/>
    <col min="12587" max="12587" width="8" style="4" customWidth="1"/>
    <col min="12588" max="12589" width="7.625" style="4" customWidth="1"/>
    <col min="12590" max="12590" width="9.125" style="4" customWidth="1"/>
    <col min="12591" max="12591" width="2.375" style="4" customWidth="1"/>
    <col min="12592" max="12592" width="6.375" style="4" customWidth="1"/>
    <col min="12593" max="12593" width="3.625" style="4" customWidth="1"/>
    <col min="12594" max="12594" width="14.5" style="4" customWidth="1"/>
    <col min="12595" max="12595" width="5.875" style="4" customWidth="1"/>
    <col min="12596" max="12596" width="5" style="4" customWidth="1"/>
    <col min="12597" max="12597" width="11" style="4" customWidth="1"/>
    <col min="12598" max="12800" width="9" style="4"/>
    <col min="12801" max="12801" width="8.875" style="4" customWidth="1"/>
    <col min="12802" max="12802" width="9.75" style="4" customWidth="1"/>
    <col min="12803" max="12803" width="10.5" style="4" customWidth="1"/>
    <col min="12804" max="12812" width="8.75" style="4" customWidth="1"/>
    <col min="12813" max="12813" width="11.875" style="4" customWidth="1"/>
    <col min="12814" max="12814" width="14.25" style="4" customWidth="1"/>
    <col min="12815" max="12815" width="8.75" style="4" customWidth="1"/>
    <col min="12816" max="12816" width="5.25" style="4" customWidth="1"/>
    <col min="12817" max="12817" width="8.75" style="4" customWidth="1"/>
    <col min="12818" max="12818" width="12.25" style="4" customWidth="1"/>
    <col min="12819" max="12819" width="10.25" style="4" customWidth="1"/>
    <col min="12820" max="12821" width="15.5" style="4" customWidth="1"/>
    <col min="12822" max="12822" width="13" style="4" customWidth="1"/>
    <col min="12823" max="12823" width="8.625" style="4" customWidth="1"/>
    <col min="12824" max="12824" width="8" style="4" customWidth="1"/>
    <col min="12825" max="12825" width="14" style="4" customWidth="1"/>
    <col min="12826" max="12835" width="10.5" style="4" customWidth="1"/>
    <col min="12836" max="12836" width="1.125" style="4" customWidth="1"/>
    <col min="12837" max="12838" width="1.25" style="4" customWidth="1"/>
    <col min="12839" max="12839" width="7.625" style="4" customWidth="1"/>
    <col min="12840" max="12840" width="7" style="4" customWidth="1"/>
    <col min="12841" max="12842" width="7.625" style="4" customWidth="1"/>
    <col min="12843" max="12843" width="8" style="4" customWidth="1"/>
    <col min="12844" max="12845" width="7.625" style="4" customWidth="1"/>
    <col min="12846" max="12846" width="9.125" style="4" customWidth="1"/>
    <col min="12847" max="12847" width="2.375" style="4" customWidth="1"/>
    <col min="12848" max="12848" width="6.375" style="4" customWidth="1"/>
    <col min="12849" max="12849" width="3.625" style="4" customWidth="1"/>
    <col min="12850" max="12850" width="14.5" style="4" customWidth="1"/>
    <col min="12851" max="12851" width="5.875" style="4" customWidth="1"/>
    <col min="12852" max="12852" width="5" style="4" customWidth="1"/>
    <col min="12853" max="12853" width="11" style="4" customWidth="1"/>
    <col min="12854" max="13056" width="9" style="4"/>
    <col min="13057" max="13057" width="8.875" style="4" customWidth="1"/>
    <col min="13058" max="13058" width="9.75" style="4" customWidth="1"/>
    <col min="13059" max="13059" width="10.5" style="4" customWidth="1"/>
    <col min="13060" max="13068" width="8.75" style="4" customWidth="1"/>
    <col min="13069" max="13069" width="11.875" style="4" customWidth="1"/>
    <col min="13070" max="13070" width="14.25" style="4" customWidth="1"/>
    <col min="13071" max="13071" width="8.75" style="4" customWidth="1"/>
    <col min="13072" max="13072" width="5.25" style="4" customWidth="1"/>
    <col min="13073" max="13073" width="8.75" style="4" customWidth="1"/>
    <col min="13074" max="13074" width="12.25" style="4" customWidth="1"/>
    <col min="13075" max="13075" width="10.25" style="4" customWidth="1"/>
    <col min="13076" max="13077" width="15.5" style="4" customWidth="1"/>
    <col min="13078" max="13078" width="13" style="4" customWidth="1"/>
    <col min="13079" max="13079" width="8.625" style="4" customWidth="1"/>
    <col min="13080" max="13080" width="8" style="4" customWidth="1"/>
    <col min="13081" max="13081" width="14" style="4" customWidth="1"/>
    <col min="13082" max="13091" width="10.5" style="4" customWidth="1"/>
    <col min="13092" max="13092" width="1.125" style="4" customWidth="1"/>
    <col min="13093" max="13094" width="1.25" style="4" customWidth="1"/>
    <col min="13095" max="13095" width="7.625" style="4" customWidth="1"/>
    <col min="13096" max="13096" width="7" style="4" customWidth="1"/>
    <col min="13097" max="13098" width="7.625" style="4" customWidth="1"/>
    <col min="13099" max="13099" width="8" style="4" customWidth="1"/>
    <col min="13100" max="13101" width="7.625" style="4" customWidth="1"/>
    <col min="13102" max="13102" width="9.125" style="4" customWidth="1"/>
    <col min="13103" max="13103" width="2.375" style="4" customWidth="1"/>
    <col min="13104" max="13104" width="6.375" style="4" customWidth="1"/>
    <col min="13105" max="13105" width="3.625" style="4" customWidth="1"/>
    <col min="13106" max="13106" width="14.5" style="4" customWidth="1"/>
    <col min="13107" max="13107" width="5.875" style="4" customWidth="1"/>
    <col min="13108" max="13108" width="5" style="4" customWidth="1"/>
    <col min="13109" max="13109" width="11" style="4" customWidth="1"/>
    <col min="13110" max="13312" width="9" style="4"/>
    <col min="13313" max="13313" width="8.875" style="4" customWidth="1"/>
    <col min="13314" max="13314" width="9.75" style="4" customWidth="1"/>
    <col min="13315" max="13315" width="10.5" style="4" customWidth="1"/>
    <col min="13316" max="13324" width="8.75" style="4" customWidth="1"/>
    <col min="13325" max="13325" width="11.875" style="4" customWidth="1"/>
    <col min="13326" max="13326" width="14.25" style="4" customWidth="1"/>
    <col min="13327" max="13327" width="8.75" style="4" customWidth="1"/>
    <col min="13328" max="13328" width="5.25" style="4" customWidth="1"/>
    <col min="13329" max="13329" width="8.75" style="4" customWidth="1"/>
    <col min="13330" max="13330" width="12.25" style="4" customWidth="1"/>
    <col min="13331" max="13331" width="10.25" style="4" customWidth="1"/>
    <col min="13332" max="13333" width="15.5" style="4" customWidth="1"/>
    <col min="13334" max="13334" width="13" style="4" customWidth="1"/>
    <col min="13335" max="13335" width="8.625" style="4" customWidth="1"/>
    <col min="13336" max="13336" width="8" style="4" customWidth="1"/>
    <col min="13337" max="13337" width="14" style="4" customWidth="1"/>
    <col min="13338" max="13347" width="10.5" style="4" customWidth="1"/>
    <col min="13348" max="13348" width="1.125" style="4" customWidth="1"/>
    <col min="13349" max="13350" width="1.25" style="4" customWidth="1"/>
    <col min="13351" max="13351" width="7.625" style="4" customWidth="1"/>
    <col min="13352" max="13352" width="7" style="4" customWidth="1"/>
    <col min="13353" max="13354" width="7.625" style="4" customWidth="1"/>
    <col min="13355" max="13355" width="8" style="4" customWidth="1"/>
    <col min="13356" max="13357" width="7.625" style="4" customWidth="1"/>
    <col min="13358" max="13358" width="9.125" style="4" customWidth="1"/>
    <col min="13359" max="13359" width="2.375" style="4" customWidth="1"/>
    <col min="13360" max="13360" width="6.375" style="4" customWidth="1"/>
    <col min="13361" max="13361" width="3.625" style="4" customWidth="1"/>
    <col min="13362" max="13362" width="14.5" style="4" customWidth="1"/>
    <col min="13363" max="13363" width="5.875" style="4" customWidth="1"/>
    <col min="13364" max="13364" width="5" style="4" customWidth="1"/>
    <col min="13365" max="13365" width="11" style="4" customWidth="1"/>
    <col min="13366" max="13568" width="9" style="4"/>
    <col min="13569" max="13569" width="8.875" style="4" customWidth="1"/>
    <col min="13570" max="13570" width="9.75" style="4" customWidth="1"/>
    <col min="13571" max="13571" width="10.5" style="4" customWidth="1"/>
    <col min="13572" max="13580" width="8.75" style="4" customWidth="1"/>
    <col min="13581" max="13581" width="11.875" style="4" customWidth="1"/>
    <col min="13582" max="13582" width="14.25" style="4" customWidth="1"/>
    <col min="13583" max="13583" width="8.75" style="4" customWidth="1"/>
    <col min="13584" max="13584" width="5.25" style="4" customWidth="1"/>
    <col min="13585" max="13585" width="8.75" style="4" customWidth="1"/>
    <col min="13586" max="13586" width="12.25" style="4" customWidth="1"/>
    <col min="13587" max="13587" width="10.25" style="4" customWidth="1"/>
    <col min="13588" max="13589" width="15.5" style="4" customWidth="1"/>
    <col min="13590" max="13590" width="13" style="4" customWidth="1"/>
    <col min="13591" max="13591" width="8.625" style="4" customWidth="1"/>
    <col min="13592" max="13592" width="8" style="4" customWidth="1"/>
    <col min="13593" max="13593" width="14" style="4" customWidth="1"/>
    <col min="13594" max="13603" width="10.5" style="4" customWidth="1"/>
    <col min="13604" max="13604" width="1.125" style="4" customWidth="1"/>
    <col min="13605" max="13606" width="1.25" style="4" customWidth="1"/>
    <col min="13607" max="13607" width="7.625" style="4" customWidth="1"/>
    <col min="13608" max="13608" width="7" style="4" customWidth="1"/>
    <col min="13609" max="13610" width="7.625" style="4" customWidth="1"/>
    <col min="13611" max="13611" width="8" style="4" customWidth="1"/>
    <col min="13612" max="13613" width="7.625" style="4" customWidth="1"/>
    <col min="13614" max="13614" width="9.125" style="4" customWidth="1"/>
    <col min="13615" max="13615" width="2.375" style="4" customWidth="1"/>
    <col min="13616" max="13616" width="6.375" style="4" customWidth="1"/>
    <col min="13617" max="13617" width="3.625" style="4" customWidth="1"/>
    <col min="13618" max="13618" width="14.5" style="4" customWidth="1"/>
    <col min="13619" max="13619" width="5.875" style="4" customWidth="1"/>
    <col min="13620" max="13620" width="5" style="4" customWidth="1"/>
    <col min="13621" max="13621" width="11" style="4" customWidth="1"/>
    <col min="13622" max="13824" width="9" style="4"/>
    <col min="13825" max="13825" width="8.875" style="4" customWidth="1"/>
    <col min="13826" max="13826" width="9.75" style="4" customWidth="1"/>
    <col min="13827" max="13827" width="10.5" style="4" customWidth="1"/>
    <col min="13828" max="13836" width="8.75" style="4" customWidth="1"/>
    <col min="13837" max="13837" width="11.875" style="4" customWidth="1"/>
    <col min="13838" max="13838" width="14.25" style="4" customWidth="1"/>
    <col min="13839" max="13839" width="8.75" style="4" customWidth="1"/>
    <col min="13840" max="13840" width="5.25" style="4" customWidth="1"/>
    <col min="13841" max="13841" width="8.75" style="4" customWidth="1"/>
    <col min="13842" max="13842" width="12.25" style="4" customWidth="1"/>
    <col min="13843" max="13843" width="10.25" style="4" customWidth="1"/>
    <col min="13844" max="13845" width="15.5" style="4" customWidth="1"/>
    <col min="13846" max="13846" width="13" style="4" customWidth="1"/>
    <col min="13847" max="13847" width="8.625" style="4" customWidth="1"/>
    <col min="13848" max="13848" width="8" style="4" customWidth="1"/>
    <col min="13849" max="13849" width="14" style="4" customWidth="1"/>
    <col min="13850" max="13859" width="10.5" style="4" customWidth="1"/>
    <col min="13860" max="13860" width="1.125" style="4" customWidth="1"/>
    <col min="13861" max="13862" width="1.25" style="4" customWidth="1"/>
    <col min="13863" max="13863" width="7.625" style="4" customWidth="1"/>
    <col min="13864" max="13864" width="7" style="4" customWidth="1"/>
    <col min="13865" max="13866" width="7.625" style="4" customWidth="1"/>
    <col min="13867" max="13867" width="8" style="4" customWidth="1"/>
    <col min="13868" max="13869" width="7.625" style="4" customWidth="1"/>
    <col min="13870" max="13870" width="9.125" style="4" customWidth="1"/>
    <col min="13871" max="13871" width="2.375" style="4" customWidth="1"/>
    <col min="13872" max="13872" width="6.375" style="4" customWidth="1"/>
    <col min="13873" max="13873" width="3.625" style="4" customWidth="1"/>
    <col min="13874" max="13874" width="14.5" style="4" customWidth="1"/>
    <col min="13875" max="13875" width="5.875" style="4" customWidth="1"/>
    <col min="13876" max="13876" width="5" style="4" customWidth="1"/>
    <col min="13877" max="13877" width="11" style="4" customWidth="1"/>
    <col min="13878" max="14080" width="9" style="4"/>
    <col min="14081" max="14081" width="8.875" style="4" customWidth="1"/>
    <col min="14082" max="14082" width="9.75" style="4" customWidth="1"/>
    <col min="14083" max="14083" width="10.5" style="4" customWidth="1"/>
    <col min="14084" max="14092" width="8.75" style="4" customWidth="1"/>
    <col min="14093" max="14093" width="11.875" style="4" customWidth="1"/>
    <col min="14094" max="14094" width="14.25" style="4" customWidth="1"/>
    <col min="14095" max="14095" width="8.75" style="4" customWidth="1"/>
    <col min="14096" max="14096" width="5.25" style="4" customWidth="1"/>
    <col min="14097" max="14097" width="8.75" style="4" customWidth="1"/>
    <col min="14098" max="14098" width="12.25" style="4" customWidth="1"/>
    <col min="14099" max="14099" width="10.25" style="4" customWidth="1"/>
    <col min="14100" max="14101" width="15.5" style="4" customWidth="1"/>
    <col min="14102" max="14102" width="13" style="4" customWidth="1"/>
    <col min="14103" max="14103" width="8.625" style="4" customWidth="1"/>
    <col min="14104" max="14104" width="8" style="4" customWidth="1"/>
    <col min="14105" max="14105" width="14" style="4" customWidth="1"/>
    <col min="14106" max="14115" width="10.5" style="4" customWidth="1"/>
    <col min="14116" max="14116" width="1.125" style="4" customWidth="1"/>
    <col min="14117" max="14118" width="1.25" style="4" customWidth="1"/>
    <col min="14119" max="14119" width="7.625" style="4" customWidth="1"/>
    <col min="14120" max="14120" width="7" style="4" customWidth="1"/>
    <col min="14121" max="14122" width="7.625" style="4" customWidth="1"/>
    <col min="14123" max="14123" width="8" style="4" customWidth="1"/>
    <col min="14124" max="14125" width="7.625" style="4" customWidth="1"/>
    <col min="14126" max="14126" width="9.125" style="4" customWidth="1"/>
    <col min="14127" max="14127" width="2.375" style="4" customWidth="1"/>
    <col min="14128" max="14128" width="6.375" style="4" customWidth="1"/>
    <col min="14129" max="14129" width="3.625" style="4" customWidth="1"/>
    <col min="14130" max="14130" width="14.5" style="4" customWidth="1"/>
    <col min="14131" max="14131" width="5.875" style="4" customWidth="1"/>
    <col min="14132" max="14132" width="5" style="4" customWidth="1"/>
    <col min="14133" max="14133" width="11" style="4" customWidth="1"/>
    <col min="14134" max="14336" width="9" style="4"/>
    <col min="14337" max="14337" width="8.875" style="4" customWidth="1"/>
    <col min="14338" max="14338" width="9.75" style="4" customWidth="1"/>
    <col min="14339" max="14339" width="10.5" style="4" customWidth="1"/>
    <col min="14340" max="14348" width="8.75" style="4" customWidth="1"/>
    <col min="14349" max="14349" width="11.875" style="4" customWidth="1"/>
    <col min="14350" max="14350" width="14.25" style="4" customWidth="1"/>
    <col min="14351" max="14351" width="8.75" style="4" customWidth="1"/>
    <col min="14352" max="14352" width="5.25" style="4" customWidth="1"/>
    <col min="14353" max="14353" width="8.75" style="4" customWidth="1"/>
    <col min="14354" max="14354" width="12.25" style="4" customWidth="1"/>
    <col min="14355" max="14355" width="10.25" style="4" customWidth="1"/>
    <col min="14356" max="14357" width="15.5" style="4" customWidth="1"/>
    <col min="14358" max="14358" width="13" style="4" customWidth="1"/>
    <col min="14359" max="14359" width="8.625" style="4" customWidth="1"/>
    <col min="14360" max="14360" width="8" style="4" customWidth="1"/>
    <col min="14361" max="14361" width="14" style="4" customWidth="1"/>
    <col min="14362" max="14371" width="10.5" style="4" customWidth="1"/>
    <col min="14372" max="14372" width="1.125" style="4" customWidth="1"/>
    <col min="14373" max="14374" width="1.25" style="4" customWidth="1"/>
    <col min="14375" max="14375" width="7.625" style="4" customWidth="1"/>
    <col min="14376" max="14376" width="7" style="4" customWidth="1"/>
    <col min="14377" max="14378" width="7.625" style="4" customWidth="1"/>
    <col min="14379" max="14379" width="8" style="4" customWidth="1"/>
    <col min="14380" max="14381" width="7.625" style="4" customWidth="1"/>
    <col min="14382" max="14382" width="9.125" style="4" customWidth="1"/>
    <col min="14383" max="14383" width="2.375" style="4" customWidth="1"/>
    <col min="14384" max="14384" width="6.375" style="4" customWidth="1"/>
    <col min="14385" max="14385" width="3.625" style="4" customWidth="1"/>
    <col min="14386" max="14386" width="14.5" style="4" customWidth="1"/>
    <col min="14387" max="14387" width="5.875" style="4" customWidth="1"/>
    <col min="14388" max="14388" width="5" style="4" customWidth="1"/>
    <col min="14389" max="14389" width="11" style="4" customWidth="1"/>
    <col min="14390" max="14592" width="9" style="4"/>
    <col min="14593" max="14593" width="8.875" style="4" customWidth="1"/>
    <col min="14594" max="14594" width="9.75" style="4" customWidth="1"/>
    <col min="14595" max="14595" width="10.5" style="4" customWidth="1"/>
    <col min="14596" max="14604" width="8.75" style="4" customWidth="1"/>
    <col min="14605" max="14605" width="11.875" style="4" customWidth="1"/>
    <col min="14606" max="14606" width="14.25" style="4" customWidth="1"/>
    <col min="14607" max="14607" width="8.75" style="4" customWidth="1"/>
    <col min="14608" max="14608" width="5.25" style="4" customWidth="1"/>
    <col min="14609" max="14609" width="8.75" style="4" customWidth="1"/>
    <col min="14610" max="14610" width="12.25" style="4" customWidth="1"/>
    <col min="14611" max="14611" width="10.25" style="4" customWidth="1"/>
    <col min="14612" max="14613" width="15.5" style="4" customWidth="1"/>
    <col min="14614" max="14614" width="13" style="4" customWidth="1"/>
    <col min="14615" max="14615" width="8.625" style="4" customWidth="1"/>
    <col min="14616" max="14616" width="8" style="4" customWidth="1"/>
    <col min="14617" max="14617" width="14" style="4" customWidth="1"/>
    <col min="14618" max="14627" width="10.5" style="4" customWidth="1"/>
    <col min="14628" max="14628" width="1.125" style="4" customWidth="1"/>
    <col min="14629" max="14630" width="1.25" style="4" customWidth="1"/>
    <col min="14631" max="14631" width="7.625" style="4" customWidth="1"/>
    <col min="14632" max="14632" width="7" style="4" customWidth="1"/>
    <col min="14633" max="14634" width="7.625" style="4" customWidth="1"/>
    <col min="14635" max="14635" width="8" style="4" customWidth="1"/>
    <col min="14636" max="14637" width="7.625" style="4" customWidth="1"/>
    <col min="14638" max="14638" width="9.125" style="4" customWidth="1"/>
    <col min="14639" max="14639" width="2.375" style="4" customWidth="1"/>
    <col min="14640" max="14640" width="6.375" style="4" customWidth="1"/>
    <col min="14641" max="14641" width="3.625" style="4" customWidth="1"/>
    <col min="14642" max="14642" width="14.5" style="4" customWidth="1"/>
    <col min="14643" max="14643" width="5.875" style="4" customWidth="1"/>
    <col min="14644" max="14644" width="5" style="4" customWidth="1"/>
    <col min="14645" max="14645" width="11" style="4" customWidth="1"/>
    <col min="14646" max="14848" width="9" style="4"/>
    <col min="14849" max="14849" width="8.875" style="4" customWidth="1"/>
    <col min="14850" max="14850" width="9.75" style="4" customWidth="1"/>
    <col min="14851" max="14851" width="10.5" style="4" customWidth="1"/>
    <col min="14852" max="14860" width="8.75" style="4" customWidth="1"/>
    <col min="14861" max="14861" width="11.875" style="4" customWidth="1"/>
    <col min="14862" max="14862" width="14.25" style="4" customWidth="1"/>
    <col min="14863" max="14863" width="8.75" style="4" customWidth="1"/>
    <col min="14864" max="14864" width="5.25" style="4" customWidth="1"/>
    <col min="14865" max="14865" width="8.75" style="4" customWidth="1"/>
    <col min="14866" max="14866" width="12.25" style="4" customWidth="1"/>
    <col min="14867" max="14867" width="10.25" style="4" customWidth="1"/>
    <col min="14868" max="14869" width="15.5" style="4" customWidth="1"/>
    <col min="14870" max="14870" width="13" style="4" customWidth="1"/>
    <col min="14871" max="14871" width="8.625" style="4" customWidth="1"/>
    <col min="14872" max="14872" width="8" style="4" customWidth="1"/>
    <col min="14873" max="14873" width="14" style="4" customWidth="1"/>
    <col min="14874" max="14883" width="10.5" style="4" customWidth="1"/>
    <col min="14884" max="14884" width="1.125" style="4" customWidth="1"/>
    <col min="14885" max="14886" width="1.25" style="4" customWidth="1"/>
    <col min="14887" max="14887" width="7.625" style="4" customWidth="1"/>
    <col min="14888" max="14888" width="7" style="4" customWidth="1"/>
    <col min="14889" max="14890" width="7.625" style="4" customWidth="1"/>
    <col min="14891" max="14891" width="8" style="4" customWidth="1"/>
    <col min="14892" max="14893" width="7.625" style="4" customWidth="1"/>
    <col min="14894" max="14894" width="9.125" style="4" customWidth="1"/>
    <col min="14895" max="14895" width="2.375" style="4" customWidth="1"/>
    <col min="14896" max="14896" width="6.375" style="4" customWidth="1"/>
    <col min="14897" max="14897" width="3.625" style="4" customWidth="1"/>
    <col min="14898" max="14898" width="14.5" style="4" customWidth="1"/>
    <col min="14899" max="14899" width="5.875" style="4" customWidth="1"/>
    <col min="14900" max="14900" width="5" style="4" customWidth="1"/>
    <col min="14901" max="14901" width="11" style="4" customWidth="1"/>
    <col min="14902" max="15104" width="9" style="4"/>
    <col min="15105" max="15105" width="8.875" style="4" customWidth="1"/>
    <col min="15106" max="15106" width="9.75" style="4" customWidth="1"/>
    <col min="15107" max="15107" width="10.5" style="4" customWidth="1"/>
    <col min="15108" max="15116" width="8.75" style="4" customWidth="1"/>
    <col min="15117" max="15117" width="11.875" style="4" customWidth="1"/>
    <col min="15118" max="15118" width="14.25" style="4" customWidth="1"/>
    <col min="15119" max="15119" width="8.75" style="4" customWidth="1"/>
    <col min="15120" max="15120" width="5.25" style="4" customWidth="1"/>
    <col min="15121" max="15121" width="8.75" style="4" customWidth="1"/>
    <col min="15122" max="15122" width="12.25" style="4" customWidth="1"/>
    <col min="15123" max="15123" width="10.25" style="4" customWidth="1"/>
    <col min="15124" max="15125" width="15.5" style="4" customWidth="1"/>
    <col min="15126" max="15126" width="13" style="4" customWidth="1"/>
    <col min="15127" max="15127" width="8.625" style="4" customWidth="1"/>
    <col min="15128" max="15128" width="8" style="4" customWidth="1"/>
    <col min="15129" max="15129" width="14" style="4" customWidth="1"/>
    <col min="15130" max="15139" width="10.5" style="4" customWidth="1"/>
    <col min="15140" max="15140" width="1.125" style="4" customWidth="1"/>
    <col min="15141" max="15142" width="1.25" style="4" customWidth="1"/>
    <col min="15143" max="15143" width="7.625" style="4" customWidth="1"/>
    <col min="15144" max="15144" width="7" style="4" customWidth="1"/>
    <col min="15145" max="15146" width="7.625" style="4" customWidth="1"/>
    <col min="15147" max="15147" width="8" style="4" customWidth="1"/>
    <col min="15148" max="15149" width="7.625" style="4" customWidth="1"/>
    <col min="15150" max="15150" width="9.125" style="4" customWidth="1"/>
    <col min="15151" max="15151" width="2.375" style="4" customWidth="1"/>
    <col min="15152" max="15152" width="6.375" style="4" customWidth="1"/>
    <col min="15153" max="15153" width="3.625" style="4" customWidth="1"/>
    <col min="15154" max="15154" width="14.5" style="4" customWidth="1"/>
    <col min="15155" max="15155" width="5.875" style="4" customWidth="1"/>
    <col min="15156" max="15156" width="5" style="4" customWidth="1"/>
    <col min="15157" max="15157" width="11" style="4" customWidth="1"/>
    <col min="15158" max="15360" width="9" style="4"/>
    <col min="15361" max="15361" width="8.875" style="4" customWidth="1"/>
    <col min="15362" max="15362" width="9.75" style="4" customWidth="1"/>
    <col min="15363" max="15363" width="10.5" style="4" customWidth="1"/>
    <col min="15364" max="15372" width="8.75" style="4" customWidth="1"/>
    <col min="15373" max="15373" width="11.875" style="4" customWidth="1"/>
    <col min="15374" max="15374" width="14.25" style="4" customWidth="1"/>
    <col min="15375" max="15375" width="8.75" style="4" customWidth="1"/>
    <col min="15376" max="15376" width="5.25" style="4" customWidth="1"/>
    <col min="15377" max="15377" width="8.75" style="4" customWidth="1"/>
    <col min="15378" max="15378" width="12.25" style="4" customWidth="1"/>
    <col min="15379" max="15379" width="10.25" style="4" customWidth="1"/>
    <col min="15380" max="15381" width="15.5" style="4" customWidth="1"/>
    <col min="15382" max="15382" width="13" style="4" customWidth="1"/>
    <col min="15383" max="15383" width="8.625" style="4" customWidth="1"/>
    <col min="15384" max="15384" width="8" style="4" customWidth="1"/>
    <col min="15385" max="15385" width="14" style="4" customWidth="1"/>
    <col min="15386" max="15395" width="10.5" style="4" customWidth="1"/>
    <col min="15396" max="15396" width="1.125" style="4" customWidth="1"/>
    <col min="15397" max="15398" width="1.25" style="4" customWidth="1"/>
    <col min="15399" max="15399" width="7.625" style="4" customWidth="1"/>
    <col min="15400" max="15400" width="7" style="4" customWidth="1"/>
    <col min="15401" max="15402" width="7.625" style="4" customWidth="1"/>
    <col min="15403" max="15403" width="8" style="4" customWidth="1"/>
    <col min="15404" max="15405" width="7.625" style="4" customWidth="1"/>
    <col min="15406" max="15406" width="9.125" style="4" customWidth="1"/>
    <col min="15407" max="15407" width="2.375" style="4" customWidth="1"/>
    <col min="15408" max="15408" width="6.375" style="4" customWidth="1"/>
    <col min="15409" max="15409" width="3.625" style="4" customWidth="1"/>
    <col min="15410" max="15410" width="14.5" style="4" customWidth="1"/>
    <col min="15411" max="15411" width="5.875" style="4" customWidth="1"/>
    <col min="15412" max="15412" width="5" style="4" customWidth="1"/>
    <col min="15413" max="15413" width="11" style="4" customWidth="1"/>
    <col min="15414" max="15616" width="9" style="4"/>
    <col min="15617" max="15617" width="8.875" style="4" customWidth="1"/>
    <col min="15618" max="15618" width="9.75" style="4" customWidth="1"/>
    <col min="15619" max="15619" width="10.5" style="4" customWidth="1"/>
    <col min="15620" max="15628" width="8.75" style="4" customWidth="1"/>
    <col min="15629" max="15629" width="11.875" style="4" customWidth="1"/>
    <col min="15630" max="15630" width="14.25" style="4" customWidth="1"/>
    <col min="15631" max="15631" width="8.75" style="4" customWidth="1"/>
    <col min="15632" max="15632" width="5.25" style="4" customWidth="1"/>
    <col min="15633" max="15633" width="8.75" style="4" customWidth="1"/>
    <col min="15634" max="15634" width="12.25" style="4" customWidth="1"/>
    <col min="15635" max="15635" width="10.25" style="4" customWidth="1"/>
    <col min="15636" max="15637" width="15.5" style="4" customWidth="1"/>
    <col min="15638" max="15638" width="13" style="4" customWidth="1"/>
    <col min="15639" max="15639" width="8.625" style="4" customWidth="1"/>
    <col min="15640" max="15640" width="8" style="4" customWidth="1"/>
    <col min="15641" max="15641" width="14" style="4" customWidth="1"/>
    <col min="15642" max="15651" width="10.5" style="4" customWidth="1"/>
    <col min="15652" max="15652" width="1.125" style="4" customWidth="1"/>
    <col min="15653" max="15654" width="1.25" style="4" customWidth="1"/>
    <col min="15655" max="15655" width="7.625" style="4" customWidth="1"/>
    <col min="15656" max="15656" width="7" style="4" customWidth="1"/>
    <col min="15657" max="15658" width="7.625" style="4" customWidth="1"/>
    <col min="15659" max="15659" width="8" style="4" customWidth="1"/>
    <col min="15660" max="15661" width="7.625" style="4" customWidth="1"/>
    <col min="15662" max="15662" width="9.125" style="4" customWidth="1"/>
    <col min="15663" max="15663" width="2.375" style="4" customWidth="1"/>
    <col min="15664" max="15664" width="6.375" style="4" customWidth="1"/>
    <col min="15665" max="15665" width="3.625" style="4" customWidth="1"/>
    <col min="15666" max="15666" width="14.5" style="4" customWidth="1"/>
    <col min="15667" max="15667" width="5.875" style="4" customWidth="1"/>
    <col min="15668" max="15668" width="5" style="4" customWidth="1"/>
    <col min="15669" max="15669" width="11" style="4" customWidth="1"/>
    <col min="15670" max="15872" width="9" style="4"/>
    <col min="15873" max="15873" width="8.875" style="4" customWidth="1"/>
    <col min="15874" max="15874" width="9.75" style="4" customWidth="1"/>
    <col min="15875" max="15875" width="10.5" style="4" customWidth="1"/>
    <col min="15876" max="15884" width="8.75" style="4" customWidth="1"/>
    <col min="15885" max="15885" width="11.875" style="4" customWidth="1"/>
    <col min="15886" max="15886" width="14.25" style="4" customWidth="1"/>
    <col min="15887" max="15887" width="8.75" style="4" customWidth="1"/>
    <col min="15888" max="15888" width="5.25" style="4" customWidth="1"/>
    <col min="15889" max="15889" width="8.75" style="4" customWidth="1"/>
    <col min="15890" max="15890" width="12.25" style="4" customWidth="1"/>
    <col min="15891" max="15891" width="10.25" style="4" customWidth="1"/>
    <col min="15892" max="15893" width="15.5" style="4" customWidth="1"/>
    <col min="15894" max="15894" width="13" style="4" customWidth="1"/>
    <col min="15895" max="15895" width="8.625" style="4" customWidth="1"/>
    <col min="15896" max="15896" width="8" style="4" customWidth="1"/>
    <col min="15897" max="15897" width="14" style="4" customWidth="1"/>
    <col min="15898" max="15907" width="10.5" style="4" customWidth="1"/>
    <col min="15908" max="15908" width="1.125" style="4" customWidth="1"/>
    <col min="15909" max="15910" width="1.25" style="4" customWidth="1"/>
    <col min="15911" max="15911" width="7.625" style="4" customWidth="1"/>
    <col min="15912" max="15912" width="7" style="4" customWidth="1"/>
    <col min="15913" max="15914" width="7.625" style="4" customWidth="1"/>
    <col min="15915" max="15915" width="8" style="4" customWidth="1"/>
    <col min="15916" max="15917" width="7.625" style="4" customWidth="1"/>
    <col min="15918" max="15918" width="9.125" style="4" customWidth="1"/>
    <col min="15919" max="15919" width="2.375" style="4" customWidth="1"/>
    <col min="15920" max="15920" width="6.375" style="4" customWidth="1"/>
    <col min="15921" max="15921" width="3.625" style="4" customWidth="1"/>
    <col min="15922" max="15922" width="14.5" style="4" customWidth="1"/>
    <col min="15923" max="15923" width="5.875" style="4" customWidth="1"/>
    <col min="15924" max="15924" width="5" style="4" customWidth="1"/>
    <col min="15925" max="15925" width="11" style="4" customWidth="1"/>
    <col min="15926" max="16128" width="9" style="4"/>
    <col min="16129" max="16129" width="8.875" style="4" customWidth="1"/>
    <col min="16130" max="16130" width="9.75" style="4" customWidth="1"/>
    <col min="16131" max="16131" width="10.5" style="4" customWidth="1"/>
    <col min="16132" max="16140" width="8.75" style="4" customWidth="1"/>
    <col min="16141" max="16141" width="11.875" style="4" customWidth="1"/>
    <col min="16142" max="16142" width="14.25" style="4" customWidth="1"/>
    <col min="16143" max="16143" width="8.75" style="4" customWidth="1"/>
    <col min="16144" max="16144" width="5.25" style="4" customWidth="1"/>
    <col min="16145" max="16145" width="8.75" style="4" customWidth="1"/>
    <col min="16146" max="16146" width="12.25" style="4" customWidth="1"/>
    <col min="16147" max="16147" width="10.25" style="4" customWidth="1"/>
    <col min="16148" max="16149" width="15.5" style="4" customWidth="1"/>
    <col min="16150" max="16150" width="13" style="4" customWidth="1"/>
    <col min="16151" max="16151" width="8.625" style="4" customWidth="1"/>
    <col min="16152" max="16152" width="8" style="4" customWidth="1"/>
    <col min="16153" max="16153" width="14" style="4" customWidth="1"/>
    <col min="16154" max="16163" width="10.5" style="4" customWidth="1"/>
    <col min="16164" max="16164" width="1.125" style="4" customWidth="1"/>
    <col min="16165" max="16166" width="1.25" style="4" customWidth="1"/>
    <col min="16167" max="16167" width="7.625" style="4" customWidth="1"/>
    <col min="16168" max="16168" width="7" style="4" customWidth="1"/>
    <col min="16169" max="16170" width="7.625" style="4" customWidth="1"/>
    <col min="16171" max="16171" width="8" style="4" customWidth="1"/>
    <col min="16172" max="16173" width="7.625" style="4" customWidth="1"/>
    <col min="16174" max="16174" width="9.125" style="4" customWidth="1"/>
    <col min="16175" max="16175" width="2.375" style="4" customWidth="1"/>
    <col min="16176" max="16176" width="6.375" style="4" customWidth="1"/>
    <col min="16177" max="16177" width="3.625" style="4" customWidth="1"/>
    <col min="16178" max="16178" width="14.5" style="4" customWidth="1"/>
    <col min="16179" max="16179" width="5.875" style="4" customWidth="1"/>
    <col min="16180" max="16180" width="5" style="4" customWidth="1"/>
    <col min="16181" max="16181" width="11" style="4" customWidth="1"/>
    <col min="16182" max="16384" width="9" style="4"/>
  </cols>
  <sheetData>
    <row r="1" spans="1:54" ht="35.25" customHeight="1">
      <c r="A1" s="1"/>
      <c r="B1" s="2"/>
      <c r="C1" s="2"/>
      <c r="D1" s="2"/>
      <c r="E1" s="2"/>
      <c r="F1" s="2"/>
      <c r="G1" s="2"/>
      <c r="H1" s="2"/>
      <c r="I1" s="2"/>
      <c r="J1" s="2"/>
      <c r="K1" s="2"/>
      <c r="L1" s="2"/>
      <c r="M1" s="3"/>
      <c r="N1" s="337" t="s">
        <v>20</v>
      </c>
      <c r="O1" s="337"/>
      <c r="P1" s="337"/>
      <c r="Q1" s="337"/>
      <c r="R1" s="337"/>
      <c r="S1" s="337"/>
      <c r="T1" s="337"/>
      <c r="U1" s="337"/>
      <c r="V1" s="337"/>
      <c r="W1" s="337"/>
      <c r="X1" s="337"/>
      <c r="Y1" s="4" t="s">
        <v>151</v>
      </c>
      <c r="AL1" s="338" t="s">
        <v>21</v>
      </c>
      <c r="AM1" s="331"/>
      <c r="AN1" s="331"/>
      <c r="AO1" s="331" t="s">
        <v>22</v>
      </c>
      <c r="AP1" s="331"/>
      <c r="AQ1" s="331" t="s">
        <v>23</v>
      </c>
      <c r="AR1" s="331"/>
      <c r="AS1" s="331" t="s">
        <v>47</v>
      </c>
      <c r="AT1" s="331"/>
      <c r="AU1" s="332" t="s">
        <v>24</v>
      </c>
      <c r="AV1" s="333"/>
      <c r="AW1" s="333"/>
      <c r="AX1" s="333"/>
      <c r="AY1" s="333"/>
      <c r="AZ1" s="333"/>
      <c r="BA1" s="333"/>
      <c r="BB1" s="334"/>
    </row>
    <row r="2" spans="1:54" ht="27" customHeight="1">
      <c r="A2" s="5"/>
      <c r="B2" s="27" t="s">
        <v>333</v>
      </c>
      <c r="C2" s="22"/>
      <c r="M2" s="6"/>
      <c r="Y2" s="4" t="s">
        <v>2865</v>
      </c>
      <c r="AL2" s="309"/>
      <c r="AM2" s="293"/>
      <c r="AN2" s="293"/>
      <c r="AO2" s="293"/>
      <c r="AP2" s="293"/>
      <c r="AQ2" s="293"/>
      <c r="AR2" s="293"/>
      <c r="AS2" s="293"/>
      <c r="AT2" s="293"/>
      <c r="AU2" s="325" t="s">
        <v>370</v>
      </c>
      <c r="AV2" s="326"/>
      <c r="AW2" s="326"/>
      <c r="AX2" s="326"/>
      <c r="AY2" s="326"/>
      <c r="AZ2" s="326"/>
      <c r="BA2" s="326"/>
      <c r="BB2" s="327"/>
    </row>
    <row r="3" spans="1:54" ht="27" customHeight="1">
      <c r="A3" s="335" t="s">
        <v>25</v>
      </c>
      <c r="B3" s="318"/>
      <c r="C3" s="336" t="s">
        <v>373</v>
      </c>
      <c r="D3" s="336"/>
      <c r="E3" s="336"/>
      <c r="F3" s="336"/>
      <c r="G3" s="336"/>
      <c r="H3" s="336"/>
      <c r="I3" s="336"/>
      <c r="J3" s="336"/>
      <c r="K3" s="336"/>
      <c r="L3" s="336"/>
      <c r="M3" s="6"/>
      <c r="N3" s="4" t="s">
        <v>26</v>
      </c>
      <c r="O3" s="4" t="str">
        <f>+C3</f>
        <v>전북자치도 김제시 죽산면 죽산로126(구 새마을 금고)</v>
      </c>
      <c r="Z3" s="4" t="s">
        <v>39</v>
      </c>
      <c r="AL3" s="309"/>
      <c r="AM3" s="293"/>
      <c r="AN3" s="293"/>
      <c r="AO3" s="293"/>
      <c r="AP3" s="293"/>
      <c r="AQ3" s="293"/>
      <c r="AR3" s="293"/>
      <c r="AS3" s="293"/>
      <c r="AT3" s="293"/>
      <c r="AU3" s="328"/>
      <c r="AV3" s="329"/>
      <c r="AW3" s="329"/>
      <c r="AX3" s="329"/>
      <c r="AY3" s="329"/>
      <c r="AZ3" s="329"/>
      <c r="BA3" s="329"/>
      <c r="BB3" s="330"/>
    </row>
    <row r="4" spans="1:54" ht="21" customHeight="1">
      <c r="A4" s="335"/>
      <c r="B4" s="318"/>
      <c r="C4" s="336"/>
      <c r="D4" s="336"/>
      <c r="E4" s="336"/>
      <c r="F4" s="336"/>
      <c r="G4" s="336"/>
      <c r="H4" s="336"/>
      <c r="I4" s="336"/>
      <c r="J4" s="336"/>
      <c r="K4" s="336"/>
      <c r="L4" s="336"/>
      <c r="M4" s="6"/>
      <c r="N4" s="4" t="s">
        <v>355</v>
      </c>
      <c r="O4" s="4" t="str">
        <f>B10</f>
        <v>김제시 죽산면 죽산로126(구 새마을 금고)내·외부공사</v>
      </c>
      <c r="Z4" s="28" t="s">
        <v>40</v>
      </c>
      <c r="AL4" s="8"/>
      <c r="AM4" s="9" t="str">
        <f>B2</f>
        <v xml:space="preserve">   2026년도</v>
      </c>
      <c r="AN4" s="10"/>
      <c r="AO4" s="10"/>
      <c r="BB4" s="6"/>
    </row>
    <row r="5" spans="1:54" ht="21" customHeight="1">
      <c r="A5" s="8"/>
      <c r="M5" s="6"/>
      <c r="N5" s="4" t="s">
        <v>27</v>
      </c>
      <c r="O5" s="4" t="s">
        <v>347</v>
      </c>
      <c r="Z5" s="28" t="s">
        <v>152</v>
      </c>
      <c r="AL5" s="8"/>
      <c r="AO5" s="318" t="str">
        <f>B10</f>
        <v>김제시 죽산면 죽산로126(구 새마을 금고)내·외부공사</v>
      </c>
      <c r="AP5" s="318"/>
      <c r="AQ5" s="318"/>
      <c r="AR5" s="318"/>
      <c r="AS5" s="318"/>
      <c r="AT5" s="318"/>
      <c r="AU5" s="318"/>
      <c r="AV5" s="318"/>
      <c r="AW5" s="318"/>
      <c r="AX5" s="318"/>
      <c r="AY5" s="318"/>
      <c r="AZ5" s="318"/>
      <c r="BA5" s="318"/>
      <c r="BB5" s="6"/>
    </row>
    <row r="6" spans="1:54" ht="21" customHeight="1" thickBot="1">
      <c r="A6" s="8"/>
      <c r="M6" s="6"/>
      <c r="AL6" s="8"/>
      <c r="AO6" s="318"/>
      <c r="AP6" s="318"/>
      <c r="AQ6" s="318"/>
      <c r="AR6" s="318"/>
      <c r="AS6" s="318"/>
      <c r="AT6" s="318"/>
      <c r="AU6" s="318"/>
      <c r="AV6" s="318"/>
      <c r="AW6" s="318"/>
      <c r="AX6" s="318"/>
      <c r="AY6" s="318"/>
      <c r="AZ6" s="318"/>
      <c r="BA6" s="318"/>
      <c r="BB6" s="6"/>
    </row>
    <row r="7" spans="1:54" ht="21" customHeight="1" thickBot="1">
      <c r="A7" s="8"/>
      <c r="M7" s="6"/>
      <c r="N7" s="4" t="s">
        <v>357</v>
      </c>
      <c r="Y7" s="29" t="s">
        <v>48</v>
      </c>
      <c r="Z7" s="30">
        <v>4</v>
      </c>
      <c r="AA7" s="30">
        <f>Z7+3</f>
        <v>7</v>
      </c>
      <c r="AB7" s="30">
        <f t="shared" ref="AB7:AH7" si="0">AA7+3</f>
        <v>10</v>
      </c>
      <c r="AC7" s="30">
        <f t="shared" si="0"/>
        <v>13</v>
      </c>
      <c r="AD7" s="30">
        <f t="shared" si="0"/>
        <v>16</v>
      </c>
      <c r="AE7" s="30">
        <f t="shared" si="0"/>
        <v>19</v>
      </c>
      <c r="AF7" s="30">
        <f t="shared" si="0"/>
        <v>22</v>
      </c>
      <c r="AG7" s="30">
        <f t="shared" si="0"/>
        <v>25</v>
      </c>
      <c r="AH7" s="30">
        <f t="shared" si="0"/>
        <v>28</v>
      </c>
      <c r="AI7" s="31" t="s">
        <v>49</v>
      </c>
      <c r="AJ7" s="11"/>
      <c r="AK7" s="11"/>
      <c r="AL7" s="12"/>
      <c r="AQ7" s="319">
        <f>D13</f>
        <v>0</v>
      </c>
      <c r="AR7" s="319"/>
      <c r="AS7" s="319"/>
      <c r="AT7" s="319"/>
      <c r="AU7" s="319"/>
      <c r="AV7" s="319"/>
      <c r="AW7" s="319"/>
      <c r="AX7" s="319"/>
      <c r="AY7" s="319"/>
      <c r="BB7" s="6"/>
    </row>
    <row r="8" spans="1:54" ht="21" customHeight="1">
      <c r="A8" s="8"/>
      <c r="B8" s="13"/>
      <c r="C8" s="13"/>
      <c r="D8" s="13"/>
      <c r="E8" s="13"/>
      <c r="F8" s="13"/>
      <c r="G8" s="13"/>
      <c r="H8" s="13"/>
      <c r="I8" s="13"/>
      <c r="J8" s="13"/>
      <c r="K8" s="13"/>
      <c r="L8" s="13"/>
      <c r="M8" s="6"/>
      <c r="O8" s="320" t="s">
        <v>48</v>
      </c>
      <c r="P8" s="321"/>
      <c r="Q8" s="322" t="s">
        <v>50</v>
      </c>
      <c r="R8" s="323"/>
      <c r="S8" s="323"/>
      <c r="T8" s="323"/>
      <c r="U8" s="323"/>
      <c r="V8" s="323"/>
      <c r="W8" s="323"/>
      <c r="X8" s="324"/>
      <c r="Y8" s="32" t="s">
        <v>51</v>
      </c>
      <c r="Z8" s="7"/>
      <c r="AA8" s="7"/>
      <c r="AB8" s="7"/>
      <c r="AC8" s="7"/>
      <c r="AD8" s="7"/>
      <c r="AE8" s="7"/>
      <c r="AF8" s="7"/>
      <c r="AG8" s="7"/>
      <c r="AH8" s="7"/>
      <c r="AI8" s="33"/>
      <c r="AJ8" s="11"/>
      <c r="AK8" s="11"/>
      <c r="AL8" s="12"/>
      <c r="AM8" s="9" t="s">
        <v>28</v>
      </c>
      <c r="AN8" s="10"/>
      <c r="AO8" s="10"/>
      <c r="AX8" s="290"/>
      <c r="AY8" s="290"/>
      <c r="AZ8" s="290"/>
      <c r="BA8" s="290"/>
      <c r="BB8" s="6"/>
    </row>
    <row r="9" spans="1:54" ht="21" customHeight="1">
      <c r="A9" s="8"/>
      <c r="B9" s="13"/>
      <c r="C9" s="13"/>
      <c r="D9" s="13"/>
      <c r="E9" s="13"/>
      <c r="F9" s="13"/>
      <c r="G9" s="13"/>
      <c r="H9" s="13"/>
      <c r="I9" s="13"/>
      <c r="J9" s="13"/>
      <c r="K9" s="13"/>
      <c r="L9" s="13"/>
      <c r="M9" s="6"/>
      <c r="O9" s="310" t="s">
        <v>137</v>
      </c>
      <c r="P9" s="311"/>
      <c r="Q9" s="312" t="str">
        <f>O5</f>
        <v>시설 환경개선을 위한 리모델링</v>
      </c>
      <c r="R9" s="313"/>
      <c r="S9" s="313"/>
      <c r="T9" s="313"/>
      <c r="U9" s="313"/>
      <c r="V9" s="313"/>
      <c r="W9" s="313"/>
      <c r="X9" s="34"/>
      <c r="Y9" s="32" t="s">
        <v>52</v>
      </c>
      <c r="Z9" s="7"/>
      <c r="AA9" s="7"/>
      <c r="AB9" s="7"/>
      <c r="AC9" s="7"/>
      <c r="AD9" s="7"/>
      <c r="AE9" s="7"/>
      <c r="AF9" s="7"/>
      <c r="AG9" s="35"/>
      <c r="AH9" s="35"/>
      <c r="AI9" s="36"/>
      <c r="AL9" s="8"/>
      <c r="AP9" s="4" t="str">
        <f>C3</f>
        <v>전북자치도 김제시 죽산면 죽산로126(구 새마을 금고)</v>
      </c>
      <c r="BB9" s="6"/>
    </row>
    <row r="10" spans="1:54" ht="21" customHeight="1">
      <c r="A10" s="8"/>
      <c r="B10" s="315" t="s">
        <v>371</v>
      </c>
      <c r="C10" s="315"/>
      <c r="D10" s="315"/>
      <c r="E10" s="315"/>
      <c r="F10" s="315"/>
      <c r="G10" s="315"/>
      <c r="H10" s="315"/>
      <c r="I10" s="315"/>
      <c r="J10" s="315"/>
      <c r="K10" s="315"/>
      <c r="L10" s="315"/>
      <c r="M10" s="6"/>
      <c r="O10" s="310"/>
      <c r="P10" s="311"/>
      <c r="Q10" s="312"/>
      <c r="R10" s="313"/>
      <c r="S10" s="313"/>
      <c r="T10" s="313"/>
      <c r="U10" s="313"/>
      <c r="V10" s="313"/>
      <c r="W10" s="313"/>
      <c r="X10" s="34"/>
      <c r="Y10" s="32" t="s">
        <v>53</v>
      </c>
      <c r="Z10" s="35"/>
      <c r="AA10" s="35"/>
      <c r="AB10" s="7"/>
      <c r="AC10" s="7"/>
      <c r="AD10" s="7"/>
      <c r="AE10" s="7"/>
      <c r="AF10" s="35"/>
      <c r="AG10" s="35"/>
      <c r="AH10" s="35"/>
      <c r="AI10" s="36"/>
      <c r="AL10" s="8"/>
      <c r="AM10" s="9" t="s">
        <v>356</v>
      </c>
      <c r="AN10" s="10"/>
      <c r="AO10" s="10"/>
      <c r="AP10" s="317"/>
      <c r="AQ10" s="317"/>
      <c r="AR10" s="306"/>
      <c r="AS10" s="306"/>
      <c r="AT10" s="306"/>
      <c r="AU10" s="306"/>
      <c r="AV10" s="306"/>
      <c r="AW10" s="306"/>
      <c r="AX10" s="306"/>
      <c r="AY10" s="306"/>
      <c r="AZ10" s="306"/>
      <c r="BA10" s="306"/>
      <c r="BB10" s="6"/>
    </row>
    <row r="11" spans="1:54" ht="21" customHeight="1">
      <c r="A11" s="8"/>
      <c r="B11" s="316"/>
      <c r="C11" s="316"/>
      <c r="D11" s="316"/>
      <c r="E11" s="316"/>
      <c r="F11" s="316"/>
      <c r="G11" s="316"/>
      <c r="H11" s="316"/>
      <c r="I11" s="316"/>
      <c r="J11" s="316"/>
      <c r="K11" s="316"/>
      <c r="L11" s="316"/>
      <c r="M11" s="6"/>
      <c r="O11" s="310"/>
      <c r="P11" s="311"/>
      <c r="Q11" s="312"/>
      <c r="R11" s="313"/>
      <c r="S11" s="313"/>
      <c r="T11" s="313"/>
      <c r="U11" s="313"/>
      <c r="V11" s="313"/>
      <c r="W11" s="313"/>
      <c r="X11" s="34"/>
      <c r="Y11" s="32" t="s">
        <v>54</v>
      </c>
      <c r="Z11" s="35"/>
      <c r="AA11" s="35"/>
      <c r="AB11" s="7"/>
      <c r="AC11" s="7"/>
      <c r="AD11" s="7"/>
      <c r="AE11" s="7"/>
      <c r="AF11" s="35"/>
      <c r="AG11" s="35"/>
      <c r="AH11" s="35"/>
      <c r="AI11" s="36"/>
      <c r="AL11" s="8"/>
      <c r="AM11" s="15"/>
      <c r="AN11" s="16"/>
      <c r="AO11" s="16"/>
      <c r="AP11" s="305" t="str">
        <f t="shared" ref="AP11" si="1">O9</f>
        <v>내부개선공사</v>
      </c>
      <c r="AQ11" s="305"/>
      <c r="AR11" s="306" t="str">
        <f t="shared" ref="AR11" si="2">Q9</f>
        <v>시설 환경개선을 위한 리모델링</v>
      </c>
      <c r="AS11" s="306"/>
      <c r="AT11" s="306"/>
      <c r="AU11" s="306"/>
      <c r="AV11" s="306"/>
      <c r="AW11" s="306"/>
      <c r="AX11" s="306"/>
      <c r="AY11" s="306"/>
      <c r="AZ11" s="306"/>
      <c r="BA11" s="306"/>
      <c r="BB11" s="6"/>
    </row>
    <row r="12" spans="1:54" ht="21" customHeight="1">
      <c r="A12" s="8"/>
      <c r="M12" s="6"/>
      <c r="O12" s="310"/>
      <c r="P12" s="311"/>
      <c r="Q12" s="312"/>
      <c r="R12" s="313"/>
      <c r="S12" s="313"/>
      <c r="T12" s="313"/>
      <c r="U12" s="313"/>
      <c r="V12" s="313"/>
      <c r="W12" s="313"/>
      <c r="X12" s="34"/>
      <c r="Y12" s="32" t="s">
        <v>55</v>
      </c>
      <c r="Z12" s="35"/>
      <c r="AA12" s="35"/>
      <c r="AB12" s="7"/>
      <c r="AC12" s="7"/>
      <c r="AD12" s="7"/>
      <c r="AE12" s="7"/>
      <c r="AF12" s="7"/>
      <c r="AG12" s="35"/>
      <c r="AH12" s="35"/>
      <c r="AI12" s="36"/>
      <c r="AL12" s="8"/>
      <c r="AP12" s="305">
        <f t="shared" ref="AP12:AP16" si="3">O10</f>
        <v>0</v>
      </c>
      <c r="AQ12" s="305"/>
      <c r="AR12" s="306">
        <f t="shared" ref="AR12:AR16" si="4">Q10</f>
        <v>0</v>
      </c>
      <c r="AS12" s="306"/>
      <c r="AT12" s="306"/>
      <c r="AU12" s="306"/>
      <c r="AV12" s="306"/>
      <c r="AW12" s="306"/>
      <c r="AX12" s="306"/>
      <c r="AY12" s="306"/>
      <c r="AZ12" s="306"/>
      <c r="BA12" s="306"/>
      <c r="BB12" s="6"/>
    </row>
    <row r="13" spans="1:54" ht="21" customHeight="1">
      <c r="A13" s="8"/>
      <c r="D13" s="17"/>
      <c r="E13" s="17"/>
      <c r="F13" s="17"/>
      <c r="G13" s="17"/>
      <c r="H13" s="17"/>
      <c r="I13" s="17"/>
      <c r="M13" s="6"/>
      <c r="O13" s="310"/>
      <c r="P13" s="311"/>
      <c r="Q13" s="312"/>
      <c r="R13" s="313"/>
      <c r="S13" s="313"/>
      <c r="T13" s="313"/>
      <c r="U13" s="313"/>
      <c r="V13" s="37"/>
      <c r="W13" s="37"/>
      <c r="X13" s="34"/>
      <c r="Y13" s="32" t="s">
        <v>56</v>
      </c>
      <c r="Z13" s="35"/>
      <c r="AA13" s="35"/>
      <c r="AB13" s="7"/>
      <c r="AC13" s="7"/>
      <c r="AD13" s="7"/>
      <c r="AE13" s="7"/>
      <c r="AF13" s="35"/>
      <c r="AG13" s="35"/>
      <c r="AH13" s="35"/>
      <c r="AI13" s="36"/>
      <c r="AL13" s="8"/>
      <c r="AP13" s="305">
        <f t="shared" si="3"/>
        <v>0</v>
      </c>
      <c r="AQ13" s="305"/>
      <c r="AR13" s="306">
        <f t="shared" si="4"/>
        <v>0</v>
      </c>
      <c r="AS13" s="306"/>
      <c r="AT13" s="306"/>
      <c r="AU13" s="306"/>
      <c r="AV13" s="306"/>
      <c r="AW13" s="306"/>
      <c r="AX13" s="306"/>
      <c r="AY13" s="306"/>
      <c r="AZ13" s="306"/>
      <c r="BA13" s="306"/>
      <c r="BB13" s="6"/>
    </row>
    <row r="14" spans="1:54" ht="21" customHeight="1">
      <c r="A14" s="8"/>
      <c r="I14" s="67"/>
      <c r="M14" s="6"/>
      <c r="O14" s="310"/>
      <c r="P14" s="311"/>
      <c r="Q14" s="312"/>
      <c r="R14" s="313"/>
      <c r="S14" s="313"/>
      <c r="T14" s="313"/>
      <c r="U14" s="313"/>
      <c r="V14" s="37"/>
      <c r="W14" s="37"/>
      <c r="X14" s="34"/>
      <c r="Y14" s="32">
        <f>O15</f>
        <v>0</v>
      </c>
      <c r="Z14" s="35"/>
      <c r="AA14" s="35"/>
      <c r="AB14" s="7"/>
      <c r="AC14" s="7"/>
      <c r="AD14" s="7"/>
      <c r="AE14" s="7"/>
      <c r="AF14" s="35"/>
      <c r="AG14" s="35"/>
      <c r="AH14" s="35"/>
      <c r="AI14" s="36"/>
      <c r="AL14" s="8"/>
      <c r="AP14" s="305">
        <f t="shared" si="3"/>
        <v>0</v>
      </c>
      <c r="AQ14" s="305"/>
      <c r="AR14" s="306">
        <f t="shared" si="4"/>
        <v>0</v>
      </c>
      <c r="AS14" s="306"/>
      <c r="AT14" s="306"/>
      <c r="AU14" s="306"/>
      <c r="AV14" s="306"/>
      <c r="AW14" s="306"/>
      <c r="AX14" s="306"/>
      <c r="AY14" s="306"/>
      <c r="AZ14" s="306"/>
      <c r="BA14" s="306"/>
      <c r="BB14" s="6"/>
    </row>
    <row r="15" spans="1:54" ht="21" customHeight="1">
      <c r="A15" s="8"/>
      <c r="D15" s="314" t="s">
        <v>372</v>
      </c>
      <c r="E15" s="314"/>
      <c r="F15" s="314"/>
      <c r="G15" s="314"/>
      <c r="H15" s="314"/>
      <c r="I15" s="314"/>
      <c r="J15" s="67"/>
      <c r="M15" s="6"/>
      <c r="O15" s="310"/>
      <c r="P15" s="311"/>
      <c r="Q15" s="312"/>
      <c r="R15" s="313"/>
      <c r="S15" s="313"/>
      <c r="T15" s="313"/>
      <c r="U15" s="313"/>
      <c r="V15" s="37"/>
      <c r="W15" s="37"/>
      <c r="X15" s="34"/>
      <c r="Y15" s="32">
        <f>O16</f>
        <v>0</v>
      </c>
      <c r="Z15" s="35"/>
      <c r="AA15" s="35"/>
      <c r="AB15" s="35"/>
      <c r="AC15" s="35"/>
      <c r="AD15" s="35"/>
      <c r="AE15" s="35"/>
      <c r="AF15" s="35"/>
      <c r="AG15" s="35"/>
      <c r="AH15" s="35"/>
      <c r="AI15" s="36"/>
      <c r="AL15" s="8"/>
      <c r="AP15" s="305">
        <f t="shared" si="3"/>
        <v>0</v>
      </c>
      <c r="AQ15" s="305"/>
      <c r="AR15" s="306">
        <f t="shared" si="4"/>
        <v>0</v>
      </c>
      <c r="AS15" s="306"/>
      <c r="AT15" s="306"/>
      <c r="AU15" s="306"/>
      <c r="AV15" s="306"/>
      <c r="AW15" s="306"/>
      <c r="AX15" s="306"/>
      <c r="AY15" s="306"/>
      <c r="AZ15" s="306"/>
      <c r="BA15" s="306"/>
      <c r="BB15" s="6"/>
    </row>
    <row r="16" spans="1:54" ht="21" customHeight="1" thickBot="1">
      <c r="A16" s="8"/>
      <c r="H16" s="67"/>
      <c r="K16" s="67"/>
      <c r="M16" s="6"/>
      <c r="O16" s="301"/>
      <c r="P16" s="302"/>
      <c r="Q16" s="303"/>
      <c r="R16" s="304"/>
      <c r="S16" s="304"/>
      <c r="T16" s="304"/>
      <c r="U16" s="304"/>
      <c r="V16" s="38"/>
      <c r="W16" s="38"/>
      <c r="X16" s="39"/>
      <c r="Y16" s="32"/>
      <c r="Z16" s="35"/>
      <c r="AA16" s="35"/>
      <c r="AB16" s="35"/>
      <c r="AC16" s="35"/>
      <c r="AD16" s="35"/>
      <c r="AE16" s="35"/>
      <c r="AF16" s="35"/>
      <c r="AG16" s="35"/>
      <c r="AH16" s="35"/>
      <c r="AI16" s="36"/>
      <c r="AL16" s="8"/>
      <c r="AP16" s="305">
        <f t="shared" si="3"/>
        <v>0</v>
      </c>
      <c r="AQ16" s="305"/>
      <c r="AR16" s="306">
        <f t="shared" si="4"/>
        <v>0</v>
      </c>
      <c r="AS16" s="306"/>
      <c r="AT16" s="306"/>
      <c r="AU16" s="306"/>
      <c r="AV16" s="306"/>
      <c r="AW16" s="306"/>
      <c r="AX16" s="306"/>
      <c r="AY16" s="306"/>
      <c r="AZ16" s="306"/>
      <c r="BA16" s="306"/>
      <c r="BB16" s="6"/>
    </row>
    <row r="17" spans="1:54" ht="21" customHeight="1" thickBot="1">
      <c r="A17" s="8"/>
      <c r="F17" s="67"/>
      <c r="G17" s="67"/>
      <c r="I17" s="67"/>
      <c r="M17" s="6"/>
      <c r="N17" s="4" t="s">
        <v>29</v>
      </c>
      <c r="O17" s="4" t="s">
        <v>30</v>
      </c>
      <c r="Q17" s="14"/>
      <c r="Y17" s="40"/>
      <c r="Z17" s="41"/>
      <c r="AA17" s="41"/>
      <c r="AB17" s="41"/>
      <c r="AC17" s="41"/>
      <c r="AD17" s="41"/>
      <c r="AE17" s="41"/>
      <c r="AF17" s="41"/>
      <c r="AG17" s="41"/>
      <c r="AH17" s="41"/>
      <c r="AI17" s="42"/>
      <c r="AL17" s="8"/>
      <c r="AM17" s="17"/>
      <c r="AP17" s="18"/>
      <c r="AQ17" s="14"/>
      <c r="AR17" s="19"/>
      <c r="AS17" s="19"/>
      <c r="AT17" s="20"/>
      <c r="AU17" s="20"/>
      <c r="AV17" s="20"/>
      <c r="AW17" s="307"/>
      <c r="AX17" s="307"/>
      <c r="AY17" s="21"/>
      <c r="BA17" s="21"/>
      <c r="BB17" s="6"/>
    </row>
    <row r="18" spans="1:54" ht="21" customHeight="1">
      <c r="A18" s="8"/>
      <c r="G18" s="67"/>
      <c r="M18" s="6"/>
      <c r="O18" s="308" t="s">
        <v>31</v>
      </c>
      <c r="P18" s="291"/>
      <c r="Q18" s="291" t="s">
        <v>32</v>
      </c>
      <c r="R18" s="291"/>
      <c r="S18" s="291" t="s">
        <v>33</v>
      </c>
      <c r="T18" s="291" t="s">
        <v>34</v>
      </c>
      <c r="U18" s="291"/>
      <c r="V18" s="291" t="s">
        <v>35</v>
      </c>
      <c r="W18" s="291" t="s">
        <v>36</v>
      </c>
      <c r="X18" s="292"/>
      <c r="Y18" s="4" t="s">
        <v>42</v>
      </c>
      <c r="Z18" s="4" t="s">
        <v>57</v>
      </c>
      <c r="AL18" s="8"/>
      <c r="AM18" s="17"/>
      <c r="AN18" s="10"/>
      <c r="AO18" s="295" t="s">
        <v>41</v>
      </c>
      <c r="AP18" s="295"/>
      <c r="AQ18" s="296" t="e">
        <f>"일금 "&amp;NUMBERSTRING(AW18,1)&amp;"-원정"</f>
        <v>#NUM!</v>
      </c>
      <c r="AR18" s="296"/>
      <c r="AS18" s="296"/>
      <c r="AT18" s="296"/>
      <c r="AU18" s="296"/>
      <c r="AV18" s="296"/>
      <c r="AW18" s="297">
        <f>AQ19+AQ21+AV19</f>
        <v>-23749</v>
      </c>
      <c r="AX18" s="297"/>
      <c r="AY18" s="297"/>
      <c r="AZ18" s="297"/>
      <c r="BA18" s="22"/>
      <c r="BB18" s="6"/>
    </row>
    <row r="19" spans="1:54" ht="21" customHeight="1">
      <c r="A19" s="8"/>
      <c r="M19" s="6"/>
      <c r="O19" s="309"/>
      <c r="P19" s="293"/>
      <c r="Q19" s="293"/>
      <c r="R19" s="293"/>
      <c r="S19" s="293"/>
      <c r="T19" s="7" t="s">
        <v>37</v>
      </c>
      <c r="U19" s="7" t="s">
        <v>38</v>
      </c>
      <c r="V19" s="293"/>
      <c r="W19" s="293"/>
      <c r="X19" s="294"/>
      <c r="Z19" s="4" t="s">
        <v>368</v>
      </c>
      <c r="AL19" s="8"/>
      <c r="AN19" s="22"/>
      <c r="AO19" s="288" t="s">
        <v>157</v>
      </c>
      <c r="AP19" s="288"/>
      <c r="AQ19" s="298">
        <f>원가!E32</f>
        <v>-21590</v>
      </c>
      <c r="AR19" s="298"/>
      <c r="AS19" s="298"/>
      <c r="AT19" s="288" t="s">
        <v>43</v>
      </c>
      <c r="AU19" s="288"/>
      <c r="AV19" s="299">
        <f>원가!E33</f>
        <v>-2159</v>
      </c>
      <c r="AW19" s="299"/>
      <c r="AX19" s="299"/>
      <c r="AY19" s="299"/>
      <c r="AZ19" s="299"/>
      <c r="BB19" s="6"/>
    </row>
    <row r="20" spans="1:54" ht="21" customHeight="1">
      <c r="A20" s="8"/>
      <c r="B20" s="44"/>
      <c r="C20" s="44"/>
      <c r="D20" s="44"/>
      <c r="E20" s="44"/>
      <c r="F20" s="284"/>
      <c r="G20" s="284"/>
      <c r="H20" s="284"/>
      <c r="I20" s="44"/>
      <c r="J20" s="44"/>
      <c r="K20" s="44"/>
      <c r="L20" s="44"/>
      <c r="M20" s="6"/>
      <c r="O20" s="285" t="s">
        <v>58</v>
      </c>
      <c r="P20" s="286"/>
      <c r="Q20" s="286"/>
      <c r="R20" s="286"/>
      <c r="S20" s="286"/>
      <c r="T20" s="286"/>
      <c r="U20" s="286"/>
      <c r="V20" s="286"/>
      <c r="W20" s="286"/>
      <c r="X20" s="287"/>
      <c r="Z20" s="4" t="s">
        <v>59</v>
      </c>
      <c r="AL20" s="8"/>
      <c r="AM20" s="22"/>
      <c r="AN20" s="22"/>
      <c r="AO20" s="288"/>
      <c r="AP20" s="288"/>
      <c r="AQ20" s="298"/>
      <c r="AR20" s="298"/>
      <c r="AS20" s="298"/>
      <c r="AT20" s="288"/>
      <c r="AU20" s="288"/>
      <c r="AV20" s="300"/>
      <c r="AW20" s="300"/>
      <c r="AX20" s="300"/>
      <c r="AY20" s="300"/>
      <c r="AZ20" s="300"/>
      <c r="BB20" s="6"/>
    </row>
    <row r="21" spans="1:54" ht="21" customHeight="1">
      <c r="A21" s="8"/>
      <c r="B21" s="44"/>
      <c r="C21" s="44"/>
      <c r="D21" s="44"/>
      <c r="E21" s="44"/>
      <c r="F21" s="284"/>
      <c r="G21" s="284"/>
      <c r="H21" s="284"/>
      <c r="I21" s="44"/>
      <c r="J21" s="44"/>
      <c r="K21" s="44"/>
      <c r="L21" s="44"/>
      <c r="M21" s="43"/>
      <c r="O21" s="285"/>
      <c r="P21" s="286"/>
      <c r="Q21" s="286"/>
      <c r="R21" s="286"/>
      <c r="S21" s="286"/>
      <c r="T21" s="286"/>
      <c r="U21" s="286"/>
      <c r="V21" s="286"/>
      <c r="W21" s="286"/>
      <c r="X21" s="287"/>
      <c r="Z21" s="4" t="s">
        <v>369</v>
      </c>
      <c r="AL21" s="8"/>
      <c r="AM21" s="22"/>
      <c r="AN21" s="22"/>
      <c r="AO21" s="288" t="s">
        <v>2864</v>
      </c>
      <c r="AP21" s="288"/>
      <c r="AQ21" s="289">
        <f>원가!E35</f>
        <v>0</v>
      </c>
      <c r="AR21" s="289"/>
      <c r="AS21" s="289"/>
      <c r="AT21" s="290"/>
      <c r="AU21" s="290"/>
      <c r="AV21" s="278"/>
      <c r="AW21" s="278"/>
      <c r="AX21" s="278"/>
      <c r="AY21" s="23"/>
      <c r="AZ21" s="23"/>
      <c r="BB21" s="6"/>
    </row>
    <row r="22" spans="1:54" ht="21" customHeight="1" thickBot="1">
      <c r="A22" s="24"/>
      <c r="B22" s="25"/>
      <c r="C22" s="25"/>
      <c r="D22" s="25"/>
      <c r="E22" s="25"/>
      <c r="F22" s="25"/>
      <c r="G22" s="25"/>
      <c r="H22" s="25"/>
      <c r="I22" s="25"/>
      <c r="J22" s="25"/>
      <c r="K22" s="25"/>
      <c r="L22" s="25"/>
      <c r="M22" s="26"/>
      <c r="O22" s="279"/>
      <c r="P22" s="280"/>
      <c r="Q22" s="280"/>
      <c r="R22" s="280"/>
      <c r="S22" s="280"/>
      <c r="T22" s="280"/>
      <c r="U22" s="280"/>
      <c r="V22" s="280"/>
      <c r="W22" s="280"/>
      <c r="X22" s="281"/>
      <c r="Y22" s="4" t="s">
        <v>44</v>
      </c>
      <c r="Z22" s="4" t="s">
        <v>45</v>
      </c>
      <c r="AL22" s="24"/>
      <c r="AM22" s="25"/>
      <c r="AN22" s="25"/>
      <c r="AO22" s="25"/>
      <c r="AP22" s="25"/>
      <c r="AQ22" s="25"/>
      <c r="AR22" s="25"/>
      <c r="AS22" s="25"/>
      <c r="AT22" s="282"/>
      <c r="AU22" s="282"/>
      <c r="AV22" s="283"/>
      <c r="AW22" s="283"/>
      <c r="AX22" s="283"/>
      <c r="AY22" s="25"/>
      <c r="AZ22" s="25"/>
      <c r="BA22" s="25"/>
      <c r="BB22" s="26"/>
    </row>
    <row r="23" spans="1:54" ht="21" customHeight="1">
      <c r="AB23" s="11"/>
      <c r="AC23" s="11"/>
    </row>
    <row r="24" spans="1:54" ht="21" customHeight="1">
      <c r="AB24" s="11"/>
      <c r="AC24" s="11"/>
    </row>
    <row r="25" spans="1:54" ht="21" customHeight="1">
      <c r="AB25" s="11"/>
      <c r="AC25" s="11"/>
    </row>
    <row r="26" spans="1:54" ht="21" customHeight="1">
      <c r="AB26" s="11"/>
      <c r="AC26" s="11"/>
    </row>
    <row r="27" spans="1:54" ht="21" customHeight="1">
      <c r="AB27" s="11"/>
      <c r="AC27" s="11"/>
    </row>
    <row r="28" spans="1:54" ht="21" customHeight="1">
      <c r="AB28" s="11"/>
      <c r="AC28" s="11"/>
    </row>
    <row r="29" spans="1:54" ht="21" customHeight="1">
      <c r="AB29" s="11"/>
      <c r="AC29" s="11"/>
    </row>
    <row r="30" spans="1:54" ht="21" customHeight="1">
      <c r="AB30" s="11"/>
      <c r="AC30" s="11"/>
    </row>
    <row r="31" spans="1:54" ht="21" customHeight="1">
      <c r="AB31" s="11"/>
      <c r="AC31" s="11"/>
    </row>
    <row r="32" spans="1:54" ht="21" customHeight="1">
      <c r="AB32" s="11"/>
      <c r="AC32" s="11"/>
    </row>
  </sheetData>
  <mergeCells count="74">
    <mergeCell ref="AQ1:AR1"/>
    <mergeCell ref="AS1:AT1"/>
    <mergeCell ref="AU1:BB1"/>
    <mergeCell ref="A3:B4"/>
    <mergeCell ref="C3:L4"/>
    <mergeCell ref="N1:X1"/>
    <mergeCell ref="AL1:AN1"/>
    <mergeCell ref="AO1:AP1"/>
    <mergeCell ref="O9:P9"/>
    <mergeCell ref="Q9:W9"/>
    <mergeCell ref="AL2:AN3"/>
    <mergeCell ref="AO2:AP3"/>
    <mergeCell ref="AQ2:AR3"/>
    <mergeCell ref="AO5:BA6"/>
    <mergeCell ref="AQ7:AY7"/>
    <mergeCell ref="O8:P8"/>
    <mergeCell ref="Q8:X8"/>
    <mergeCell ref="AX8:BA8"/>
    <mergeCell ref="AS2:AT3"/>
    <mergeCell ref="AU2:BB3"/>
    <mergeCell ref="B10:L11"/>
    <mergeCell ref="O10:P10"/>
    <mergeCell ref="Q10:W10"/>
    <mergeCell ref="AP10:AQ10"/>
    <mergeCell ref="AR10:BA10"/>
    <mergeCell ref="O11:P11"/>
    <mergeCell ref="Q11:W11"/>
    <mergeCell ref="AP11:AQ11"/>
    <mergeCell ref="AR11:BA11"/>
    <mergeCell ref="O12:P12"/>
    <mergeCell ref="Q12:W12"/>
    <mergeCell ref="AP12:AQ12"/>
    <mergeCell ref="AR12:BA12"/>
    <mergeCell ref="O13:P13"/>
    <mergeCell ref="Q13:U13"/>
    <mergeCell ref="AP13:AQ13"/>
    <mergeCell ref="AR13:BA13"/>
    <mergeCell ref="O14:P14"/>
    <mergeCell ref="Q14:U14"/>
    <mergeCell ref="AP14:AQ14"/>
    <mergeCell ref="AR14:BA14"/>
    <mergeCell ref="D15:I15"/>
    <mergeCell ref="O15:P15"/>
    <mergeCell ref="Q15:U15"/>
    <mergeCell ref="AP15:AQ15"/>
    <mergeCell ref="AR15:BA15"/>
    <mergeCell ref="O18:P19"/>
    <mergeCell ref="Q18:R19"/>
    <mergeCell ref="S18:S19"/>
    <mergeCell ref="T18:U18"/>
    <mergeCell ref="V18:V19"/>
    <mergeCell ref="O16:P16"/>
    <mergeCell ref="Q16:U16"/>
    <mergeCell ref="AP16:AQ16"/>
    <mergeCell ref="AR16:BA16"/>
    <mergeCell ref="AW17:AX17"/>
    <mergeCell ref="W18:X19"/>
    <mergeCell ref="AO18:AP18"/>
    <mergeCell ref="AQ18:AV18"/>
    <mergeCell ref="AW18:AZ18"/>
    <mergeCell ref="AO19:AP20"/>
    <mergeCell ref="AQ19:AS20"/>
    <mergeCell ref="AT19:AU20"/>
    <mergeCell ref="AV19:AZ20"/>
    <mergeCell ref="AV21:AX21"/>
    <mergeCell ref="O22:X22"/>
    <mergeCell ref="AT22:AU22"/>
    <mergeCell ref="AV22:AX22"/>
    <mergeCell ref="F20:H21"/>
    <mergeCell ref="O20:X20"/>
    <mergeCell ref="O21:X21"/>
    <mergeCell ref="AO21:AP21"/>
    <mergeCell ref="AQ21:AS21"/>
    <mergeCell ref="AT21:AU21"/>
  </mergeCells>
  <phoneticPr fontId="2" type="noConversion"/>
  <pageMargins left="0.77" right="0.51" top="0.81" bottom="0.51" header="0.51181102362204722" footer="0.41"/>
  <pageSetup paperSize="9" orientation="landscape" horizontalDpi="300" verticalDpi="300" r:id="rId1"/>
  <headerFooter alignWithMargins="0"/>
  <colBreaks count="3" manualBreakCount="3">
    <brk id="13" max="20" man="1"/>
    <brk id="24" max="21" man="1"/>
    <brk id="37" max="21"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123</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view="pageBreakPreview" topLeftCell="B1" zoomScaleNormal="100" zoomScaleSheetLayoutView="100" workbookViewId="0">
      <pane ySplit="2" topLeftCell="A6" activePane="bottomLeft" state="frozen"/>
      <selection activeCell="DJ113" sqref="DJ113:FG116"/>
      <selection pane="bottomLeft" activeCell="G33" sqref="G33"/>
    </sheetView>
  </sheetViews>
  <sheetFormatPr defaultRowHeight="13.5" outlineLevelRow="1"/>
  <cols>
    <col min="1" max="1" width="0" style="45" hidden="1" customWidth="1"/>
    <col min="2" max="2" width="7" style="45" customWidth="1"/>
    <col min="3" max="3" width="6.125" style="45" customWidth="1"/>
    <col min="4" max="4" width="35" style="45" customWidth="1"/>
    <col min="5" max="5" width="29.375" style="45" customWidth="1"/>
    <col min="6" max="6" width="15.125" style="60" bestFit="1" customWidth="1"/>
    <col min="7" max="7" width="38.875" style="60" customWidth="1"/>
    <col min="8" max="8" width="38.375" style="60" customWidth="1"/>
    <col min="9" max="9" width="20.125" style="45" bestFit="1" customWidth="1"/>
    <col min="10" max="257" width="9" style="45"/>
    <col min="258" max="258" width="0" style="45" hidden="1" customWidth="1"/>
    <col min="259" max="260" width="4.625" style="45" customWidth="1"/>
    <col min="261" max="261" width="35.625" style="45" customWidth="1"/>
    <col min="262" max="262" width="25.625" style="45" customWidth="1"/>
    <col min="263" max="263" width="60.625" style="45" customWidth="1"/>
    <col min="264" max="264" width="30.625" style="45" customWidth="1"/>
    <col min="265" max="265" width="14.625" style="45" customWidth="1"/>
    <col min="266" max="513" width="9" style="45"/>
    <col min="514" max="514" width="0" style="45" hidden="1" customWidth="1"/>
    <col min="515" max="516" width="4.625" style="45" customWidth="1"/>
    <col min="517" max="517" width="35.625" style="45" customWidth="1"/>
    <col min="518" max="518" width="25.625" style="45" customWidth="1"/>
    <col min="519" max="519" width="60.625" style="45" customWidth="1"/>
    <col min="520" max="520" width="30.625" style="45" customWidth="1"/>
    <col min="521" max="521" width="14.625" style="45" customWidth="1"/>
    <col min="522" max="769" width="9" style="45"/>
    <col min="770" max="770" width="0" style="45" hidden="1" customWidth="1"/>
    <col min="771" max="772" width="4.625" style="45" customWidth="1"/>
    <col min="773" max="773" width="35.625" style="45" customWidth="1"/>
    <col min="774" max="774" width="25.625" style="45" customWidth="1"/>
    <col min="775" max="775" width="60.625" style="45" customWidth="1"/>
    <col min="776" max="776" width="30.625" style="45" customWidth="1"/>
    <col min="777" max="777" width="14.625" style="45" customWidth="1"/>
    <col min="778" max="1025" width="9" style="45"/>
    <col min="1026" max="1026" width="0" style="45" hidden="1" customWidth="1"/>
    <col min="1027" max="1028" width="4.625" style="45" customWidth="1"/>
    <col min="1029" max="1029" width="35.625" style="45" customWidth="1"/>
    <col min="1030" max="1030" width="25.625" style="45" customWidth="1"/>
    <col min="1031" max="1031" width="60.625" style="45" customWidth="1"/>
    <col min="1032" max="1032" width="30.625" style="45" customWidth="1"/>
    <col min="1033" max="1033" width="14.625" style="45" customWidth="1"/>
    <col min="1034" max="1281" width="9" style="45"/>
    <col min="1282" max="1282" width="0" style="45" hidden="1" customWidth="1"/>
    <col min="1283" max="1284" width="4.625" style="45" customWidth="1"/>
    <col min="1285" max="1285" width="35.625" style="45" customWidth="1"/>
    <col min="1286" max="1286" width="25.625" style="45" customWidth="1"/>
    <col min="1287" max="1287" width="60.625" style="45" customWidth="1"/>
    <col min="1288" max="1288" width="30.625" style="45" customWidth="1"/>
    <col min="1289" max="1289" width="14.625" style="45" customWidth="1"/>
    <col min="1290" max="1537" width="9" style="45"/>
    <col min="1538" max="1538" width="0" style="45" hidden="1" customWidth="1"/>
    <col min="1539" max="1540" width="4.625" style="45" customWidth="1"/>
    <col min="1541" max="1541" width="35.625" style="45" customWidth="1"/>
    <col min="1542" max="1542" width="25.625" style="45" customWidth="1"/>
    <col min="1543" max="1543" width="60.625" style="45" customWidth="1"/>
    <col min="1544" max="1544" width="30.625" style="45" customWidth="1"/>
    <col min="1545" max="1545" width="14.625" style="45" customWidth="1"/>
    <col min="1546" max="1793" width="9" style="45"/>
    <col min="1794" max="1794" width="0" style="45" hidden="1" customWidth="1"/>
    <col min="1795" max="1796" width="4.625" style="45" customWidth="1"/>
    <col min="1797" max="1797" width="35.625" style="45" customWidth="1"/>
    <col min="1798" max="1798" width="25.625" style="45" customWidth="1"/>
    <col min="1799" max="1799" width="60.625" style="45" customWidth="1"/>
    <col min="1800" max="1800" width="30.625" style="45" customWidth="1"/>
    <col min="1801" max="1801" width="14.625" style="45" customWidth="1"/>
    <col min="1802" max="2049" width="9" style="45"/>
    <col min="2050" max="2050" width="0" style="45" hidden="1" customWidth="1"/>
    <col min="2051" max="2052" width="4.625" style="45" customWidth="1"/>
    <col min="2053" max="2053" width="35.625" style="45" customWidth="1"/>
    <col min="2054" max="2054" width="25.625" style="45" customWidth="1"/>
    <col min="2055" max="2055" width="60.625" style="45" customWidth="1"/>
    <col min="2056" max="2056" width="30.625" style="45" customWidth="1"/>
    <col min="2057" max="2057" width="14.625" style="45" customWidth="1"/>
    <col min="2058" max="2305" width="9" style="45"/>
    <col min="2306" max="2306" width="0" style="45" hidden="1" customWidth="1"/>
    <col min="2307" max="2308" width="4.625" style="45" customWidth="1"/>
    <col min="2309" max="2309" width="35.625" style="45" customWidth="1"/>
    <col min="2310" max="2310" width="25.625" style="45" customWidth="1"/>
    <col min="2311" max="2311" width="60.625" style="45" customWidth="1"/>
    <col min="2312" max="2312" width="30.625" style="45" customWidth="1"/>
    <col min="2313" max="2313" width="14.625" style="45" customWidth="1"/>
    <col min="2314" max="2561" width="9" style="45"/>
    <col min="2562" max="2562" width="0" style="45" hidden="1" customWidth="1"/>
    <col min="2563" max="2564" width="4.625" style="45" customWidth="1"/>
    <col min="2565" max="2565" width="35.625" style="45" customWidth="1"/>
    <col min="2566" max="2566" width="25.625" style="45" customWidth="1"/>
    <col min="2567" max="2567" width="60.625" style="45" customWidth="1"/>
    <col min="2568" max="2568" width="30.625" style="45" customWidth="1"/>
    <col min="2569" max="2569" width="14.625" style="45" customWidth="1"/>
    <col min="2570" max="2817" width="9" style="45"/>
    <col min="2818" max="2818" width="0" style="45" hidden="1" customWidth="1"/>
    <col min="2819" max="2820" width="4.625" style="45" customWidth="1"/>
    <col min="2821" max="2821" width="35.625" style="45" customWidth="1"/>
    <col min="2822" max="2822" width="25.625" style="45" customWidth="1"/>
    <col min="2823" max="2823" width="60.625" style="45" customWidth="1"/>
    <col min="2824" max="2824" width="30.625" style="45" customWidth="1"/>
    <col min="2825" max="2825" width="14.625" style="45" customWidth="1"/>
    <col min="2826" max="3073" width="9" style="45"/>
    <col min="3074" max="3074" width="0" style="45" hidden="1" customWidth="1"/>
    <col min="3075" max="3076" width="4.625" style="45" customWidth="1"/>
    <col min="3077" max="3077" width="35.625" style="45" customWidth="1"/>
    <col min="3078" max="3078" width="25.625" style="45" customWidth="1"/>
    <col min="3079" max="3079" width="60.625" style="45" customWidth="1"/>
    <col min="3080" max="3080" width="30.625" style="45" customWidth="1"/>
    <col min="3081" max="3081" width="14.625" style="45" customWidth="1"/>
    <col min="3082" max="3329" width="9" style="45"/>
    <col min="3330" max="3330" width="0" style="45" hidden="1" customWidth="1"/>
    <col min="3331" max="3332" width="4.625" style="45" customWidth="1"/>
    <col min="3333" max="3333" width="35.625" style="45" customWidth="1"/>
    <col min="3334" max="3334" width="25.625" style="45" customWidth="1"/>
    <col min="3335" max="3335" width="60.625" style="45" customWidth="1"/>
    <col min="3336" max="3336" width="30.625" style="45" customWidth="1"/>
    <col min="3337" max="3337" width="14.625" style="45" customWidth="1"/>
    <col min="3338" max="3585" width="9" style="45"/>
    <col min="3586" max="3586" width="0" style="45" hidden="1" customWidth="1"/>
    <col min="3587" max="3588" width="4.625" style="45" customWidth="1"/>
    <col min="3589" max="3589" width="35.625" style="45" customWidth="1"/>
    <col min="3590" max="3590" width="25.625" style="45" customWidth="1"/>
    <col min="3591" max="3591" width="60.625" style="45" customWidth="1"/>
    <col min="3592" max="3592" width="30.625" style="45" customWidth="1"/>
    <col min="3593" max="3593" width="14.625" style="45" customWidth="1"/>
    <col min="3594" max="3841" width="9" style="45"/>
    <col min="3842" max="3842" width="0" style="45" hidden="1" customWidth="1"/>
    <col min="3843" max="3844" width="4.625" style="45" customWidth="1"/>
    <col min="3845" max="3845" width="35.625" style="45" customWidth="1"/>
    <col min="3846" max="3846" width="25.625" style="45" customWidth="1"/>
    <col min="3847" max="3847" width="60.625" style="45" customWidth="1"/>
    <col min="3848" max="3848" width="30.625" style="45" customWidth="1"/>
    <col min="3849" max="3849" width="14.625" style="45" customWidth="1"/>
    <col min="3850" max="4097" width="9" style="45"/>
    <col min="4098" max="4098" width="0" style="45" hidden="1" customWidth="1"/>
    <col min="4099" max="4100" width="4.625" style="45" customWidth="1"/>
    <col min="4101" max="4101" width="35.625" style="45" customWidth="1"/>
    <col min="4102" max="4102" width="25.625" style="45" customWidth="1"/>
    <col min="4103" max="4103" width="60.625" style="45" customWidth="1"/>
    <col min="4104" max="4104" width="30.625" style="45" customWidth="1"/>
    <col min="4105" max="4105" width="14.625" style="45" customWidth="1"/>
    <col min="4106" max="4353" width="9" style="45"/>
    <col min="4354" max="4354" width="0" style="45" hidden="1" customWidth="1"/>
    <col min="4355" max="4356" width="4.625" style="45" customWidth="1"/>
    <col min="4357" max="4357" width="35.625" style="45" customWidth="1"/>
    <col min="4358" max="4358" width="25.625" style="45" customWidth="1"/>
    <col min="4359" max="4359" width="60.625" style="45" customWidth="1"/>
    <col min="4360" max="4360" width="30.625" style="45" customWidth="1"/>
    <col min="4361" max="4361" width="14.625" style="45" customWidth="1"/>
    <col min="4362" max="4609" width="9" style="45"/>
    <col min="4610" max="4610" width="0" style="45" hidden="1" customWidth="1"/>
    <col min="4611" max="4612" width="4.625" style="45" customWidth="1"/>
    <col min="4613" max="4613" width="35.625" style="45" customWidth="1"/>
    <col min="4614" max="4614" width="25.625" style="45" customWidth="1"/>
    <col min="4615" max="4615" width="60.625" style="45" customWidth="1"/>
    <col min="4616" max="4616" width="30.625" style="45" customWidth="1"/>
    <col min="4617" max="4617" width="14.625" style="45" customWidth="1"/>
    <col min="4618" max="4865" width="9" style="45"/>
    <col min="4866" max="4866" width="0" style="45" hidden="1" customWidth="1"/>
    <col min="4867" max="4868" width="4.625" style="45" customWidth="1"/>
    <col min="4869" max="4869" width="35.625" style="45" customWidth="1"/>
    <col min="4870" max="4870" width="25.625" style="45" customWidth="1"/>
    <col min="4871" max="4871" width="60.625" style="45" customWidth="1"/>
    <col min="4872" max="4872" width="30.625" style="45" customWidth="1"/>
    <col min="4873" max="4873" width="14.625" style="45" customWidth="1"/>
    <col min="4874" max="5121" width="9" style="45"/>
    <col min="5122" max="5122" width="0" style="45" hidden="1" customWidth="1"/>
    <col min="5123" max="5124" width="4.625" style="45" customWidth="1"/>
    <col min="5125" max="5125" width="35.625" style="45" customWidth="1"/>
    <col min="5126" max="5126" width="25.625" style="45" customWidth="1"/>
    <col min="5127" max="5127" width="60.625" style="45" customWidth="1"/>
    <col min="5128" max="5128" width="30.625" style="45" customWidth="1"/>
    <col min="5129" max="5129" width="14.625" style="45" customWidth="1"/>
    <col min="5130" max="5377" width="9" style="45"/>
    <col min="5378" max="5378" width="0" style="45" hidden="1" customWidth="1"/>
    <col min="5379" max="5380" width="4.625" style="45" customWidth="1"/>
    <col min="5381" max="5381" width="35.625" style="45" customWidth="1"/>
    <col min="5382" max="5382" width="25.625" style="45" customWidth="1"/>
    <col min="5383" max="5383" width="60.625" style="45" customWidth="1"/>
    <col min="5384" max="5384" width="30.625" style="45" customWidth="1"/>
    <col min="5385" max="5385" width="14.625" style="45" customWidth="1"/>
    <col min="5386" max="5633" width="9" style="45"/>
    <col min="5634" max="5634" width="0" style="45" hidden="1" customWidth="1"/>
    <col min="5635" max="5636" width="4.625" style="45" customWidth="1"/>
    <col min="5637" max="5637" width="35.625" style="45" customWidth="1"/>
    <col min="5638" max="5638" width="25.625" style="45" customWidth="1"/>
    <col min="5639" max="5639" width="60.625" style="45" customWidth="1"/>
    <col min="5640" max="5640" width="30.625" style="45" customWidth="1"/>
    <col min="5641" max="5641" width="14.625" style="45" customWidth="1"/>
    <col min="5642" max="5889" width="9" style="45"/>
    <col min="5890" max="5890" width="0" style="45" hidden="1" customWidth="1"/>
    <col min="5891" max="5892" width="4.625" style="45" customWidth="1"/>
    <col min="5893" max="5893" width="35.625" style="45" customWidth="1"/>
    <col min="5894" max="5894" width="25.625" style="45" customWidth="1"/>
    <col min="5895" max="5895" width="60.625" style="45" customWidth="1"/>
    <col min="5896" max="5896" width="30.625" style="45" customWidth="1"/>
    <col min="5897" max="5897" width="14.625" style="45" customWidth="1"/>
    <col min="5898" max="6145" width="9" style="45"/>
    <col min="6146" max="6146" width="0" style="45" hidden="1" customWidth="1"/>
    <col min="6147" max="6148" width="4.625" style="45" customWidth="1"/>
    <col min="6149" max="6149" width="35.625" style="45" customWidth="1"/>
    <col min="6150" max="6150" width="25.625" style="45" customWidth="1"/>
    <col min="6151" max="6151" width="60.625" style="45" customWidth="1"/>
    <col min="6152" max="6152" width="30.625" style="45" customWidth="1"/>
    <col min="6153" max="6153" width="14.625" style="45" customWidth="1"/>
    <col min="6154" max="6401" width="9" style="45"/>
    <col min="6402" max="6402" width="0" style="45" hidden="1" customWidth="1"/>
    <col min="6403" max="6404" width="4.625" style="45" customWidth="1"/>
    <col min="6405" max="6405" width="35.625" style="45" customWidth="1"/>
    <col min="6406" max="6406" width="25.625" style="45" customWidth="1"/>
    <col min="6407" max="6407" width="60.625" style="45" customWidth="1"/>
    <col min="6408" max="6408" width="30.625" style="45" customWidth="1"/>
    <col min="6409" max="6409" width="14.625" style="45" customWidth="1"/>
    <col min="6410" max="6657" width="9" style="45"/>
    <col min="6658" max="6658" width="0" style="45" hidden="1" customWidth="1"/>
    <col min="6659" max="6660" width="4.625" style="45" customWidth="1"/>
    <col min="6661" max="6661" width="35.625" style="45" customWidth="1"/>
    <col min="6662" max="6662" width="25.625" style="45" customWidth="1"/>
    <col min="6663" max="6663" width="60.625" style="45" customWidth="1"/>
    <col min="6664" max="6664" width="30.625" style="45" customWidth="1"/>
    <col min="6665" max="6665" width="14.625" style="45" customWidth="1"/>
    <col min="6666" max="6913" width="9" style="45"/>
    <col min="6914" max="6914" width="0" style="45" hidden="1" customWidth="1"/>
    <col min="6915" max="6916" width="4.625" style="45" customWidth="1"/>
    <col min="6917" max="6917" width="35.625" style="45" customWidth="1"/>
    <col min="6918" max="6918" width="25.625" style="45" customWidth="1"/>
    <col min="6919" max="6919" width="60.625" style="45" customWidth="1"/>
    <col min="6920" max="6920" width="30.625" style="45" customWidth="1"/>
    <col min="6921" max="6921" width="14.625" style="45" customWidth="1"/>
    <col min="6922" max="7169" width="9" style="45"/>
    <col min="7170" max="7170" width="0" style="45" hidden="1" customWidth="1"/>
    <col min="7171" max="7172" width="4.625" style="45" customWidth="1"/>
    <col min="7173" max="7173" width="35.625" style="45" customWidth="1"/>
    <col min="7174" max="7174" width="25.625" style="45" customWidth="1"/>
    <col min="7175" max="7175" width="60.625" style="45" customWidth="1"/>
    <col min="7176" max="7176" width="30.625" style="45" customWidth="1"/>
    <col min="7177" max="7177" width="14.625" style="45" customWidth="1"/>
    <col min="7178" max="7425" width="9" style="45"/>
    <col min="7426" max="7426" width="0" style="45" hidden="1" customWidth="1"/>
    <col min="7427" max="7428" width="4.625" style="45" customWidth="1"/>
    <col min="7429" max="7429" width="35.625" style="45" customWidth="1"/>
    <col min="7430" max="7430" width="25.625" style="45" customWidth="1"/>
    <col min="7431" max="7431" width="60.625" style="45" customWidth="1"/>
    <col min="7432" max="7432" width="30.625" style="45" customWidth="1"/>
    <col min="7433" max="7433" width="14.625" style="45" customWidth="1"/>
    <col min="7434" max="7681" width="9" style="45"/>
    <col min="7682" max="7682" width="0" style="45" hidden="1" customWidth="1"/>
    <col min="7683" max="7684" width="4.625" style="45" customWidth="1"/>
    <col min="7685" max="7685" width="35.625" style="45" customWidth="1"/>
    <col min="7686" max="7686" width="25.625" style="45" customWidth="1"/>
    <col min="7687" max="7687" width="60.625" style="45" customWidth="1"/>
    <col min="7688" max="7688" width="30.625" style="45" customWidth="1"/>
    <col min="7689" max="7689" width="14.625" style="45" customWidth="1"/>
    <col min="7690" max="7937" width="9" style="45"/>
    <col min="7938" max="7938" width="0" style="45" hidden="1" customWidth="1"/>
    <col min="7939" max="7940" width="4.625" style="45" customWidth="1"/>
    <col min="7941" max="7941" width="35.625" style="45" customWidth="1"/>
    <col min="7942" max="7942" width="25.625" style="45" customWidth="1"/>
    <col min="7943" max="7943" width="60.625" style="45" customWidth="1"/>
    <col min="7944" max="7944" width="30.625" style="45" customWidth="1"/>
    <col min="7945" max="7945" width="14.625" style="45" customWidth="1"/>
    <col min="7946" max="8193" width="9" style="45"/>
    <col min="8194" max="8194" width="0" style="45" hidden="1" customWidth="1"/>
    <col min="8195" max="8196" width="4.625" style="45" customWidth="1"/>
    <col min="8197" max="8197" width="35.625" style="45" customWidth="1"/>
    <col min="8198" max="8198" width="25.625" style="45" customWidth="1"/>
    <col min="8199" max="8199" width="60.625" style="45" customWidth="1"/>
    <col min="8200" max="8200" width="30.625" style="45" customWidth="1"/>
    <col min="8201" max="8201" width="14.625" style="45" customWidth="1"/>
    <col min="8202" max="8449" width="9" style="45"/>
    <col min="8450" max="8450" width="0" style="45" hidden="1" customWidth="1"/>
    <col min="8451" max="8452" width="4.625" style="45" customWidth="1"/>
    <col min="8453" max="8453" width="35.625" style="45" customWidth="1"/>
    <col min="8454" max="8454" width="25.625" style="45" customWidth="1"/>
    <col min="8455" max="8455" width="60.625" style="45" customWidth="1"/>
    <col min="8456" max="8456" width="30.625" style="45" customWidth="1"/>
    <col min="8457" max="8457" width="14.625" style="45" customWidth="1"/>
    <col min="8458" max="8705" width="9" style="45"/>
    <col min="8706" max="8706" width="0" style="45" hidden="1" customWidth="1"/>
    <col min="8707" max="8708" width="4.625" style="45" customWidth="1"/>
    <col min="8709" max="8709" width="35.625" style="45" customWidth="1"/>
    <col min="8710" max="8710" width="25.625" style="45" customWidth="1"/>
    <col min="8711" max="8711" width="60.625" style="45" customWidth="1"/>
    <col min="8712" max="8712" width="30.625" style="45" customWidth="1"/>
    <col min="8713" max="8713" width="14.625" style="45" customWidth="1"/>
    <col min="8714" max="8961" width="9" style="45"/>
    <col min="8962" max="8962" width="0" style="45" hidden="1" customWidth="1"/>
    <col min="8963" max="8964" width="4.625" style="45" customWidth="1"/>
    <col min="8965" max="8965" width="35.625" style="45" customWidth="1"/>
    <col min="8966" max="8966" width="25.625" style="45" customWidth="1"/>
    <col min="8967" max="8967" width="60.625" style="45" customWidth="1"/>
    <col min="8968" max="8968" width="30.625" style="45" customWidth="1"/>
    <col min="8969" max="8969" width="14.625" style="45" customWidth="1"/>
    <col min="8970" max="9217" width="9" style="45"/>
    <col min="9218" max="9218" width="0" style="45" hidden="1" customWidth="1"/>
    <col min="9219" max="9220" width="4.625" style="45" customWidth="1"/>
    <col min="9221" max="9221" width="35.625" style="45" customWidth="1"/>
    <col min="9222" max="9222" width="25.625" style="45" customWidth="1"/>
    <col min="9223" max="9223" width="60.625" style="45" customWidth="1"/>
    <col min="9224" max="9224" width="30.625" style="45" customWidth="1"/>
    <col min="9225" max="9225" width="14.625" style="45" customWidth="1"/>
    <col min="9226" max="9473" width="9" style="45"/>
    <col min="9474" max="9474" width="0" style="45" hidden="1" customWidth="1"/>
    <col min="9475" max="9476" width="4.625" style="45" customWidth="1"/>
    <col min="9477" max="9477" width="35.625" style="45" customWidth="1"/>
    <col min="9478" max="9478" width="25.625" style="45" customWidth="1"/>
    <col min="9479" max="9479" width="60.625" style="45" customWidth="1"/>
    <col min="9480" max="9480" width="30.625" style="45" customWidth="1"/>
    <col min="9481" max="9481" width="14.625" style="45" customWidth="1"/>
    <col min="9482" max="9729" width="9" style="45"/>
    <col min="9730" max="9730" width="0" style="45" hidden="1" customWidth="1"/>
    <col min="9731" max="9732" width="4.625" style="45" customWidth="1"/>
    <col min="9733" max="9733" width="35.625" style="45" customWidth="1"/>
    <col min="9734" max="9734" width="25.625" style="45" customWidth="1"/>
    <col min="9735" max="9735" width="60.625" style="45" customWidth="1"/>
    <col min="9736" max="9736" width="30.625" style="45" customWidth="1"/>
    <col min="9737" max="9737" width="14.625" style="45" customWidth="1"/>
    <col min="9738" max="9985" width="9" style="45"/>
    <col min="9986" max="9986" width="0" style="45" hidden="1" customWidth="1"/>
    <col min="9987" max="9988" width="4.625" style="45" customWidth="1"/>
    <col min="9989" max="9989" width="35.625" style="45" customWidth="1"/>
    <col min="9990" max="9990" width="25.625" style="45" customWidth="1"/>
    <col min="9991" max="9991" width="60.625" style="45" customWidth="1"/>
    <col min="9992" max="9992" width="30.625" style="45" customWidth="1"/>
    <col min="9993" max="9993" width="14.625" style="45" customWidth="1"/>
    <col min="9994" max="10241" width="9" style="45"/>
    <col min="10242" max="10242" width="0" style="45" hidden="1" customWidth="1"/>
    <col min="10243" max="10244" width="4.625" style="45" customWidth="1"/>
    <col min="10245" max="10245" width="35.625" style="45" customWidth="1"/>
    <col min="10246" max="10246" width="25.625" style="45" customWidth="1"/>
    <col min="10247" max="10247" width="60.625" style="45" customWidth="1"/>
    <col min="10248" max="10248" width="30.625" style="45" customWidth="1"/>
    <col min="10249" max="10249" width="14.625" style="45" customWidth="1"/>
    <col min="10250" max="10497" width="9" style="45"/>
    <col min="10498" max="10498" width="0" style="45" hidden="1" customWidth="1"/>
    <col min="10499" max="10500" width="4.625" style="45" customWidth="1"/>
    <col min="10501" max="10501" width="35.625" style="45" customWidth="1"/>
    <col min="10502" max="10502" width="25.625" style="45" customWidth="1"/>
    <col min="10503" max="10503" width="60.625" style="45" customWidth="1"/>
    <col min="10504" max="10504" width="30.625" style="45" customWidth="1"/>
    <col min="10505" max="10505" width="14.625" style="45" customWidth="1"/>
    <col min="10506" max="10753" width="9" style="45"/>
    <col min="10754" max="10754" width="0" style="45" hidden="1" customWidth="1"/>
    <col min="10755" max="10756" width="4.625" style="45" customWidth="1"/>
    <col min="10757" max="10757" width="35.625" style="45" customWidth="1"/>
    <col min="10758" max="10758" width="25.625" style="45" customWidth="1"/>
    <col min="10759" max="10759" width="60.625" style="45" customWidth="1"/>
    <col min="10760" max="10760" width="30.625" style="45" customWidth="1"/>
    <col min="10761" max="10761" width="14.625" style="45" customWidth="1"/>
    <col min="10762" max="11009" width="9" style="45"/>
    <col min="11010" max="11010" width="0" style="45" hidden="1" customWidth="1"/>
    <col min="11011" max="11012" width="4.625" style="45" customWidth="1"/>
    <col min="11013" max="11013" width="35.625" style="45" customWidth="1"/>
    <col min="11014" max="11014" width="25.625" style="45" customWidth="1"/>
    <col min="11015" max="11015" width="60.625" style="45" customWidth="1"/>
    <col min="11016" max="11016" width="30.625" style="45" customWidth="1"/>
    <col min="11017" max="11017" width="14.625" style="45" customWidth="1"/>
    <col min="11018" max="11265" width="9" style="45"/>
    <col min="11266" max="11266" width="0" style="45" hidden="1" customWidth="1"/>
    <col min="11267" max="11268" width="4.625" style="45" customWidth="1"/>
    <col min="11269" max="11269" width="35.625" style="45" customWidth="1"/>
    <col min="11270" max="11270" width="25.625" style="45" customWidth="1"/>
    <col min="11271" max="11271" width="60.625" style="45" customWidth="1"/>
    <col min="11272" max="11272" width="30.625" style="45" customWidth="1"/>
    <col min="11273" max="11273" width="14.625" style="45" customWidth="1"/>
    <col min="11274" max="11521" width="9" style="45"/>
    <col min="11522" max="11522" width="0" style="45" hidden="1" customWidth="1"/>
    <col min="11523" max="11524" width="4.625" style="45" customWidth="1"/>
    <col min="11525" max="11525" width="35.625" style="45" customWidth="1"/>
    <col min="11526" max="11526" width="25.625" style="45" customWidth="1"/>
    <col min="11527" max="11527" width="60.625" style="45" customWidth="1"/>
    <col min="11528" max="11528" width="30.625" style="45" customWidth="1"/>
    <col min="11529" max="11529" width="14.625" style="45" customWidth="1"/>
    <col min="11530" max="11777" width="9" style="45"/>
    <col min="11778" max="11778" width="0" style="45" hidden="1" customWidth="1"/>
    <col min="11779" max="11780" width="4.625" style="45" customWidth="1"/>
    <col min="11781" max="11781" width="35.625" style="45" customWidth="1"/>
    <col min="11782" max="11782" width="25.625" style="45" customWidth="1"/>
    <col min="11783" max="11783" width="60.625" style="45" customWidth="1"/>
    <col min="11784" max="11784" width="30.625" style="45" customWidth="1"/>
    <col min="11785" max="11785" width="14.625" style="45" customWidth="1"/>
    <col min="11786" max="12033" width="9" style="45"/>
    <col min="12034" max="12034" width="0" style="45" hidden="1" customWidth="1"/>
    <col min="12035" max="12036" width="4.625" style="45" customWidth="1"/>
    <col min="12037" max="12037" width="35.625" style="45" customWidth="1"/>
    <col min="12038" max="12038" width="25.625" style="45" customWidth="1"/>
    <col min="12039" max="12039" width="60.625" style="45" customWidth="1"/>
    <col min="12040" max="12040" width="30.625" style="45" customWidth="1"/>
    <col min="12041" max="12041" width="14.625" style="45" customWidth="1"/>
    <col min="12042" max="12289" width="9" style="45"/>
    <col min="12290" max="12290" width="0" style="45" hidden="1" customWidth="1"/>
    <col min="12291" max="12292" width="4.625" style="45" customWidth="1"/>
    <col min="12293" max="12293" width="35.625" style="45" customWidth="1"/>
    <col min="12294" max="12294" width="25.625" style="45" customWidth="1"/>
    <col min="12295" max="12295" width="60.625" style="45" customWidth="1"/>
    <col min="12296" max="12296" width="30.625" style="45" customWidth="1"/>
    <col min="12297" max="12297" width="14.625" style="45" customWidth="1"/>
    <col min="12298" max="12545" width="9" style="45"/>
    <col min="12546" max="12546" width="0" style="45" hidden="1" customWidth="1"/>
    <col min="12547" max="12548" width="4.625" style="45" customWidth="1"/>
    <col min="12549" max="12549" width="35.625" style="45" customWidth="1"/>
    <col min="12550" max="12550" width="25.625" style="45" customWidth="1"/>
    <col min="12551" max="12551" width="60.625" style="45" customWidth="1"/>
    <col min="12552" max="12552" width="30.625" style="45" customWidth="1"/>
    <col min="12553" max="12553" width="14.625" style="45" customWidth="1"/>
    <col min="12554" max="12801" width="9" style="45"/>
    <col min="12802" max="12802" width="0" style="45" hidden="1" customWidth="1"/>
    <col min="12803" max="12804" width="4.625" style="45" customWidth="1"/>
    <col min="12805" max="12805" width="35.625" style="45" customWidth="1"/>
    <col min="12806" max="12806" width="25.625" style="45" customWidth="1"/>
    <col min="12807" max="12807" width="60.625" style="45" customWidth="1"/>
    <col min="12808" max="12808" width="30.625" style="45" customWidth="1"/>
    <col min="12809" max="12809" width="14.625" style="45" customWidth="1"/>
    <col min="12810" max="13057" width="9" style="45"/>
    <col min="13058" max="13058" width="0" style="45" hidden="1" customWidth="1"/>
    <col min="13059" max="13060" width="4.625" style="45" customWidth="1"/>
    <col min="13061" max="13061" width="35.625" style="45" customWidth="1"/>
    <col min="13062" max="13062" width="25.625" style="45" customWidth="1"/>
    <col min="13063" max="13063" width="60.625" style="45" customWidth="1"/>
    <col min="13064" max="13064" width="30.625" style="45" customWidth="1"/>
    <col min="13065" max="13065" width="14.625" style="45" customWidth="1"/>
    <col min="13066" max="13313" width="9" style="45"/>
    <col min="13314" max="13314" width="0" style="45" hidden="1" customWidth="1"/>
    <col min="13315" max="13316" width="4.625" style="45" customWidth="1"/>
    <col min="13317" max="13317" width="35.625" style="45" customWidth="1"/>
    <col min="13318" max="13318" width="25.625" style="45" customWidth="1"/>
    <col min="13319" max="13319" width="60.625" style="45" customWidth="1"/>
    <col min="13320" max="13320" width="30.625" style="45" customWidth="1"/>
    <col min="13321" max="13321" width="14.625" style="45" customWidth="1"/>
    <col min="13322" max="13569" width="9" style="45"/>
    <col min="13570" max="13570" width="0" style="45" hidden="1" customWidth="1"/>
    <col min="13571" max="13572" width="4.625" style="45" customWidth="1"/>
    <col min="13573" max="13573" width="35.625" style="45" customWidth="1"/>
    <col min="13574" max="13574" width="25.625" style="45" customWidth="1"/>
    <col min="13575" max="13575" width="60.625" style="45" customWidth="1"/>
    <col min="13576" max="13576" width="30.625" style="45" customWidth="1"/>
    <col min="13577" max="13577" width="14.625" style="45" customWidth="1"/>
    <col min="13578" max="13825" width="9" style="45"/>
    <col min="13826" max="13826" width="0" style="45" hidden="1" customWidth="1"/>
    <col min="13827" max="13828" width="4.625" style="45" customWidth="1"/>
    <col min="13829" max="13829" width="35.625" style="45" customWidth="1"/>
    <col min="13830" max="13830" width="25.625" style="45" customWidth="1"/>
    <col min="13831" max="13831" width="60.625" style="45" customWidth="1"/>
    <col min="13832" max="13832" width="30.625" style="45" customWidth="1"/>
    <col min="13833" max="13833" width="14.625" style="45" customWidth="1"/>
    <col min="13834" max="14081" width="9" style="45"/>
    <col min="14082" max="14082" width="0" style="45" hidden="1" customWidth="1"/>
    <col min="14083" max="14084" width="4.625" style="45" customWidth="1"/>
    <col min="14085" max="14085" width="35.625" style="45" customWidth="1"/>
    <col min="14086" max="14086" width="25.625" style="45" customWidth="1"/>
    <col min="14087" max="14087" width="60.625" style="45" customWidth="1"/>
    <col min="14088" max="14088" width="30.625" style="45" customWidth="1"/>
    <col min="14089" max="14089" width="14.625" style="45" customWidth="1"/>
    <col min="14090" max="14337" width="9" style="45"/>
    <col min="14338" max="14338" width="0" style="45" hidden="1" customWidth="1"/>
    <col min="14339" max="14340" width="4.625" style="45" customWidth="1"/>
    <col min="14341" max="14341" width="35.625" style="45" customWidth="1"/>
    <col min="14342" max="14342" width="25.625" style="45" customWidth="1"/>
    <col min="14343" max="14343" width="60.625" style="45" customWidth="1"/>
    <col min="14344" max="14344" width="30.625" style="45" customWidth="1"/>
    <col min="14345" max="14345" width="14.625" style="45" customWidth="1"/>
    <col min="14346" max="14593" width="9" style="45"/>
    <col min="14594" max="14594" width="0" style="45" hidden="1" customWidth="1"/>
    <col min="14595" max="14596" width="4.625" style="45" customWidth="1"/>
    <col min="14597" max="14597" width="35.625" style="45" customWidth="1"/>
    <col min="14598" max="14598" width="25.625" style="45" customWidth="1"/>
    <col min="14599" max="14599" width="60.625" style="45" customWidth="1"/>
    <col min="14600" max="14600" width="30.625" style="45" customWidth="1"/>
    <col min="14601" max="14601" width="14.625" style="45" customWidth="1"/>
    <col min="14602" max="14849" width="9" style="45"/>
    <col min="14850" max="14850" width="0" style="45" hidden="1" customWidth="1"/>
    <col min="14851" max="14852" width="4.625" style="45" customWidth="1"/>
    <col min="14853" max="14853" width="35.625" style="45" customWidth="1"/>
    <col min="14854" max="14854" width="25.625" style="45" customWidth="1"/>
    <col min="14855" max="14855" width="60.625" style="45" customWidth="1"/>
    <col min="14856" max="14856" width="30.625" style="45" customWidth="1"/>
    <col min="14857" max="14857" width="14.625" style="45" customWidth="1"/>
    <col min="14858" max="15105" width="9" style="45"/>
    <col min="15106" max="15106" width="0" style="45" hidden="1" customWidth="1"/>
    <col min="15107" max="15108" width="4.625" style="45" customWidth="1"/>
    <col min="15109" max="15109" width="35.625" style="45" customWidth="1"/>
    <col min="15110" max="15110" width="25.625" style="45" customWidth="1"/>
    <col min="15111" max="15111" width="60.625" style="45" customWidth="1"/>
    <col min="15112" max="15112" width="30.625" style="45" customWidth="1"/>
    <col min="15113" max="15113" width="14.625" style="45" customWidth="1"/>
    <col min="15114" max="15361" width="9" style="45"/>
    <col min="15362" max="15362" width="0" style="45" hidden="1" customWidth="1"/>
    <col min="15363" max="15364" width="4.625" style="45" customWidth="1"/>
    <col min="15365" max="15365" width="35.625" style="45" customWidth="1"/>
    <col min="15366" max="15366" width="25.625" style="45" customWidth="1"/>
    <col min="15367" max="15367" width="60.625" style="45" customWidth="1"/>
    <col min="15368" max="15368" width="30.625" style="45" customWidth="1"/>
    <col min="15369" max="15369" width="14.625" style="45" customWidth="1"/>
    <col min="15370" max="15617" width="9" style="45"/>
    <col min="15618" max="15618" width="0" style="45" hidden="1" customWidth="1"/>
    <col min="15619" max="15620" width="4.625" style="45" customWidth="1"/>
    <col min="15621" max="15621" width="35.625" style="45" customWidth="1"/>
    <col min="15622" max="15622" width="25.625" style="45" customWidth="1"/>
    <col min="15623" max="15623" width="60.625" style="45" customWidth="1"/>
    <col min="15624" max="15624" width="30.625" style="45" customWidth="1"/>
    <col min="15625" max="15625" width="14.625" style="45" customWidth="1"/>
    <col min="15626" max="15873" width="9" style="45"/>
    <col min="15874" max="15874" width="0" style="45" hidden="1" customWidth="1"/>
    <col min="15875" max="15876" width="4.625" style="45" customWidth="1"/>
    <col min="15877" max="15877" width="35.625" style="45" customWidth="1"/>
    <col min="15878" max="15878" width="25.625" style="45" customWidth="1"/>
    <col min="15879" max="15879" width="60.625" style="45" customWidth="1"/>
    <col min="15880" max="15880" width="30.625" style="45" customWidth="1"/>
    <col min="15881" max="15881" width="14.625" style="45" customWidth="1"/>
    <col min="15882" max="16129" width="9" style="45"/>
    <col min="16130" max="16130" width="0" style="45" hidden="1" customWidth="1"/>
    <col min="16131" max="16132" width="4.625" style="45" customWidth="1"/>
    <col min="16133" max="16133" width="35.625" style="45" customWidth="1"/>
    <col min="16134" max="16134" width="25.625" style="45" customWidth="1"/>
    <col min="16135" max="16135" width="60.625" style="45" customWidth="1"/>
    <col min="16136" max="16136" width="30.625" style="45" customWidth="1"/>
    <col min="16137" max="16137" width="14.625" style="45" customWidth="1"/>
    <col min="16138" max="16384" width="9" style="45"/>
  </cols>
  <sheetData>
    <row r="1" spans="1:9" ht="22.5">
      <c r="B1" s="341" t="s">
        <v>60</v>
      </c>
      <c r="C1" s="341"/>
      <c r="D1" s="341"/>
      <c r="E1" s="341"/>
      <c r="F1" s="341"/>
      <c r="G1" s="341"/>
      <c r="H1" s="341"/>
    </row>
    <row r="2" spans="1:9" ht="21.95" customHeight="1">
      <c r="B2" s="97" t="s">
        <v>358</v>
      </c>
      <c r="C2" s="344" t="str">
        <f>갑!B10</f>
        <v>김제시 죽산면 죽산로126(구 새마을 금고)내·외부공사</v>
      </c>
      <c r="D2" s="344"/>
      <c r="E2" s="344"/>
      <c r="F2" s="342"/>
      <c r="G2" s="342"/>
      <c r="H2" s="342"/>
    </row>
    <row r="3" spans="1:9" ht="22.9" customHeight="1">
      <c r="B3" s="343" t="s">
        <v>61</v>
      </c>
      <c r="C3" s="343"/>
      <c r="D3" s="343"/>
      <c r="E3" s="46" t="s">
        <v>62</v>
      </c>
      <c r="F3" s="46" t="s">
        <v>122</v>
      </c>
      <c r="G3" s="46" t="s">
        <v>120</v>
      </c>
      <c r="H3" s="46" t="s">
        <v>63</v>
      </c>
    </row>
    <row r="4" spans="1:9" ht="22.9" customHeight="1">
      <c r="A4" s="47" t="s">
        <v>64</v>
      </c>
      <c r="B4" s="346" t="s">
        <v>65</v>
      </c>
      <c r="C4" s="346" t="s">
        <v>66</v>
      </c>
      <c r="D4" s="48" t="s">
        <v>67</v>
      </c>
      <c r="E4" s="99">
        <f>집계!F19</f>
        <v>0</v>
      </c>
      <c r="F4" s="48" t="s">
        <v>68</v>
      </c>
      <c r="G4" s="48" t="s">
        <v>68</v>
      </c>
      <c r="H4" s="48" t="s">
        <v>68</v>
      </c>
    </row>
    <row r="5" spans="1:9" ht="22.9" customHeight="1">
      <c r="A5" s="47" t="s">
        <v>69</v>
      </c>
      <c r="B5" s="347"/>
      <c r="C5" s="347"/>
      <c r="D5" s="48" t="s">
        <v>70</v>
      </c>
      <c r="E5" s="49">
        <v>0</v>
      </c>
      <c r="F5" s="48" t="s">
        <v>68</v>
      </c>
      <c r="G5" s="48" t="s">
        <v>68</v>
      </c>
      <c r="H5" s="48" t="s">
        <v>68</v>
      </c>
    </row>
    <row r="6" spans="1:9" ht="22.9" customHeight="1">
      <c r="A6" s="47" t="s">
        <v>71</v>
      </c>
      <c r="B6" s="347"/>
      <c r="C6" s="348"/>
      <c r="D6" s="65" t="s">
        <v>72</v>
      </c>
      <c r="E6" s="66">
        <f>TRUNC(E4+E5, 0)</f>
        <v>0</v>
      </c>
      <c r="F6" s="65" t="s">
        <v>68</v>
      </c>
      <c r="G6" s="65" t="s">
        <v>68</v>
      </c>
      <c r="H6" s="65" t="s">
        <v>68</v>
      </c>
    </row>
    <row r="7" spans="1:9" ht="22.9" customHeight="1">
      <c r="A7" s="47" t="s">
        <v>73</v>
      </c>
      <c r="B7" s="347"/>
      <c r="C7" s="346" t="s">
        <v>74</v>
      </c>
      <c r="D7" s="48" t="s">
        <v>75</v>
      </c>
      <c r="E7" s="99">
        <f>집계!H19</f>
        <v>0</v>
      </c>
      <c r="F7" s="48" t="s">
        <v>68</v>
      </c>
      <c r="G7" s="48" t="s">
        <v>68</v>
      </c>
      <c r="H7" s="48" t="s">
        <v>68</v>
      </c>
    </row>
    <row r="8" spans="1:9" ht="22.9" customHeight="1">
      <c r="A8" s="47" t="s">
        <v>76</v>
      </c>
      <c r="B8" s="347"/>
      <c r="C8" s="347"/>
      <c r="D8" s="48" t="s">
        <v>77</v>
      </c>
      <c r="E8" s="49">
        <f>TRUNC(E7*$F$8, 0)</f>
        <v>0</v>
      </c>
      <c r="F8" s="52">
        <v>0.17499999999999999</v>
      </c>
      <c r="G8" s="48" t="s">
        <v>348</v>
      </c>
      <c r="H8" s="53"/>
    </row>
    <row r="9" spans="1:9" ht="22.9" customHeight="1">
      <c r="A9" s="47" t="s">
        <v>78</v>
      </c>
      <c r="B9" s="347"/>
      <c r="C9" s="348"/>
      <c r="D9" s="65" t="s">
        <v>72</v>
      </c>
      <c r="E9" s="66">
        <f>TRUNC(E7+E8, 0)</f>
        <v>0</v>
      </c>
      <c r="F9" s="65" t="s">
        <v>68</v>
      </c>
      <c r="G9" s="65" t="s">
        <v>68</v>
      </c>
      <c r="H9" s="65"/>
    </row>
    <row r="10" spans="1:9" s="55" customFormat="1" ht="22.9" customHeight="1">
      <c r="A10" s="54" t="s">
        <v>79</v>
      </c>
      <c r="B10" s="347"/>
      <c r="C10" s="346" t="s">
        <v>121</v>
      </c>
      <c r="D10" s="48" t="s">
        <v>80</v>
      </c>
      <c r="E10" s="99">
        <f>집계!J19</f>
        <v>0</v>
      </c>
      <c r="F10" s="48" t="s">
        <v>68</v>
      </c>
      <c r="G10" s="48" t="s">
        <v>68</v>
      </c>
      <c r="H10" s="48"/>
    </row>
    <row r="11" spans="1:9" ht="22.9" customHeight="1">
      <c r="A11" s="47" t="s">
        <v>81</v>
      </c>
      <c r="B11" s="347"/>
      <c r="C11" s="347"/>
      <c r="D11" s="822" t="s">
        <v>82</v>
      </c>
      <c r="E11" s="823">
        <f>TRUNC(E9*$F$11, 0)</f>
        <v>0</v>
      </c>
      <c r="F11" s="52">
        <v>3.56E-2</v>
      </c>
      <c r="G11" s="48" t="s">
        <v>153</v>
      </c>
      <c r="H11" s="48"/>
    </row>
    <row r="12" spans="1:9" ht="22.9" customHeight="1">
      <c r="A12" s="47" t="s">
        <v>83</v>
      </c>
      <c r="B12" s="347"/>
      <c r="C12" s="347"/>
      <c r="D12" s="822" t="s">
        <v>84</v>
      </c>
      <c r="E12" s="823">
        <f>TRUNC(E9*$F$12, 0)</f>
        <v>0</v>
      </c>
      <c r="F12" s="52">
        <v>1.01E-2</v>
      </c>
      <c r="G12" s="48" t="s">
        <v>85</v>
      </c>
      <c r="H12" s="48"/>
    </row>
    <row r="13" spans="1:9" ht="22.9" customHeight="1">
      <c r="A13" s="47" t="s">
        <v>86</v>
      </c>
      <c r="B13" s="347"/>
      <c r="C13" s="347"/>
      <c r="D13" s="822" t="s">
        <v>87</v>
      </c>
      <c r="E13" s="823">
        <f>TRUNC(E7*$F$13, 0)</f>
        <v>0</v>
      </c>
      <c r="F13" s="117">
        <v>3.5950000000000003E-2</v>
      </c>
      <c r="G13" s="48" t="s">
        <v>330</v>
      </c>
      <c r="H13" s="48"/>
      <c r="I13" s="56"/>
    </row>
    <row r="14" spans="1:9" ht="22.9" customHeight="1">
      <c r="A14" s="47" t="s">
        <v>90</v>
      </c>
      <c r="B14" s="347"/>
      <c r="C14" s="347"/>
      <c r="D14" s="822" t="s">
        <v>91</v>
      </c>
      <c r="E14" s="823">
        <f>TRUNC(E13*$F$14, 0)</f>
        <v>0</v>
      </c>
      <c r="F14" s="52">
        <v>0.13139999999999999</v>
      </c>
      <c r="G14" s="48" t="s">
        <v>331</v>
      </c>
      <c r="H14" s="48"/>
      <c r="I14" s="57"/>
    </row>
    <row r="15" spans="1:9" ht="22.9" customHeight="1">
      <c r="A15" s="47" t="s">
        <v>88</v>
      </c>
      <c r="B15" s="347"/>
      <c r="C15" s="347"/>
      <c r="D15" s="822" t="s">
        <v>89</v>
      </c>
      <c r="E15" s="823">
        <f>TRUNC(E7*$F$15, 0)</f>
        <v>0</v>
      </c>
      <c r="F15" s="52">
        <v>4.7500000000000001E-2</v>
      </c>
      <c r="G15" s="48" t="s">
        <v>332</v>
      </c>
      <c r="H15" s="48"/>
      <c r="I15" s="57"/>
    </row>
    <row r="16" spans="1:9" ht="22.9" customHeight="1">
      <c r="A16" s="47" t="s">
        <v>92</v>
      </c>
      <c r="B16" s="347"/>
      <c r="C16" s="347"/>
      <c r="D16" s="822" t="s">
        <v>93</v>
      </c>
      <c r="E16" s="823">
        <f>TRUNC(E7*$F$16, 0)</f>
        <v>0</v>
      </c>
      <c r="F16" s="52">
        <v>2.3E-2</v>
      </c>
      <c r="G16" s="48" t="s">
        <v>94</v>
      </c>
      <c r="H16" s="48" t="s">
        <v>365</v>
      </c>
      <c r="I16" s="57"/>
    </row>
    <row r="17" spans="1:9" ht="22.9" customHeight="1">
      <c r="A17" s="47" t="s">
        <v>95</v>
      </c>
      <c r="B17" s="347"/>
      <c r="C17" s="347"/>
      <c r="D17" s="822" t="s">
        <v>96</v>
      </c>
      <c r="E17" s="823">
        <f>TRUNC((E6+E7)*$F$17, 0)</f>
        <v>0</v>
      </c>
      <c r="F17" s="52">
        <v>3.1099999999999999E-2</v>
      </c>
      <c r="G17" s="48" t="s">
        <v>161</v>
      </c>
      <c r="H17" s="48"/>
      <c r="I17" s="98"/>
    </row>
    <row r="18" spans="1:9" ht="22.9" hidden="1" customHeight="1" outlineLevel="1">
      <c r="A18" s="47" t="s">
        <v>95</v>
      </c>
      <c r="B18" s="347"/>
      <c r="C18" s="347"/>
      <c r="D18" s="101" t="s">
        <v>96</v>
      </c>
      <c r="E18" s="102" t="e">
        <f>TRUNC((E7+E8+#REF!)*$F$18, 0)*0</f>
        <v>#REF!</v>
      </c>
      <c r="F18" s="103">
        <v>2.93E-2</v>
      </c>
      <c r="G18" s="101" t="s">
        <v>135</v>
      </c>
      <c r="H18" s="101" t="s">
        <v>136</v>
      </c>
      <c r="I18" s="57"/>
    </row>
    <row r="19" spans="1:9" ht="22.9" customHeight="1" collapsed="1">
      <c r="A19" s="47" t="s">
        <v>100</v>
      </c>
      <c r="B19" s="347"/>
      <c r="C19" s="347"/>
      <c r="D19" s="48" t="s">
        <v>101</v>
      </c>
      <c r="E19" s="49">
        <f>TRUNC((E6+E9)*$F$19, 0)</f>
        <v>0</v>
      </c>
      <c r="F19" s="52">
        <v>0.05</v>
      </c>
      <c r="G19" s="48" t="s">
        <v>349</v>
      </c>
      <c r="H19" s="53"/>
    </row>
    <row r="20" spans="1:9" ht="22.9" customHeight="1">
      <c r="A20" s="47" t="s">
        <v>97</v>
      </c>
      <c r="B20" s="347"/>
      <c r="C20" s="347"/>
      <c r="D20" s="824" t="s">
        <v>346</v>
      </c>
      <c r="E20" s="825">
        <f>TRUNC((E9)*$F$20, 0)</f>
        <v>0</v>
      </c>
      <c r="F20" s="146">
        <v>6.0000000000000002E-5</v>
      </c>
      <c r="G20" s="144" t="s">
        <v>353</v>
      </c>
      <c r="H20" s="144"/>
    </row>
    <row r="21" spans="1:9" ht="22.9" customHeight="1">
      <c r="A21" s="47" t="s">
        <v>102</v>
      </c>
      <c r="B21" s="347"/>
      <c r="C21" s="347"/>
      <c r="D21" s="144" t="s">
        <v>337</v>
      </c>
      <c r="E21" s="145">
        <f>TRUNC((E9)*$F$21, 0)</f>
        <v>0</v>
      </c>
      <c r="F21" s="147">
        <v>8.9999999999999998E-4</v>
      </c>
      <c r="G21" s="144" t="s">
        <v>354</v>
      </c>
      <c r="H21" s="144"/>
    </row>
    <row r="22" spans="1:9" ht="22.9" hidden="1" customHeight="1" outlineLevel="1">
      <c r="A22" s="47"/>
      <c r="B22" s="347"/>
      <c r="C22" s="347"/>
      <c r="D22" s="101" t="s">
        <v>138</v>
      </c>
      <c r="E22" s="102">
        <f>TRUNC((E6+E7+E10)*$F$22, 0)*0</f>
        <v>0</v>
      </c>
      <c r="F22" s="103">
        <v>1.4100000000000001E-4</v>
      </c>
      <c r="G22" s="101" t="s">
        <v>139</v>
      </c>
      <c r="H22" s="104" t="s">
        <v>366</v>
      </c>
    </row>
    <row r="23" spans="1:9" ht="22.9" hidden="1" customHeight="1" outlineLevel="1">
      <c r="A23" s="47"/>
      <c r="B23" s="347"/>
      <c r="C23" s="347"/>
      <c r="D23" s="101" t="s">
        <v>361</v>
      </c>
      <c r="E23" s="102">
        <f>TRUNC((E4+E7+E10)*$F$23, 0)*0</f>
        <v>0</v>
      </c>
      <c r="F23" s="105">
        <v>8.0999999999999996E-4</v>
      </c>
      <c r="G23" s="101" t="s">
        <v>140</v>
      </c>
      <c r="H23" s="104" t="s">
        <v>362</v>
      </c>
    </row>
    <row r="24" spans="1:9" s="55" customFormat="1" ht="22.9" customHeight="1" collapsed="1">
      <c r="A24" s="54"/>
      <c r="B24" s="347"/>
      <c r="C24" s="347"/>
      <c r="D24" s="824" t="s">
        <v>359</v>
      </c>
      <c r="E24" s="825">
        <f>내역!L139+내역!L267</f>
        <v>0</v>
      </c>
      <c r="F24" s="144"/>
      <c r="G24" s="144" t="s">
        <v>360</v>
      </c>
      <c r="H24" s="48"/>
    </row>
    <row r="25" spans="1:9" ht="22.9" customHeight="1">
      <c r="A25" s="47" t="s">
        <v>97</v>
      </c>
      <c r="B25" s="347"/>
      <c r="C25" s="347"/>
      <c r="D25" s="824" t="s">
        <v>98</v>
      </c>
      <c r="E25" s="825">
        <f>TRUNC((E6+E7+E10)*$F$25, 0)</f>
        <v>0</v>
      </c>
      <c r="F25" s="52">
        <v>3.0000000000000001E-3</v>
      </c>
      <c r="G25" s="48" t="s">
        <v>99</v>
      </c>
      <c r="H25" s="48"/>
    </row>
    <row r="26" spans="1:9" ht="22.9" customHeight="1">
      <c r="A26" s="47" t="s">
        <v>102</v>
      </c>
      <c r="B26" s="347"/>
      <c r="C26" s="347"/>
      <c r="D26" s="824" t="s">
        <v>363</v>
      </c>
      <c r="E26" s="825">
        <f>TRUNC((E6+E7+E10)*$F$26, 0)</f>
        <v>0</v>
      </c>
      <c r="F26" s="147">
        <v>6.9999999999999999E-4</v>
      </c>
      <c r="G26" s="144" t="s">
        <v>103</v>
      </c>
      <c r="H26" s="144" t="s">
        <v>364</v>
      </c>
    </row>
    <row r="27" spans="1:9" ht="22.9" customHeight="1">
      <c r="A27" s="47" t="s">
        <v>104</v>
      </c>
      <c r="B27" s="348"/>
      <c r="C27" s="348"/>
      <c r="D27" s="65" t="s">
        <v>72</v>
      </c>
      <c r="E27" s="66">
        <f>TRUNC(E10+E11+E12+E13+E15+E16+E17+E14+E19+E25+E26+E22+E23+E20+E21+E24, 0)</f>
        <v>0</v>
      </c>
      <c r="F27" s="65" t="s">
        <v>68</v>
      </c>
      <c r="G27" s="65" t="s">
        <v>68</v>
      </c>
      <c r="H27" s="65" t="s">
        <v>68</v>
      </c>
    </row>
    <row r="28" spans="1:9" ht="22.9" customHeight="1">
      <c r="A28" s="47" t="s">
        <v>105</v>
      </c>
      <c r="B28" s="345" t="s">
        <v>106</v>
      </c>
      <c r="C28" s="345"/>
      <c r="D28" s="345"/>
      <c r="E28" s="51">
        <f>TRUNC(E6+E9+E27, 0)</f>
        <v>0</v>
      </c>
      <c r="F28" s="50" t="s">
        <v>68</v>
      </c>
      <c r="G28" s="50" t="s">
        <v>68</v>
      </c>
      <c r="H28" s="50" t="s">
        <v>68</v>
      </c>
    </row>
    <row r="29" spans="1:9" ht="22.9" customHeight="1">
      <c r="A29" s="47" t="s">
        <v>107</v>
      </c>
      <c r="B29" s="340" t="s">
        <v>108</v>
      </c>
      <c r="C29" s="340"/>
      <c r="D29" s="340"/>
      <c r="E29" s="49">
        <f>INT(E28*$F$29)</f>
        <v>0</v>
      </c>
      <c r="F29" s="52">
        <v>0.08</v>
      </c>
      <c r="G29" s="48" t="s">
        <v>163</v>
      </c>
      <c r="H29" s="48"/>
    </row>
    <row r="30" spans="1:9" ht="22.9" customHeight="1">
      <c r="A30" s="47" t="s">
        <v>109</v>
      </c>
      <c r="B30" s="340" t="s">
        <v>110</v>
      </c>
      <c r="C30" s="340"/>
      <c r="D30" s="340"/>
      <c r="E30" s="49">
        <f>INT(E9+E27+E29)*$F$30-23750/1.1</f>
        <v>-21590.909090909088</v>
      </c>
      <c r="F30" s="52">
        <v>0.15</v>
      </c>
      <c r="G30" s="48" t="s">
        <v>162</v>
      </c>
      <c r="H30" s="48"/>
    </row>
    <row r="31" spans="1:9" s="55" customFormat="1" ht="22.9" hidden="1" customHeight="1" outlineLevel="1">
      <c r="A31" s="54"/>
      <c r="B31" s="349" t="s">
        <v>367</v>
      </c>
      <c r="C31" s="350"/>
      <c r="D31" s="351"/>
      <c r="E31" s="49">
        <v>0</v>
      </c>
      <c r="F31" s="48"/>
      <c r="G31" s="48"/>
      <c r="H31" s="48"/>
    </row>
    <row r="32" spans="1:9" ht="22.9" customHeight="1" collapsed="1">
      <c r="A32" s="47" t="s">
        <v>111</v>
      </c>
      <c r="B32" s="345" t="s">
        <v>112</v>
      </c>
      <c r="C32" s="345"/>
      <c r="D32" s="345"/>
      <c r="E32" s="51">
        <f>TRUNC(E30+E29+E28+E31,0)</f>
        <v>-21590</v>
      </c>
      <c r="F32" s="50" t="s">
        <v>68</v>
      </c>
      <c r="G32" s="50" t="s">
        <v>68</v>
      </c>
      <c r="H32" s="50"/>
    </row>
    <row r="33" spans="1:8" ht="22.9" customHeight="1">
      <c r="A33" s="47" t="s">
        <v>113</v>
      </c>
      <c r="B33" s="340" t="s">
        <v>114</v>
      </c>
      <c r="C33" s="340"/>
      <c r="D33" s="340"/>
      <c r="E33" s="49">
        <f>TRUNC(E32*$F$33, 0)</f>
        <v>-2159</v>
      </c>
      <c r="F33" s="58">
        <v>0.1</v>
      </c>
      <c r="G33" s="48" t="s">
        <v>115</v>
      </c>
      <c r="H33" s="48" t="s">
        <v>68</v>
      </c>
    </row>
    <row r="34" spans="1:8" ht="22.9" customHeight="1">
      <c r="A34" s="47" t="s">
        <v>116</v>
      </c>
      <c r="B34" s="345" t="s">
        <v>117</v>
      </c>
      <c r="C34" s="345"/>
      <c r="D34" s="345"/>
      <c r="E34" s="51">
        <f>TRUNC(E32+E33,)</f>
        <v>-23749</v>
      </c>
      <c r="F34" s="50" t="s">
        <v>68</v>
      </c>
      <c r="G34" s="50" t="s">
        <v>68</v>
      </c>
      <c r="H34" s="50" t="s">
        <v>68</v>
      </c>
    </row>
    <row r="35" spans="1:8" ht="22.5" customHeight="1" outlineLevel="1">
      <c r="A35" s="47"/>
      <c r="B35" s="828" t="s">
        <v>2862</v>
      </c>
      <c r="C35" s="829"/>
      <c r="D35" s="830"/>
      <c r="E35" s="825">
        <f>집계!L8</f>
        <v>0</v>
      </c>
      <c r="F35" s="246"/>
      <c r="G35" s="246"/>
      <c r="H35" s="246"/>
    </row>
    <row r="36" spans="1:8" ht="22.9" customHeight="1">
      <c r="A36" s="47" t="s">
        <v>118</v>
      </c>
      <c r="B36" s="826" t="s">
        <v>119</v>
      </c>
      <c r="C36" s="826"/>
      <c r="D36" s="826"/>
      <c r="E36" s="827">
        <f>E34+E35</f>
        <v>-23749</v>
      </c>
      <c r="F36" s="59" t="s">
        <v>68</v>
      </c>
      <c r="G36" s="59" t="s">
        <v>68</v>
      </c>
      <c r="H36" s="59" t="s">
        <v>68</v>
      </c>
    </row>
    <row r="37" spans="1:8" ht="22.5" customHeight="1" outlineLevel="1">
      <c r="E37" s="159"/>
    </row>
    <row r="38" spans="1:8" ht="22.5" customHeight="1" outlineLevel="1">
      <c r="E38" s="161"/>
      <c r="F38" s="160"/>
      <c r="G38" s="61"/>
    </row>
    <row r="39" spans="1:8" ht="22.5" customHeight="1">
      <c r="D39" s="62"/>
      <c r="E39" s="63"/>
      <c r="F39" s="61"/>
      <c r="G39" s="61"/>
    </row>
    <row r="40" spans="1:8" ht="22.5" customHeight="1">
      <c r="E40" s="63"/>
      <c r="F40" s="64"/>
      <c r="G40" s="64"/>
    </row>
    <row r="41" spans="1:8" ht="22.5" customHeight="1">
      <c r="E41" s="63"/>
    </row>
    <row r="42" spans="1:8" ht="22.5" customHeight="1">
      <c r="E42" s="63"/>
    </row>
    <row r="43" spans="1:8" ht="22.5" customHeight="1"/>
    <row r="44" spans="1:8" ht="22.5" customHeight="1"/>
    <row r="45" spans="1:8" ht="22.5" customHeight="1"/>
    <row r="46" spans="1:8" ht="22.5" customHeight="1"/>
    <row r="47" spans="1:8" ht="22.5" customHeight="1"/>
    <row r="48" spans="1:8" ht="22.5" customHeight="1"/>
  </sheetData>
  <mergeCells count="17">
    <mergeCell ref="B32:D32"/>
    <mergeCell ref="B36:D36"/>
    <mergeCell ref="B35:D35"/>
    <mergeCell ref="B33:D33"/>
    <mergeCell ref="B1:H1"/>
    <mergeCell ref="F2:H2"/>
    <mergeCell ref="B3:D3"/>
    <mergeCell ref="C2:E2"/>
    <mergeCell ref="B34:D34"/>
    <mergeCell ref="B4:B27"/>
    <mergeCell ref="C10:C27"/>
    <mergeCell ref="C7:C9"/>
    <mergeCell ref="C4:C6"/>
    <mergeCell ref="B28:D28"/>
    <mergeCell ref="B29:D29"/>
    <mergeCell ref="B30:D30"/>
    <mergeCell ref="B31:D31"/>
  </mergeCells>
  <phoneticPr fontId="2" type="noConversion"/>
  <pageMargins left="0.47244094488188981" right="0.31496062992125984" top="0.39370078740157483" bottom="7.874015748031496E-2" header="0" footer="0"/>
  <pageSetup paperSize="9" scale="7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124</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19"/>
  <sheetViews>
    <sheetView workbookViewId="0">
      <selection activeCell="BM23" sqref="BM23"/>
    </sheetView>
  </sheetViews>
  <sheetFormatPr defaultRowHeight="24" customHeight="1"/>
  <cols>
    <col min="1" max="1" width="24" style="226" customWidth="1"/>
    <col min="2" max="2" width="20.25" style="207" customWidth="1"/>
    <col min="3" max="3" width="6" style="208" customWidth="1"/>
    <col min="4" max="4" width="3.75" style="208" customWidth="1"/>
    <col min="5" max="5" width="8.25" style="209" customWidth="1"/>
    <col min="6" max="6" width="9" style="209" customWidth="1"/>
    <col min="7" max="7" width="8.25" style="209" customWidth="1"/>
    <col min="8" max="8" width="9" style="209" customWidth="1"/>
    <col min="9" max="9" width="8.25" style="209" customWidth="1"/>
    <col min="10" max="11" width="9" style="209" customWidth="1"/>
    <col min="12" max="12" width="9.75" style="209" customWidth="1"/>
    <col min="13" max="13" width="4.5" style="209" customWidth="1"/>
    <col min="14" max="62" width="0" style="209" hidden="1" customWidth="1"/>
    <col min="63" max="256" width="9" style="209"/>
    <col min="257" max="257" width="24" style="209" customWidth="1"/>
    <col min="258" max="258" width="20.25" style="209" customWidth="1"/>
    <col min="259" max="259" width="6" style="209" customWidth="1"/>
    <col min="260" max="260" width="3.75" style="209" customWidth="1"/>
    <col min="261" max="261" width="8.25" style="209" customWidth="1"/>
    <col min="262" max="262" width="9" style="209"/>
    <col min="263" max="263" width="8.25" style="209" customWidth="1"/>
    <col min="264" max="264" width="9" style="209"/>
    <col min="265" max="265" width="8.25" style="209" customWidth="1"/>
    <col min="266" max="267" width="9" style="209"/>
    <col min="268" max="268" width="9.75" style="209" customWidth="1"/>
    <col min="269" max="269" width="4.5" style="209" customWidth="1"/>
    <col min="270" max="318" width="0" style="209" hidden="1" customWidth="1"/>
    <col min="319" max="512" width="9" style="209"/>
    <col min="513" max="513" width="24" style="209" customWidth="1"/>
    <col min="514" max="514" width="20.25" style="209" customWidth="1"/>
    <col min="515" max="515" width="6" style="209" customWidth="1"/>
    <col min="516" max="516" width="3.75" style="209" customWidth="1"/>
    <col min="517" max="517" width="8.25" style="209" customWidth="1"/>
    <col min="518" max="518" width="9" style="209"/>
    <col min="519" max="519" width="8.25" style="209" customWidth="1"/>
    <col min="520" max="520" width="9" style="209"/>
    <col min="521" max="521" width="8.25" style="209" customWidth="1"/>
    <col min="522" max="523" width="9" style="209"/>
    <col min="524" max="524" width="9.75" style="209" customWidth="1"/>
    <col min="525" max="525" width="4.5" style="209" customWidth="1"/>
    <col min="526" max="574" width="0" style="209" hidden="1" customWidth="1"/>
    <col min="575" max="768" width="9" style="209"/>
    <col min="769" max="769" width="24" style="209" customWidth="1"/>
    <col min="770" max="770" width="20.25" style="209" customWidth="1"/>
    <col min="771" max="771" width="6" style="209" customWidth="1"/>
    <col min="772" max="772" width="3.75" style="209" customWidth="1"/>
    <col min="773" max="773" width="8.25" style="209" customWidth="1"/>
    <col min="774" max="774" width="9" style="209"/>
    <col min="775" max="775" width="8.25" style="209" customWidth="1"/>
    <col min="776" max="776" width="9" style="209"/>
    <col min="777" max="777" width="8.25" style="209" customWidth="1"/>
    <col min="778" max="779" width="9" style="209"/>
    <col min="780" max="780" width="9.75" style="209" customWidth="1"/>
    <col min="781" max="781" width="4.5" style="209" customWidth="1"/>
    <col min="782" max="830" width="0" style="209" hidden="1" customWidth="1"/>
    <col min="831" max="1024" width="9" style="209"/>
    <col min="1025" max="1025" width="24" style="209" customWidth="1"/>
    <col min="1026" max="1026" width="20.25" style="209" customWidth="1"/>
    <col min="1027" max="1027" width="6" style="209" customWidth="1"/>
    <col min="1028" max="1028" width="3.75" style="209" customWidth="1"/>
    <col min="1029" max="1029" width="8.25" style="209" customWidth="1"/>
    <col min="1030" max="1030" width="9" style="209"/>
    <col min="1031" max="1031" width="8.25" style="209" customWidth="1"/>
    <col min="1032" max="1032" width="9" style="209"/>
    <col min="1033" max="1033" width="8.25" style="209" customWidth="1"/>
    <col min="1034" max="1035" width="9" style="209"/>
    <col min="1036" max="1036" width="9.75" style="209" customWidth="1"/>
    <col min="1037" max="1037" width="4.5" style="209" customWidth="1"/>
    <col min="1038" max="1086" width="0" style="209" hidden="1" customWidth="1"/>
    <col min="1087" max="1280" width="9" style="209"/>
    <col min="1281" max="1281" width="24" style="209" customWidth="1"/>
    <col min="1282" max="1282" width="20.25" style="209" customWidth="1"/>
    <col min="1283" max="1283" width="6" style="209" customWidth="1"/>
    <col min="1284" max="1284" width="3.75" style="209" customWidth="1"/>
    <col min="1285" max="1285" width="8.25" style="209" customWidth="1"/>
    <col min="1286" max="1286" width="9" style="209"/>
    <col min="1287" max="1287" width="8.25" style="209" customWidth="1"/>
    <col min="1288" max="1288" width="9" style="209"/>
    <col min="1289" max="1289" width="8.25" style="209" customWidth="1"/>
    <col min="1290" max="1291" width="9" style="209"/>
    <col min="1292" max="1292" width="9.75" style="209" customWidth="1"/>
    <col min="1293" max="1293" width="4.5" style="209" customWidth="1"/>
    <col min="1294" max="1342" width="0" style="209" hidden="1" customWidth="1"/>
    <col min="1343" max="1536" width="9" style="209"/>
    <col min="1537" max="1537" width="24" style="209" customWidth="1"/>
    <col min="1538" max="1538" width="20.25" style="209" customWidth="1"/>
    <col min="1539" max="1539" width="6" style="209" customWidth="1"/>
    <col min="1540" max="1540" width="3.75" style="209" customWidth="1"/>
    <col min="1541" max="1541" width="8.25" style="209" customWidth="1"/>
    <col min="1542" max="1542" width="9" style="209"/>
    <col min="1543" max="1543" width="8.25" style="209" customWidth="1"/>
    <col min="1544" max="1544" width="9" style="209"/>
    <col min="1545" max="1545" width="8.25" style="209" customWidth="1"/>
    <col min="1546" max="1547" width="9" style="209"/>
    <col min="1548" max="1548" width="9.75" style="209" customWidth="1"/>
    <col min="1549" max="1549" width="4.5" style="209" customWidth="1"/>
    <col min="1550" max="1598" width="0" style="209" hidden="1" customWidth="1"/>
    <col min="1599" max="1792" width="9" style="209"/>
    <col min="1793" max="1793" width="24" style="209" customWidth="1"/>
    <col min="1794" max="1794" width="20.25" style="209" customWidth="1"/>
    <col min="1795" max="1795" width="6" style="209" customWidth="1"/>
    <col min="1796" max="1796" width="3.75" style="209" customWidth="1"/>
    <col min="1797" max="1797" width="8.25" style="209" customWidth="1"/>
    <col min="1798" max="1798" width="9" style="209"/>
    <col min="1799" max="1799" width="8.25" style="209" customWidth="1"/>
    <col min="1800" max="1800" width="9" style="209"/>
    <col min="1801" max="1801" width="8.25" style="209" customWidth="1"/>
    <col min="1802" max="1803" width="9" style="209"/>
    <col min="1804" max="1804" width="9.75" style="209" customWidth="1"/>
    <col min="1805" max="1805" width="4.5" style="209" customWidth="1"/>
    <col min="1806" max="1854" width="0" style="209" hidden="1" customWidth="1"/>
    <col min="1855" max="2048" width="9" style="209"/>
    <col min="2049" max="2049" width="24" style="209" customWidth="1"/>
    <col min="2050" max="2050" width="20.25" style="209" customWidth="1"/>
    <col min="2051" max="2051" width="6" style="209" customWidth="1"/>
    <col min="2052" max="2052" width="3.75" style="209" customWidth="1"/>
    <col min="2053" max="2053" width="8.25" style="209" customWidth="1"/>
    <col min="2054" max="2054" width="9" style="209"/>
    <col min="2055" max="2055" width="8.25" style="209" customWidth="1"/>
    <col min="2056" max="2056" width="9" style="209"/>
    <col min="2057" max="2057" width="8.25" style="209" customWidth="1"/>
    <col min="2058" max="2059" width="9" style="209"/>
    <col min="2060" max="2060" width="9.75" style="209" customWidth="1"/>
    <col min="2061" max="2061" width="4.5" style="209" customWidth="1"/>
    <col min="2062" max="2110" width="0" style="209" hidden="1" customWidth="1"/>
    <col min="2111" max="2304" width="9" style="209"/>
    <col min="2305" max="2305" width="24" style="209" customWidth="1"/>
    <col min="2306" max="2306" width="20.25" style="209" customWidth="1"/>
    <col min="2307" max="2307" width="6" style="209" customWidth="1"/>
    <col min="2308" max="2308" width="3.75" style="209" customWidth="1"/>
    <col min="2309" max="2309" width="8.25" style="209" customWidth="1"/>
    <col min="2310" max="2310" width="9" style="209"/>
    <col min="2311" max="2311" width="8.25" style="209" customWidth="1"/>
    <col min="2312" max="2312" width="9" style="209"/>
    <col min="2313" max="2313" width="8.25" style="209" customWidth="1"/>
    <col min="2314" max="2315" width="9" style="209"/>
    <col min="2316" max="2316" width="9.75" style="209" customWidth="1"/>
    <col min="2317" max="2317" width="4.5" style="209" customWidth="1"/>
    <col min="2318" max="2366" width="0" style="209" hidden="1" customWidth="1"/>
    <col min="2367" max="2560" width="9" style="209"/>
    <col min="2561" max="2561" width="24" style="209" customWidth="1"/>
    <col min="2562" max="2562" width="20.25" style="209" customWidth="1"/>
    <col min="2563" max="2563" width="6" style="209" customWidth="1"/>
    <col min="2564" max="2564" width="3.75" style="209" customWidth="1"/>
    <col min="2565" max="2565" width="8.25" style="209" customWidth="1"/>
    <col min="2566" max="2566" width="9" style="209"/>
    <col min="2567" max="2567" width="8.25" style="209" customWidth="1"/>
    <col min="2568" max="2568" width="9" style="209"/>
    <col min="2569" max="2569" width="8.25" style="209" customWidth="1"/>
    <col min="2570" max="2571" width="9" style="209"/>
    <col min="2572" max="2572" width="9.75" style="209" customWidth="1"/>
    <col min="2573" max="2573" width="4.5" style="209" customWidth="1"/>
    <col min="2574" max="2622" width="0" style="209" hidden="1" customWidth="1"/>
    <col min="2623" max="2816" width="9" style="209"/>
    <col min="2817" max="2817" width="24" style="209" customWidth="1"/>
    <col min="2818" max="2818" width="20.25" style="209" customWidth="1"/>
    <col min="2819" max="2819" width="6" style="209" customWidth="1"/>
    <col min="2820" max="2820" width="3.75" style="209" customWidth="1"/>
    <col min="2821" max="2821" width="8.25" style="209" customWidth="1"/>
    <col min="2822" max="2822" width="9" style="209"/>
    <col min="2823" max="2823" width="8.25" style="209" customWidth="1"/>
    <col min="2824" max="2824" width="9" style="209"/>
    <col min="2825" max="2825" width="8.25" style="209" customWidth="1"/>
    <col min="2826" max="2827" width="9" style="209"/>
    <col min="2828" max="2828" width="9.75" style="209" customWidth="1"/>
    <col min="2829" max="2829" width="4.5" style="209" customWidth="1"/>
    <col min="2830" max="2878" width="0" style="209" hidden="1" customWidth="1"/>
    <col min="2879" max="3072" width="9" style="209"/>
    <col min="3073" max="3073" width="24" style="209" customWidth="1"/>
    <col min="3074" max="3074" width="20.25" style="209" customWidth="1"/>
    <col min="3075" max="3075" width="6" style="209" customWidth="1"/>
    <col min="3076" max="3076" width="3.75" style="209" customWidth="1"/>
    <col min="3077" max="3077" width="8.25" style="209" customWidth="1"/>
    <col min="3078" max="3078" width="9" style="209"/>
    <col min="3079" max="3079" width="8.25" style="209" customWidth="1"/>
    <col min="3080" max="3080" width="9" style="209"/>
    <col min="3081" max="3081" width="8.25" style="209" customWidth="1"/>
    <col min="3082" max="3083" width="9" style="209"/>
    <col min="3084" max="3084" width="9.75" style="209" customWidth="1"/>
    <col min="3085" max="3085" width="4.5" style="209" customWidth="1"/>
    <col min="3086" max="3134" width="0" style="209" hidden="1" customWidth="1"/>
    <col min="3135" max="3328" width="9" style="209"/>
    <col min="3329" max="3329" width="24" style="209" customWidth="1"/>
    <col min="3330" max="3330" width="20.25" style="209" customWidth="1"/>
    <col min="3331" max="3331" width="6" style="209" customWidth="1"/>
    <col min="3332" max="3332" width="3.75" style="209" customWidth="1"/>
    <col min="3333" max="3333" width="8.25" style="209" customWidth="1"/>
    <col min="3334" max="3334" width="9" style="209"/>
    <col min="3335" max="3335" width="8.25" style="209" customWidth="1"/>
    <col min="3336" max="3336" width="9" style="209"/>
    <col min="3337" max="3337" width="8.25" style="209" customWidth="1"/>
    <col min="3338" max="3339" width="9" style="209"/>
    <col min="3340" max="3340" width="9.75" style="209" customWidth="1"/>
    <col min="3341" max="3341" width="4.5" style="209" customWidth="1"/>
    <col min="3342" max="3390" width="0" style="209" hidden="1" customWidth="1"/>
    <col min="3391" max="3584" width="9" style="209"/>
    <col min="3585" max="3585" width="24" style="209" customWidth="1"/>
    <col min="3586" max="3586" width="20.25" style="209" customWidth="1"/>
    <col min="3587" max="3587" width="6" style="209" customWidth="1"/>
    <col min="3588" max="3588" width="3.75" style="209" customWidth="1"/>
    <col min="3589" max="3589" width="8.25" style="209" customWidth="1"/>
    <col min="3590" max="3590" width="9" style="209"/>
    <col min="3591" max="3591" width="8.25" style="209" customWidth="1"/>
    <col min="3592" max="3592" width="9" style="209"/>
    <col min="3593" max="3593" width="8.25" style="209" customWidth="1"/>
    <col min="3594" max="3595" width="9" style="209"/>
    <col min="3596" max="3596" width="9.75" style="209" customWidth="1"/>
    <col min="3597" max="3597" width="4.5" style="209" customWidth="1"/>
    <col min="3598" max="3646" width="0" style="209" hidden="1" customWidth="1"/>
    <col min="3647" max="3840" width="9" style="209"/>
    <col min="3841" max="3841" width="24" style="209" customWidth="1"/>
    <col min="3842" max="3842" width="20.25" style="209" customWidth="1"/>
    <col min="3843" max="3843" width="6" style="209" customWidth="1"/>
    <col min="3844" max="3844" width="3.75" style="209" customWidth="1"/>
    <col min="3845" max="3845" width="8.25" style="209" customWidth="1"/>
    <col min="3846" max="3846" width="9" style="209"/>
    <col min="3847" max="3847" width="8.25" style="209" customWidth="1"/>
    <col min="3848" max="3848" width="9" style="209"/>
    <col min="3849" max="3849" width="8.25" style="209" customWidth="1"/>
    <col min="3850" max="3851" width="9" style="209"/>
    <col min="3852" max="3852" width="9.75" style="209" customWidth="1"/>
    <col min="3853" max="3853" width="4.5" style="209" customWidth="1"/>
    <col min="3854" max="3902" width="0" style="209" hidden="1" customWidth="1"/>
    <col min="3903" max="4096" width="9" style="209"/>
    <col min="4097" max="4097" width="24" style="209" customWidth="1"/>
    <col min="4098" max="4098" width="20.25" style="209" customWidth="1"/>
    <col min="4099" max="4099" width="6" style="209" customWidth="1"/>
    <col min="4100" max="4100" width="3.75" style="209" customWidth="1"/>
    <col min="4101" max="4101" width="8.25" style="209" customWidth="1"/>
    <col min="4102" max="4102" width="9" style="209"/>
    <col min="4103" max="4103" width="8.25" style="209" customWidth="1"/>
    <col min="4104" max="4104" width="9" style="209"/>
    <col min="4105" max="4105" width="8.25" style="209" customWidth="1"/>
    <col min="4106" max="4107" width="9" style="209"/>
    <col min="4108" max="4108" width="9.75" style="209" customWidth="1"/>
    <col min="4109" max="4109" width="4.5" style="209" customWidth="1"/>
    <col min="4110" max="4158" width="0" style="209" hidden="1" customWidth="1"/>
    <col min="4159" max="4352" width="9" style="209"/>
    <col min="4353" max="4353" width="24" style="209" customWidth="1"/>
    <col min="4354" max="4354" width="20.25" style="209" customWidth="1"/>
    <col min="4355" max="4355" width="6" style="209" customWidth="1"/>
    <col min="4356" max="4356" width="3.75" style="209" customWidth="1"/>
    <col min="4357" max="4357" width="8.25" style="209" customWidth="1"/>
    <col min="4358" max="4358" width="9" style="209"/>
    <col min="4359" max="4359" width="8.25" style="209" customWidth="1"/>
    <col min="4360" max="4360" width="9" style="209"/>
    <col min="4361" max="4361" width="8.25" style="209" customWidth="1"/>
    <col min="4362" max="4363" width="9" style="209"/>
    <col min="4364" max="4364" width="9.75" style="209" customWidth="1"/>
    <col min="4365" max="4365" width="4.5" style="209" customWidth="1"/>
    <col min="4366" max="4414" width="0" style="209" hidden="1" customWidth="1"/>
    <col min="4415" max="4608" width="9" style="209"/>
    <col min="4609" max="4609" width="24" style="209" customWidth="1"/>
    <col min="4610" max="4610" width="20.25" style="209" customWidth="1"/>
    <col min="4611" max="4611" width="6" style="209" customWidth="1"/>
    <col min="4612" max="4612" width="3.75" style="209" customWidth="1"/>
    <col min="4613" max="4613" width="8.25" style="209" customWidth="1"/>
    <col min="4614" max="4614" width="9" style="209"/>
    <col min="4615" max="4615" width="8.25" style="209" customWidth="1"/>
    <col min="4616" max="4616" width="9" style="209"/>
    <col min="4617" max="4617" width="8.25" style="209" customWidth="1"/>
    <col min="4618" max="4619" width="9" style="209"/>
    <col min="4620" max="4620" width="9.75" style="209" customWidth="1"/>
    <col min="4621" max="4621" width="4.5" style="209" customWidth="1"/>
    <col min="4622" max="4670" width="0" style="209" hidden="1" customWidth="1"/>
    <col min="4671" max="4864" width="9" style="209"/>
    <col min="4865" max="4865" width="24" style="209" customWidth="1"/>
    <col min="4866" max="4866" width="20.25" style="209" customWidth="1"/>
    <col min="4867" max="4867" width="6" style="209" customWidth="1"/>
    <col min="4868" max="4868" width="3.75" style="209" customWidth="1"/>
    <col min="4869" max="4869" width="8.25" style="209" customWidth="1"/>
    <col min="4870" max="4870" width="9" style="209"/>
    <col min="4871" max="4871" width="8.25" style="209" customWidth="1"/>
    <col min="4872" max="4872" width="9" style="209"/>
    <col min="4873" max="4873" width="8.25" style="209" customWidth="1"/>
    <col min="4874" max="4875" width="9" style="209"/>
    <col min="4876" max="4876" width="9.75" style="209" customWidth="1"/>
    <col min="4877" max="4877" width="4.5" style="209" customWidth="1"/>
    <col min="4878" max="4926" width="0" style="209" hidden="1" customWidth="1"/>
    <col min="4927" max="5120" width="9" style="209"/>
    <col min="5121" max="5121" width="24" style="209" customWidth="1"/>
    <col min="5122" max="5122" width="20.25" style="209" customWidth="1"/>
    <col min="5123" max="5123" width="6" style="209" customWidth="1"/>
    <col min="5124" max="5124" width="3.75" style="209" customWidth="1"/>
    <col min="5125" max="5125" width="8.25" style="209" customWidth="1"/>
    <col min="5126" max="5126" width="9" style="209"/>
    <col min="5127" max="5127" width="8.25" style="209" customWidth="1"/>
    <col min="5128" max="5128" width="9" style="209"/>
    <col min="5129" max="5129" width="8.25" style="209" customWidth="1"/>
    <col min="5130" max="5131" width="9" style="209"/>
    <col min="5132" max="5132" width="9.75" style="209" customWidth="1"/>
    <col min="5133" max="5133" width="4.5" style="209" customWidth="1"/>
    <col min="5134" max="5182" width="0" style="209" hidden="1" customWidth="1"/>
    <col min="5183" max="5376" width="9" style="209"/>
    <col min="5377" max="5377" width="24" style="209" customWidth="1"/>
    <col min="5378" max="5378" width="20.25" style="209" customWidth="1"/>
    <col min="5379" max="5379" width="6" style="209" customWidth="1"/>
    <col min="5380" max="5380" width="3.75" style="209" customWidth="1"/>
    <col min="5381" max="5381" width="8.25" style="209" customWidth="1"/>
    <col min="5382" max="5382" width="9" style="209"/>
    <col min="5383" max="5383" width="8.25" style="209" customWidth="1"/>
    <col min="5384" max="5384" width="9" style="209"/>
    <col min="5385" max="5385" width="8.25" style="209" customWidth="1"/>
    <col min="5386" max="5387" width="9" style="209"/>
    <col min="5388" max="5388" width="9.75" style="209" customWidth="1"/>
    <col min="5389" max="5389" width="4.5" style="209" customWidth="1"/>
    <col min="5390" max="5438" width="0" style="209" hidden="1" customWidth="1"/>
    <col min="5439" max="5632" width="9" style="209"/>
    <col min="5633" max="5633" width="24" style="209" customWidth="1"/>
    <col min="5634" max="5634" width="20.25" style="209" customWidth="1"/>
    <col min="5635" max="5635" width="6" style="209" customWidth="1"/>
    <col min="5636" max="5636" width="3.75" style="209" customWidth="1"/>
    <col min="5637" max="5637" width="8.25" style="209" customWidth="1"/>
    <col min="5638" max="5638" width="9" style="209"/>
    <col min="5639" max="5639" width="8.25" style="209" customWidth="1"/>
    <col min="5640" max="5640" width="9" style="209"/>
    <col min="5641" max="5641" width="8.25" style="209" customWidth="1"/>
    <col min="5642" max="5643" width="9" style="209"/>
    <col min="5644" max="5644" width="9.75" style="209" customWidth="1"/>
    <col min="5645" max="5645" width="4.5" style="209" customWidth="1"/>
    <col min="5646" max="5694" width="0" style="209" hidden="1" customWidth="1"/>
    <col min="5695" max="5888" width="9" style="209"/>
    <col min="5889" max="5889" width="24" style="209" customWidth="1"/>
    <col min="5890" max="5890" width="20.25" style="209" customWidth="1"/>
    <col min="5891" max="5891" width="6" style="209" customWidth="1"/>
    <col min="5892" max="5892" width="3.75" style="209" customWidth="1"/>
    <col min="5893" max="5893" width="8.25" style="209" customWidth="1"/>
    <col min="5894" max="5894" width="9" style="209"/>
    <col min="5895" max="5895" width="8.25" style="209" customWidth="1"/>
    <col min="5896" max="5896" width="9" style="209"/>
    <col min="5897" max="5897" width="8.25" style="209" customWidth="1"/>
    <col min="5898" max="5899" width="9" style="209"/>
    <col min="5900" max="5900" width="9.75" style="209" customWidth="1"/>
    <col min="5901" max="5901" width="4.5" style="209" customWidth="1"/>
    <col min="5902" max="5950" width="0" style="209" hidden="1" customWidth="1"/>
    <col min="5951" max="6144" width="9" style="209"/>
    <col min="6145" max="6145" width="24" style="209" customWidth="1"/>
    <col min="6146" max="6146" width="20.25" style="209" customWidth="1"/>
    <col min="6147" max="6147" width="6" style="209" customWidth="1"/>
    <col min="6148" max="6148" width="3.75" style="209" customWidth="1"/>
    <col min="6149" max="6149" width="8.25" style="209" customWidth="1"/>
    <col min="6150" max="6150" width="9" style="209"/>
    <col min="6151" max="6151" width="8.25" style="209" customWidth="1"/>
    <col min="6152" max="6152" width="9" style="209"/>
    <col min="6153" max="6153" width="8.25" style="209" customWidth="1"/>
    <col min="6154" max="6155" width="9" style="209"/>
    <col min="6156" max="6156" width="9.75" style="209" customWidth="1"/>
    <col min="6157" max="6157" width="4.5" style="209" customWidth="1"/>
    <col min="6158" max="6206" width="0" style="209" hidden="1" customWidth="1"/>
    <col min="6207" max="6400" width="9" style="209"/>
    <col min="6401" max="6401" width="24" style="209" customWidth="1"/>
    <col min="6402" max="6402" width="20.25" style="209" customWidth="1"/>
    <col min="6403" max="6403" width="6" style="209" customWidth="1"/>
    <col min="6404" max="6404" width="3.75" style="209" customWidth="1"/>
    <col min="6405" max="6405" width="8.25" style="209" customWidth="1"/>
    <col min="6406" max="6406" width="9" style="209"/>
    <col min="6407" max="6407" width="8.25" style="209" customWidth="1"/>
    <col min="6408" max="6408" width="9" style="209"/>
    <col min="6409" max="6409" width="8.25" style="209" customWidth="1"/>
    <col min="6410" max="6411" width="9" style="209"/>
    <col min="6412" max="6412" width="9.75" style="209" customWidth="1"/>
    <col min="6413" max="6413" width="4.5" style="209" customWidth="1"/>
    <col min="6414" max="6462" width="0" style="209" hidden="1" customWidth="1"/>
    <col min="6463" max="6656" width="9" style="209"/>
    <col min="6657" max="6657" width="24" style="209" customWidth="1"/>
    <col min="6658" max="6658" width="20.25" style="209" customWidth="1"/>
    <col min="6659" max="6659" width="6" style="209" customWidth="1"/>
    <col min="6660" max="6660" width="3.75" style="209" customWidth="1"/>
    <col min="6661" max="6661" width="8.25" style="209" customWidth="1"/>
    <col min="6662" max="6662" width="9" style="209"/>
    <col min="6663" max="6663" width="8.25" style="209" customWidth="1"/>
    <col min="6664" max="6664" width="9" style="209"/>
    <col min="6665" max="6665" width="8.25" style="209" customWidth="1"/>
    <col min="6666" max="6667" width="9" style="209"/>
    <col min="6668" max="6668" width="9.75" style="209" customWidth="1"/>
    <col min="6669" max="6669" width="4.5" style="209" customWidth="1"/>
    <col min="6670" max="6718" width="0" style="209" hidden="1" customWidth="1"/>
    <col min="6719" max="6912" width="9" style="209"/>
    <col min="6913" max="6913" width="24" style="209" customWidth="1"/>
    <col min="6914" max="6914" width="20.25" style="209" customWidth="1"/>
    <col min="6915" max="6915" width="6" style="209" customWidth="1"/>
    <col min="6916" max="6916" width="3.75" style="209" customWidth="1"/>
    <col min="6917" max="6917" width="8.25" style="209" customWidth="1"/>
    <col min="6918" max="6918" width="9" style="209"/>
    <col min="6919" max="6919" width="8.25" style="209" customWidth="1"/>
    <col min="6920" max="6920" width="9" style="209"/>
    <col min="6921" max="6921" width="8.25" style="209" customWidth="1"/>
    <col min="6922" max="6923" width="9" style="209"/>
    <col min="6924" max="6924" width="9.75" style="209" customWidth="1"/>
    <col min="6925" max="6925" width="4.5" style="209" customWidth="1"/>
    <col min="6926" max="6974" width="0" style="209" hidden="1" customWidth="1"/>
    <col min="6975" max="7168" width="9" style="209"/>
    <col min="7169" max="7169" width="24" style="209" customWidth="1"/>
    <col min="7170" max="7170" width="20.25" style="209" customWidth="1"/>
    <col min="7171" max="7171" width="6" style="209" customWidth="1"/>
    <col min="7172" max="7172" width="3.75" style="209" customWidth="1"/>
    <col min="7173" max="7173" width="8.25" style="209" customWidth="1"/>
    <col min="7174" max="7174" width="9" style="209"/>
    <col min="7175" max="7175" width="8.25" style="209" customWidth="1"/>
    <col min="7176" max="7176" width="9" style="209"/>
    <col min="7177" max="7177" width="8.25" style="209" customWidth="1"/>
    <col min="7178" max="7179" width="9" style="209"/>
    <col min="7180" max="7180" width="9.75" style="209" customWidth="1"/>
    <col min="7181" max="7181" width="4.5" style="209" customWidth="1"/>
    <col min="7182" max="7230" width="0" style="209" hidden="1" customWidth="1"/>
    <col min="7231" max="7424" width="9" style="209"/>
    <col min="7425" max="7425" width="24" style="209" customWidth="1"/>
    <col min="7426" max="7426" width="20.25" style="209" customWidth="1"/>
    <col min="7427" max="7427" width="6" style="209" customWidth="1"/>
    <col min="7428" max="7428" width="3.75" style="209" customWidth="1"/>
    <col min="7429" max="7429" width="8.25" style="209" customWidth="1"/>
    <col min="7430" max="7430" width="9" style="209"/>
    <col min="7431" max="7431" width="8.25" style="209" customWidth="1"/>
    <col min="7432" max="7432" width="9" style="209"/>
    <col min="7433" max="7433" width="8.25" style="209" customWidth="1"/>
    <col min="7434" max="7435" width="9" style="209"/>
    <col min="7436" max="7436" width="9.75" style="209" customWidth="1"/>
    <col min="7437" max="7437" width="4.5" style="209" customWidth="1"/>
    <col min="7438" max="7486" width="0" style="209" hidden="1" customWidth="1"/>
    <col min="7487" max="7680" width="9" style="209"/>
    <col min="7681" max="7681" width="24" style="209" customWidth="1"/>
    <col min="7682" max="7682" width="20.25" style="209" customWidth="1"/>
    <col min="7683" max="7683" width="6" style="209" customWidth="1"/>
    <col min="7684" max="7684" width="3.75" style="209" customWidth="1"/>
    <col min="7685" max="7685" width="8.25" style="209" customWidth="1"/>
    <col min="7686" max="7686" width="9" style="209"/>
    <col min="7687" max="7687" width="8.25" style="209" customWidth="1"/>
    <col min="7688" max="7688" width="9" style="209"/>
    <col min="7689" max="7689" width="8.25" style="209" customWidth="1"/>
    <col min="7690" max="7691" width="9" style="209"/>
    <col min="7692" max="7692" width="9.75" style="209" customWidth="1"/>
    <col min="7693" max="7693" width="4.5" style="209" customWidth="1"/>
    <col min="7694" max="7742" width="0" style="209" hidden="1" customWidth="1"/>
    <col min="7743" max="7936" width="9" style="209"/>
    <col min="7937" max="7937" width="24" style="209" customWidth="1"/>
    <col min="7938" max="7938" width="20.25" style="209" customWidth="1"/>
    <col min="7939" max="7939" width="6" style="209" customWidth="1"/>
    <col min="7940" max="7940" width="3.75" style="209" customWidth="1"/>
    <col min="7941" max="7941" width="8.25" style="209" customWidth="1"/>
    <col min="7942" max="7942" width="9" style="209"/>
    <col min="7943" max="7943" width="8.25" style="209" customWidth="1"/>
    <col min="7944" max="7944" width="9" style="209"/>
    <col min="7945" max="7945" width="8.25" style="209" customWidth="1"/>
    <col min="7946" max="7947" width="9" style="209"/>
    <col min="7948" max="7948" width="9.75" style="209" customWidth="1"/>
    <col min="7949" max="7949" width="4.5" style="209" customWidth="1"/>
    <col min="7950" max="7998" width="0" style="209" hidden="1" customWidth="1"/>
    <col min="7999" max="8192" width="9" style="209"/>
    <col min="8193" max="8193" width="24" style="209" customWidth="1"/>
    <col min="8194" max="8194" width="20.25" style="209" customWidth="1"/>
    <col min="8195" max="8195" width="6" style="209" customWidth="1"/>
    <col min="8196" max="8196" width="3.75" style="209" customWidth="1"/>
    <col min="8197" max="8197" width="8.25" style="209" customWidth="1"/>
    <col min="8198" max="8198" width="9" style="209"/>
    <col min="8199" max="8199" width="8.25" style="209" customWidth="1"/>
    <col min="8200" max="8200" width="9" style="209"/>
    <col min="8201" max="8201" width="8.25" style="209" customWidth="1"/>
    <col min="8202" max="8203" width="9" style="209"/>
    <col min="8204" max="8204" width="9.75" style="209" customWidth="1"/>
    <col min="8205" max="8205" width="4.5" style="209" customWidth="1"/>
    <col min="8206" max="8254" width="0" style="209" hidden="1" customWidth="1"/>
    <col min="8255" max="8448" width="9" style="209"/>
    <col min="8449" max="8449" width="24" style="209" customWidth="1"/>
    <col min="8450" max="8450" width="20.25" style="209" customWidth="1"/>
    <col min="8451" max="8451" width="6" style="209" customWidth="1"/>
    <col min="8452" max="8452" width="3.75" style="209" customWidth="1"/>
    <col min="8453" max="8453" width="8.25" style="209" customWidth="1"/>
    <col min="8454" max="8454" width="9" style="209"/>
    <col min="8455" max="8455" width="8.25" style="209" customWidth="1"/>
    <col min="8456" max="8456" width="9" style="209"/>
    <col min="8457" max="8457" width="8.25" style="209" customWidth="1"/>
    <col min="8458" max="8459" width="9" style="209"/>
    <col min="8460" max="8460" width="9.75" style="209" customWidth="1"/>
    <col min="8461" max="8461" width="4.5" style="209" customWidth="1"/>
    <col min="8462" max="8510" width="0" style="209" hidden="1" customWidth="1"/>
    <col min="8511" max="8704" width="9" style="209"/>
    <col min="8705" max="8705" width="24" style="209" customWidth="1"/>
    <col min="8706" max="8706" width="20.25" style="209" customWidth="1"/>
    <col min="8707" max="8707" width="6" style="209" customWidth="1"/>
    <col min="8708" max="8708" width="3.75" style="209" customWidth="1"/>
    <col min="8709" max="8709" width="8.25" style="209" customWidth="1"/>
    <col min="8710" max="8710" width="9" style="209"/>
    <col min="8711" max="8711" width="8.25" style="209" customWidth="1"/>
    <col min="8712" max="8712" width="9" style="209"/>
    <col min="8713" max="8713" width="8.25" style="209" customWidth="1"/>
    <col min="8714" max="8715" width="9" style="209"/>
    <col min="8716" max="8716" width="9.75" style="209" customWidth="1"/>
    <col min="8717" max="8717" width="4.5" style="209" customWidth="1"/>
    <col min="8718" max="8766" width="0" style="209" hidden="1" customWidth="1"/>
    <col min="8767" max="8960" width="9" style="209"/>
    <col min="8961" max="8961" width="24" style="209" customWidth="1"/>
    <col min="8962" max="8962" width="20.25" style="209" customWidth="1"/>
    <col min="8963" max="8963" width="6" style="209" customWidth="1"/>
    <col min="8964" max="8964" width="3.75" style="209" customWidth="1"/>
    <col min="8965" max="8965" width="8.25" style="209" customWidth="1"/>
    <col min="8966" max="8966" width="9" style="209"/>
    <col min="8967" max="8967" width="8.25" style="209" customWidth="1"/>
    <col min="8968" max="8968" width="9" style="209"/>
    <col min="8969" max="8969" width="8.25" style="209" customWidth="1"/>
    <col min="8970" max="8971" width="9" style="209"/>
    <col min="8972" max="8972" width="9.75" style="209" customWidth="1"/>
    <col min="8973" max="8973" width="4.5" style="209" customWidth="1"/>
    <col min="8974" max="9022" width="0" style="209" hidden="1" customWidth="1"/>
    <col min="9023" max="9216" width="9" style="209"/>
    <col min="9217" max="9217" width="24" style="209" customWidth="1"/>
    <col min="9218" max="9218" width="20.25" style="209" customWidth="1"/>
    <col min="9219" max="9219" width="6" style="209" customWidth="1"/>
    <col min="9220" max="9220" width="3.75" style="209" customWidth="1"/>
    <col min="9221" max="9221" width="8.25" style="209" customWidth="1"/>
    <col min="9222" max="9222" width="9" style="209"/>
    <col min="9223" max="9223" width="8.25" style="209" customWidth="1"/>
    <col min="9224" max="9224" width="9" style="209"/>
    <col min="9225" max="9225" width="8.25" style="209" customWidth="1"/>
    <col min="9226" max="9227" width="9" style="209"/>
    <col min="9228" max="9228" width="9.75" style="209" customWidth="1"/>
    <col min="9229" max="9229" width="4.5" style="209" customWidth="1"/>
    <col min="9230" max="9278" width="0" style="209" hidden="1" customWidth="1"/>
    <col min="9279" max="9472" width="9" style="209"/>
    <col min="9473" max="9473" width="24" style="209" customWidth="1"/>
    <col min="9474" max="9474" width="20.25" style="209" customWidth="1"/>
    <col min="9475" max="9475" width="6" style="209" customWidth="1"/>
    <col min="9476" max="9476" width="3.75" style="209" customWidth="1"/>
    <col min="9477" max="9477" width="8.25" style="209" customWidth="1"/>
    <col min="9478" max="9478" width="9" style="209"/>
    <col min="9479" max="9479" width="8.25" style="209" customWidth="1"/>
    <col min="9480" max="9480" width="9" style="209"/>
    <col min="9481" max="9481" width="8.25" style="209" customWidth="1"/>
    <col min="9482" max="9483" width="9" style="209"/>
    <col min="9484" max="9484" width="9.75" style="209" customWidth="1"/>
    <col min="9485" max="9485" width="4.5" style="209" customWidth="1"/>
    <col min="9486" max="9534" width="0" style="209" hidden="1" customWidth="1"/>
    <col min="9535" max="9728" width="9" style="209"/>
    <col min="9729" max="9729" width="24" style="209" customWidth="1"/>
    <col min="9730" max="9730" width="20.25" style="209" customWidth="1"/>
    <col min="9731" max="9731" width="6" style="209" customWidth="1"/>
    <col min="9732" max="9732" width="3.75" style="209" customWidth="1"/>
    <col min="9733" max="9733" width="8.25" style="209" customWidth="1"/>
    <col min="9734" max="9734" width="9" style="209"/>
    <col min="9735" max="9735" width="8.25" style="209" customWidth="1"/>
    <col min="9736" max="9736" width="9" style="209"/>
    <col min="9737" max="9737" width="8.25" style="209" customWidth="1"/>
    <col min="9738" max="9739" width="9" style="209"/>
    <col min="9740" max="9740" width="9.75" style="209" customWidth="1"/>
    <col min="9741" max="9741" width="4.5" style="209" customWidth="1"/>
    <col min="9742" max="9790" width="0" style="209" hidden="1" customWidth="1"/>
    <col min="9791" max="9984" width="9" style="209"/>
    <col min="9985" max="9985" width="24" style="209" customWidth="1"/>
    <col min="9986" max="9986" width="20.25" style="209" customWidth="1"/>
    <col min="9987" max="9987" width="6" style="209" customWidth="1"/>
    <col min="9988" max="9988" width="3.75" style="209" customWidth="1"/>
    <col min="9989" max="9989" width="8.25" style="209" customWidth="1"/>
    <col min="9990" max="9990" width="9" style="209"/>
    <col min="9991" max="9991" width="8.25" style="209" customWidth="1"/>
    <col min="9992" max="9992" width="9" style="209"/>
    <col min="9993" max="9993" width="8.25" style="209" customWidth="1"/>
    <col min="9994" max="9995" width="9" style="209"/>
    <col min="9996" max="9996" width="9.75" style="209" customWidth="1"/>
    <col min="9997" max="9997" width="4.5" style="209" customWidth="1"/>
    <col min="9998" max="10046" width="0" style="209" hidden="1" customWidth="1"/>
    <col min="10047" max="10240" width="9" style="209"/>
    <col min="10241" max="10241" width="24" style="209" customWidth="1"/>
    <col min="10242" max="10242" width="20.25" style="209" customWidth="1"/>
    <col min="10243" max="10243" width="6" style="209" customWidth="1"/>
    <col min="10244" max="10244" width="3.75" style="209" customWidth="1"/>
    <col min="10245" max="10245" width="8.25" style="209" customWidth="1"/>
    <col min="10246" max="10246" width="9" style="209"/>
    <col min="10247" max="10247" width="8.25" style="209" customWidth="1"/>
    <col min="10248" max="10248" width="9" style="209"/>
    <col min="10249" max="10249" width="8.25" style="209" customWidth="1"/>
    <col min="10250" max="10251" width="9" style="209"/>
    <col min="10252" max="10252" width="9.75" style="209" customWidth="1"/>
    <col min="10253" max="10253" width="4.5" style="209" customWidth="1"/>
    <col min="10254" max="10302" width="0" style="209" hidden="1" customWidth="1"/>
    <col min="10303" max="10496" width="9" style="209"/>
    <col min="10497" max="10497" width="24" style="209" customWidth="1"/>
    <col min="10498" max="10498" width="20.25" style="209" customWidth="1"/>
    <col min="10499" max="10499" width="6" style="209" customWidth="1"/>
    <col min="10500" max="10500" width="3.75" style="209" customWidth="1"/>
    <col min="10501" max="10501" width="8.25" style="209" customWidth="1"/>
    <col min="10502" max="10502" width="9" style="209"/>
    <col min="10503" max="10503" width="8.25" style="209" customWidth="1"/>
    <col min="10504" max="10504" width="9" style="209"/>
    <col min="10505" max="10505" width="8.25" style="209" customWidth="1"/>
    <col min="10506" max="10507" width="9" style="209"/>
    <col min="10508" max="10508" width="9.75" style="209" customWidth="1"/>
    <col min="10509" max="10509" width="4.5" style="209" customWidth="1"/>
    <col min="10510" max="10558" width="0" style="209" hidden="1" customWidth="1"/>
    <col min="10559" max="10752" width="9" style="209"/>
    <col min="10753" max="10753" width="24" style="209" customWidth="1"/>
    <col min="10754" max="10754" width="20.25" style="209" customWidth="1"/>
    <col min="10755" max="10755" width="6" style="209" customWidth="1"/>
    <col min="10756" max="10756" width="3.75" style="209" customWidth="1"/>
    <col min="10757" max="10757" width="8.25" style="209" customWidth="1"/>
    <col min="10758" max="10758" width="9" style="209"/>
    <col min="10759" max="10759" width="8.25" style="209" customWidth="1"/>
    <col min="10760" max="10760" width="9" style="209"/>
    <col min="10761" max="10761" width="8.25" style="209" customWidth="1"/>
    <col min="10762" max="10763" width="9" style="209"/>
    <col min="10764" max="10764" width="9.75" style="209" customWidth="1"/>
    <col min="10765" max="10765" width="4.5" style="209" customWidth="1"/>
    <col min="10766" max="10814" width="0" style="209" hidden="1" customWidth="1"/>
    <col min="10815" max="11008" width="9" style="209"/>
    <col min="11009" max="11009" width="24" style="209" customWidth="1"/>
    <col min="11010" max="11010" width="20.25" style="209" customWidth="1"/>
    <col min="11011" max="11011" width="6" style="209" customWidth="1"/>
    <col min="11012" max="11012" width="3.75" style="209" customWidth="1"/>
    <col min="11013" max="11013" width="8.25" style="209" customWidth="1"/>
    <col min="11014" max="11014" width="9" style="209"/>
    <col min="11015" max="11015" width="8.25" style="209" customWidth="1"/>
    <col min="11016" max="11016" width="9" style="209"/>
    <col min="11017" max="11017" width="8.25" style="209" customWidth="1"/>
    <col min="11018" max="11019" width="9" style="209"/>
    <col min="11020" max="11020" width="9.75" style="209" customWidth="1"/>
    <col min="11021" max="11021" width="4.5" style="209" customWidth="1"/>
    <col min="11022" max="11070" width="0" style="209" hidden="1" customWidth="1"/>
    <col min="11071" max="11264" width="9" style="209"/>
    <col min="11265" max="11265" width="24" style="209" customWidth="1"/>
    <col min="11266" max="11266" width="20.25" style="209" customWidth="1"/>
    <col min="11267" max="11267" width="6" style="209" customWidth="1"/>
    <col min="11268" max="11268" width="3.75" style="209" customWidth="1"/>
    <col min="11269" max="11269" width="8.25" style="209" customWidth="1"/>
    <col min="11270" max="11270" width="9" style="209"/>
    <col min="11271" max="11271" width="8.25" style="209" customWidth="1"/>
    <col min="11272" max="11272" width="9" style="209"/>
    <col min="11273" max="11273" width="8.25" style="209" customWidth="1"/>
    <col min="11274" max="11275" width="9" style="209"/>
    <col min="11276" max="11276" width="9.75" style="209" customWidth="1"/>
    <col min="11277" max="11277" width="4.5" style="209" customWidth="1"/>
    <col min="11278" max="11326" width="0" style="209" hidden="1" customWidth="1"/>
    <col min="11327" max="11520" width="9" style="209"/>
    <col min="11521" max="11521" width="24" style="209" customWidth="1"/>
    <col min="11522" max="11522" width="20.25" style="209" customWidth="1"/>
    <col min="11523" max="11523" width="6" style="209" customWidth="1"/>
    <col min="11524" max="11524" width="3.75" style="209" customWidth="1"/>
    <col min="11525" max="11525" width="8.25" style="209" customWidth="1"/>
    <col min="11526" max="11526" width="9" style="209"/>
    <col min="11527" max="11527" width="8.25" style="209" customWidth="1"/>
    <col min="11528" max="11528" width="9" style="209"/>
    <col min="11529" max="11529" width="8.25" style="209" customWidth="1"/>
    <col min="11530" max="11531" width="9" style="209"/>
    <col min="11532" max="11532" width="9.75" style="209" customWidth="1"/>
    <col min="11533" max="11533" width="4.5" style="209" customWidth="1"/>
    <col min="11534" max="11582" width="0" style="209" hidden="1" customWidth="1"/>
    <col min="11583" max="11776" width="9" style="209"/>
    <col min="11777" max="11777" width="24" style="209" customWidth="1"/>
    <col min="11778" max="11778" width="20.25" style="209" customWidth="1"/>
    <col min="11779" max="11779" width="6" style="209" customWidth="1"/>
    <col min="11780" max="11780" width="3.75" style="209" customWidth="1"/>
    <col min="11781" max="11781" width="8.25" style="209" customWidth="1"/>
    <col min="11782" max="11782" width="9" style="209"/>
    <col min="11783" max="11783" width="8.25" style="209" customWidth="1"/>
    <col min="11784" max="11784" width="9" style="209"/>
    <col min="11785" max="11785" width="8.25" style="209" customWidth="1"/>
    <col min="11786" max="11787" width="9" style="209"/>
    <col min="11788" max="11788" width="9.75" style="209" customWidth="1"/>
    <col min="11789" max="11789" width="4.5" style="209" customWidth="1"/>
    <col min="11790" max="11838" width="0" style="209" hidden="1" customWidth="1"/>
    <col min="11839" max="12032" width="9" style="209"/>
    <col min="12033" max="12033" width="24" style="209" customWidth="1"/>
    <col min="12034" max="12034" width="20.25" style="209" customWidth="1"/>
    <col min="12035" max="12035" width="6" style="209" customWidth="1"/>
    <col min="12036" max="12036" width="3.75" style="209" customWidth="1"/>
    <col min="12037" max="12037" width="8.25" style="209" customWidth="1"/>
    <col min="12038" max="12038" width="9" style="209"/>
    <col min="12039" max="12039" width="8.25" style="209" customWidth="1"/>
    <col min="12040" max="12040" width="9" style="209"/>
    <col min="12041" max="12041" width="8.25" style="209" customWidth="1"/>
    <col min="12042" max="12043" width="9" style="209"/>
    <col min="12044" max="12044" width="9.75" style="209" customWidth="1"/>
    <col min="12045" max="12045" width="4.5" style="209" customWidth="1"/>
    <col min="12046" max="12094" width="0" style="209" hidden="1" customWidth="1"/>
    <col min="12095" max="12288" width="9" style="209"/>
    <col min="12289" max="12289" width="24" style="209" customWidth="1"/>
    <col min="12290" max="12290" width="20.25" style="209" customWidth="1"/>
    <col min="12291" max="12291" width="6" style="209" customWidth="1"/>
    <col min="12292" max="12292" width="3.75" style="209" customWidth="1"/>
    <col min="12293" max="12293" width="8.25" style="209" customWidth="1"/>
    <col min="12294" max="12294" width="9" style="209"/>
    <col min="12295" max="12295" width="8.25" style="209" customWidth="1"/>
    <col min="12296" max="12296" width="9" style="209"/>
    <col min="12297" max="12297" width="8.25" style="209" customWidth="1"/>
    <col min="12298" max="12299" width="9" style="209"/>
    <col min="12300" max="12300" width="9.75" style="209" customWidth="1"/>
    <col min="12301" max="12301" width="4.5" style="209" customWidth="1"/>
    <col min="12302" max="12350" width="0" style="209" hidden="1" customWidth="1"/>
    <col min="12351" max="12544" width="9" style="209"/>
    <col min="12545" max="12545" width="24" style="209" customWidth="1"/>
    <col min="12546" max="12546" width="20.25" style="209" customWidth="1"/>
    <col min="12547" max="12547" width="6" style="209" customWidth="1"/>
    <col min="12548" max="12548" width="3.75" style="209" customWidth="1"/>
    <col min="12549" max="12549" width="8.25" style="209" customWidth="1"/>
    <col min="12550" max="12550" width="9" style="209"/>
    <col min="12551" max="12551" width="8.25" style="209" customWidth="1"/>
    <col min="12552" max="12552" width="9" style="209"/>
    <col min="12553" max="12553" width="8.25" style="209" customWidth="1"/>
    <col min="12554" max="12555" width="9" style="209"/>
    <col min="12556" max="12556" width="9.75" style="209" customWidth="1"/>
    <col min="12557" max="12557" width="4.5" style="209" customWidth="1"/>
    <col min="12558" max="12606" width="0" style="209" hidden="1" customWidth="1"/>
    <col min="12607" max="12800" width="9" style="209"/>
    <col min="12801" max="12801" width="24" style="209" customWidth="1"/>
    <col min="12802" max="12802" width="20.25" style="209" customWidth="1"/>
    <col min="12803" max="12803" width="6" style="209" customWidth="1"/>
    <col min="12804" max="12804" width="3.75" style="209" customWidth="1"/>
    <col min="12805" max="12805" width="8.25" style="209" customWidth="1"/>
    <col min="12806" max="12806" width="9" style="209"/>
    <col min="12807" max="12807" width="8.25" style="209" customWidth="1"/>
    <col min="12808" max="12808" width="9" style="209"/>
    <col min="12809" max="12809" width="8.25" style="209" customWidth="1"/>
    <col min="12810" max="12811" width="9" style="209"/>
    <col min="12812" max="12812" width="9.75" style="209" customWidth="1"/>
    <col min="12813" max="12813" width="4.5" style="209" customWidth="1"/>
    <col min="12814" max="12862" width="0" style="209" hidden="1" customWidth="1"/>
    <col min="12863" max="13056" width="9" style="209"/>
    <col min="13057" max="13057" width="24" style="209" customWidth="1"/>
    <col min="13058" max="13058" width="20.25" style="209" customWidth="1"/>
    <col min="13059" max="13059" width="6" style="209" customWidth="1"/>
    <col min="13060" max="13060" width="3.75" style="209" customWidth="1"/>
    <col min="13061" max="13061" width="8.25" style="209" customWidth="1"/>
    <col min="13062" max="13062" width="9" style="209"/>
    <col min="13063" max="13063" width="8.25" style="209" customWidth="1"/>
    <col min="13064" max="13064" width="9" style="209"/>
    <col min="13065" max="13065" width="8.25" style="209" customWidth="1"/>
    <col min="13066" max="13067" width="9" style="209"/>
    <col min="13068" max="13068" width="9.75" style="209" customWidth="1"/>
    <col min="13069" max="13069" width="4.5" style="209" customWidth="1"/>
    <col min="13070" max="13118" width="0" style="209" hidden="1" customWidth="1"/>
    <col min="13119" max="13312" width="9" style="209"/>
    <col min="13313" max="13313" width="24" style="209" customWidth="1"/>
    <col min="13314" max="13314" width="20.25" style="209" customWidth="1"/>
    <col min="13315" max="13315" width="6" style="209" customWidth="1"/>
    <col min="13316" max="13316" width="3.75" style="209" customWidth="1"/>
    <col min="13317" max="13317" width="8.25" style="209" customWidth="1"/>
    <col min="13318" max="13318" width="9" style="209"/>
    <col min="13319" max="13319" width="8.25" style="209" customWidth="1"/>
    <col min="13320" max="13320" width="9" style="209"/>
    <col min="13321" max="13321" width="8.25" style="209" customWidth="1"/>
    <col min="13322" max="13323" width="9" style="209"/>
    <col min="13324" max="13324" width="9.75" style="209" customWidth="1"/>
    <col min="13325" max="13325" width="4.5" style="209" customWidth="1"/>
    <col min="13326" max="13374" width="0" style="209" hidden="1" customWidth="1"/>
    <col min="13375" max="13568" width="9" style="209"/>
    <col min="13569" max="13569" width="24" style="209" customWidth="1"/>
    <col min="13570" max="13570" width="20.25" style="209" customWidth="1"/>
    <col min="13571" max="13571" width="6" style="209" customWidth="1"/>
    <col min="13572" max="13572" width="3.75" style="209" customWidth="1"/>
    <col min="13573" max="13573" width="8.25" style="209" customWidth="1"/>
    <col min="13574" max="13574" width="9" style="209"/>
    <col min="13575" max="13575" width="8.25" style="209" customWidth="1"/>
    <col min="13576" max="13576" width="9" style="209"/>
    <col min="13577" max="13577" width="8.25" style="209" customWidth="1"/>
    <col min="13578" max="13579" width="9" style="209"/>
    <col min="13580" max="13580" width="9.75" style="209" customWidth="1"/>
    <col min="13581" max="13581" width="4.5" style="209" customWidth="1"/>
    <col min="13582" max="13630" width="0" style="209" hidden="1" customWidth="1"/>
    <col min="13631" max="13824" width="9" style="209"/>
    <col min="13825" max="13825" width="24" style="209" customWidth="1"/>
    <col min="13826" max="13826" width="20.25" style="209" customWidth="1"/>
    <col min="13827" max="13827" width="6" style="209" customWidth="1"/>
    <col min="13828" max="13828" width="3.75" style="209" customWidth="1"/>
    <col min="13829" max="13829" width="8.25" style="209" customWidth="1"/>
    <col min="13830" max="13830" width="9" style="209"/>
    <col min="13831" max="13831" width="8.25" style="209" customWidth="1"/>
    <col min="13832" max="13832" width="9" style="209"/>
    <col min="13833" max="13833" width="8.25" style="209" customWidth="1"/>
    <col min="13834" max="13835" width="9" style="209"/>
    <col min="13836" max="13836" width="9.75" style="209" customWidth="1"/>
    <col min="13837" max="13837" width="4.5" style="209" customWidth="1"/>
    <col min="13838" max="13886" width="0" style="209" hidden="1" customWidth="1"/>
    <col min="13887" max="14080" width="9" style="209"/>
    <col min="14081" max="14081" width="24" style="209" customWidth="1"/>
    <col min="14082" max="14082" width="20.25" style="209" customWidth="1"/>
    <col min="14083" max="14083" width="6" style="209" customWidth="1"/>
    <col min="14084" max="14084" width="3.75" style="209" customWidth="1"/>
    <col min="14085" max="14085" width="8.25" style="209" customWidth="1"/>
    <col min="14086" max="14086" width="9" style="209"/>
    <col min="14087" max="14087" width="8.25" style="209" customWidth="1"/>
    <col min="14088" max="14088" width="9" style="209"/>
    <col min="14089" max="14089" width="8.25" style="209" customWidth="1"/>
    <col min="14090" max="14091" width="9" style="209"/>
    <col min="14092" max="14092" width="9.75" style="209" customWidth="1"/>
    <col min="14093" max="14093" width="4.5" style="209" customWidth="1"/>
    <col min="14094" max="14142" width="0" style="209" hidden="1" customWidth="1"/>
    <col min="14143" max="14336" width="9" style="209"/>
    <col min="14337" max="14337" width="24" style="209" customWidth="1"/>
    <col min="14338" max="14338" width="20.25" style="209" customWidth="1"/>
    <col min="14339" max="14339" width="6" style="209" customWidth="1"/>
    <col min="14340" max="14340" width="3.75" style="209" customWidth="1"/>
    <col min="14341" max="14341" width="8.25" style="209" customWidth="1"/>
    <col min="14342" max="14342" width="9" style="209"/>
    <col min="14343" max="14343" width="8.25" style="209" customWidth="1"/>
    <col min="14344" max="14344" width="9" style="209"/>
    <col min="14345" max="14345" width="8.25" style="209" customWidth="1"/>
    <col min="14346" max="14347" width="9" style="209"/>
    <col min="14348" max="14348" width="9.75" style="209" customWidth="1"/>
    <col min="14349" max="14349" width="4.5" style="209" customWidth="1"/>
    <col min="14350" max="14398" width="0" style="209" hidden="1" customWidth="1"/>
    <col min="14399" max="14592" width="9" style="209"/>
    <col min="14593" max="14593" width="24" style="209" customWidth="1"/>
    <col min="14594" max="14594" width="20.25" style="209" customWidth="1"/>
    <col min="14595" max="14595" width="6" style="209" customWidth="1"/>
    <col min="14596" max="14596" width="3.75" style="209" customWidth="1"/>
    <col min="14597" max="14597" width="8.25" style="209" customWidth="1"/>
    <col min="14598" max="14598" width="9" style="209"/>
    <col min="14599" max="14599" width="8.25" style="209" customWidth="1"/>
    <col min="14600" max="14600" width="9" style="209"/>
    <col min="14601" max="14601" width="8.25" style="209" customWidth="1"/>
    <col min="14602" max="14603" width="9" style="209"/>
    <col min="14604" max="14604" width="9.75" style="209" customWidth="1"/>
    <col min="14605" max="14605" width="4.5" style="209" customWidth="1"/>
    <col min="14606" max="14654" width="0" style="209" hidden="1" customWidth="1"/>
    <col min="14655" max="14848" width="9" style="209"/>
    <col min="14849" max="14849" width="24" style="209" customWidth="1"/>
    <col min="14850" max="14850" width="20.25" style="209" customWidth="1"/>
    <col min="14851" max="14851" width="6" style="209" customWidth="1"/>
    <col min="14852" max="14852" width="3.75" style="209" customWidth="1"/>
    <col min="14853" max="14853" width="8.25" style="209" customWidth="1"/>
    <col min="14854" max="14854" width="9" style="209"/>
    <col min="14855" max="14855" width="8.25" style="209" customWidth="1"/>
    <col min="14856" max="14856" width="9" style="209"/>
    <col min="14857" max="14857" width="8.25" style="209" customWidth="1"/>
    <col min="14858" max="14859" width="9" style="209"/>
    <col min="14860" max="14860" width="9.75" style="209" customWidth="1"/>
    <col min="14861" max="14861" width="4.5" style="209" customWidth="1"/>
    <col min="14862" max="14910" width="0" style="209" hidden="1" customWidth="1"/>
    <col min="14911" max="15104" width="9" style="209"/>
    <col min="15105" max="15105" width="24" style="209" customWidth="1"/>
    <col min="15106" max="15106" width="20.25" style="209" customWidth="1"/>
    <col min="15107" max="15107" width="6" style="209" customWidth="1"/>
    <col min="15108" max="15108" width="3.75" style="209" customWidth="1"/>
    <col min="15109" max="15109" width="8.25" style="209" customWidth="1"/>
    <col min="15110" max="15110" width="9" style="209"/>
    <col min="15111" max="15111" width="8.25" style="209" customWidth="1"/>
    <col min="15112" max="15112" width="9" style="209"/>
    <col min="15113" max="15113" width="8.25" style="209" customWidth="1"/>
    <col min="15114" max="15115" width="9" style="209"/>
    <col min="15116" max="15116" width="9.75" style="209" customWidth="1"/>
    <col min="15117" max="15117" width="4.5" style="209" customWidth="1"/>
    <col min="15118" max="15166" width="0" style="209" hidden="1" customWidth="1"/>
    <col min="15167" max="15360" width="9" style="209"/>
    <col min="15361" max="15361" width="24" style="209" customWidth="1"/>
    <col min="15362" max="15362" width="20.25" style="209" customWidth="1"/>
    <col min="15363" max="15363" width="6" style="209" customWidth="1"/>
    <col min="15364" max="15364" width="3.75" style="209" customWidth="1"/>
    <col min="15365" max="15365" width="8.25" style="209" customWidth="1"/>
    <col min="15366" max="15366" width="9" style="209"/>
    <col min="15367" max="15367" width="8.25" style="209" customWidth="1"/>
    <col min="15368" max="15368" width="9" style="209"/>
    <col min="15369" max="15369" width="8.25" style="209" customWidth="1"/>
    <col min="15370" max="15371" width="9" style="209"/>
    <col min="15372" max="15372" width="9.75" style="209" customWidth="1"/>
    <col min="15373" max="15373" width="4.5" style="209" customWidth="1"/>
    <col min="15374" max="15422" width="0" style="209" hidden="1" customWidth="1"/>
    <col min="15423" max="15616" width="9" style="209"/>
    <col min="15617" max="15617" width="24" style="209" customWidth="1"/>
    <col min="15618" max="15618" width="20.25" style="209" customWidth="1"/>
    <col min="15619" max="15619" width="6" style="209" customWidth="1"/>
    <col min="15620" max="15620" width="3.75" style="209" customWidth="1"/>
    <col min="15621" max="15621" width="8.25" style="209" customWidth="1"/>
    <col min="15622" max="15622" width="9" style="209"/>
    <col min="15623" max="15623" width="8.25" style="209" customWidth="1"/>
    <col min="15624" max="15624" width="9" style="209"/>
    <col min="15625" max="15625" width="8.25" style="209" customWidth="1"/>
    <col min="15626" max="15627" width="9" style="209"/>
    <col min="15628" max="15628" width="9.75" style="209" customWidth="1"/>
    <col min="15629" max="15629" width="4.5" style="209" customWidth="1"/>
    <col min="15630" max="15678" width="0" style="209" hidden="1" customWidth="1"/>
    <col min="15679" max="15872" width="9" style="209"/>
    <col min="15873" max="15873" width="24" style="209" customWidth="1"/>
    <col min="15874" max="15874" width="20.25" style="209" customWidth="1"/>
    <col min="15875" max="15875" width="6" style="209" customWidth="1"/>
    <col min="15876" max="15876" width="3.75" style="209" customWidth="1"/>
    <col min="15877" max="15877" width="8.25" style="209" customWidth="1"/>
    <col min="15878" max="15878" width="9" style="209"/>
    <col min="15879" max="15879" width="8.25" style="209" customWidth="1"/>
    <col min="15880" max="15880" width="9" style="209"/>
    <col min="15881" max="15881" width="8.25" style="209" customWidth="1"/>
    <col min="15882" max="15883" width="9" style="209"/>
    <col min="15884" max="15884" width="9.75" style="209" customWidth="1"/>
    <col min="15885" max="15885" width="4.5" style="209" customWidth="1"/>
    <col min="15886" max="15934" width="0" style="209" hidden="1" customWidth="1"/>
    <col min="15935" max="16128" width="9" style="209"/>
    <col min="16129" max="16129" width="24" style="209" customWidth="1"/>
    <col min="16130" max="16130" width="20.25" style="209" customWidth="1"/>
    <col min="16131" max="16131" width="6" style="209" customWidth="1"/>
    <col min="16132" max="16132" width="3.75" style="209" customWidth="1"/>
    <col min="16133" max="16133" width="8.25" style="209" customWidth="1"/>
    <col min="16134" max="16134" width="9" style="209"/>
    <col min="16135" max="16135" width="8.25" style="209" customWidth="1"/>
    <col min="16136" max="16136" width="9" style="209"/>
    <col min="16137" max="16137" width="8.25" style="209" customWidth="1"/>
    <col min="16138" max="16139" width="9" style="209"/>
    <col min="16140" max="16140" width="9.75" style="209" customWidth="1"/>
    <col min="16141" max="16141" width="4.5" style="209" customWidth="1"/>
    <col min="16142" max="16190" width="0" style="209" hidden="1" customWidth="1"/>
    <col min="16191" max="16384" width="9" style="209"/>
  </cols>
  <sheetData>
    <row r="1" spans="1:62" ht="24" customHeight="1">
      <c r="A1" s="206" t="s">
        <v>1076</v>
      </c>
    </row>
    <row r="2" spans="1:62" ht="24" customHeight="1">
      <c r="A2" s="353" t="s">
        <v>1077</v>
      </c>
      <c r="B2" s="353" t="s">
        <v>13</v>
      </c>
      <c r="C2" s="352" t="s">
        <v>4</v>
      </c>
      <c r="D2" s="352" t="s">
        <v>2</v>
      </c>
      <c r="E2" s="352" t="s">
        <v>1078</v>
      </c>
      <c r="F2" s="352" t="s">
        <v>68</v>
      </c>
      <c r="G2" s="352" t="s">
        <v>1079</v>
      </c>
      <c r="H2" s="352" t="s">
        <v>68</v>
      </c>
      <c r="I2" s="352" t="s">
        <v>1080</v>
      </c>
      <c r="J2" s="352" t="s">
        <v>68</v>
      </c>
      <c r="K2" s="352" t="s">
        <v>1081</v>
      </c>
      <c r="L2" s="352" t="s">
        <v>68</v>
      </c>
      <c r="M2" s="353" t="s">
        <v>1082</v>
      </c>
      <c r="N2" s="212"/>
      <c r="O2" s="212"/>
      <c r="P2" s="212"/>
      <c r="Q2" s="212"/>
      <c r="R2" s="212"/>
      <c r="S2" s="212"/>
      <c r="T2" s="212"/>
      <c r="U2" s="212"/>
      <c r="V2" s="212"/>
      <c r="W2" s="212"/>
      <c r="X2" s="212"/>
      <c r="Y2" s="212"/>
      <c r="Z2" s="212"/>
      <c r="AA2" s="212"/>
      <c r="AB2" s="212"/>
      <c r="AC2" s="212"/>
      <c r="AD2" s="212"/>
      <c r="AE2" s="212"/>
      <c r="AF2" s="212"/>
      <c r="AG2" s="212"/>
      <c r="AH2" s="212"/>
      <c r="AI2" s="212"/>
      <c r="AJ2" s="212"/>
      <c r="AK2" s="212"/>
      <c r="AL2" s="212"/>
      <c r="AM2" s="212"/>
      <c r="AN2" s="212"/>
      <c r="AO2" s="212"/>
      <c r="AP2" s="212"/>
      <c r="AQ2" s="212"/>
      <c r="AR2" s="212"/>
      <c r="AS2" s="212"/>
      <c r="AT2" s="212"/>
      <c r="AU2" s="212"/>
      <c r="AV2" s="212"/>
      <c r="AW2" s="212"/>
      <c r="AX2" s="212"/>
      <c r="AY2" s="212"/>
      <c r="AZ2" s="212"/>
      <c r="BA2" s="212"/>
      <c r="BB2" s="212"/>
      <c r="BC2" s="212"/>
      <c r="BD2" s="212"/>
      <c r="BE2" s="212"/>
      <c r="BF2" s="212"/>
      <c r="BG2" s="212"/>
      <c r="BH2" s="212"/>
      <c r="BI2" s="212"/>
      <c r="BJ2" s="212"/>
    </row>
    <row r="3" spans="1:62" ht="24" customHeight="1">
      <c r="A3" s="353" t="s">
        <v>68</v>
      </c>
      <c r="B3" s="353" t="s">
        <v>68</v>
      </c>
      <c r="C3" s="352" t="s">
        <v>68</v>
      </c>
      <c r="D3" s="352" t="s">
        <v>68</v>
      </c>
      <c r="E3" s="211" t="s">
        <v>1083</v>
      </c>
      <c r="F3" s="211" t="s">
        <v>1084</v>
      </c>
      <c r="G3" s="211" t="s">
        <v>1083</v>
      </c>
      <c r="H3" s="211" t="s">
        <v>1084</v>
      </c>
      <c r="I3" s="211" t="s">
        <v>1083</v>
      </c>
      <c r="J3" s="211" t="s">
        <v>1084</v>
      </c>
      <c r="K3" s="211" t="s">
        <v>1083</v>
      </c>
      <c r="L3" s="211" t="s">
        <v>1084</v>
      </c>
      <c r="M3" s="353" t="s">
        <v>68</v>
      </c>
      <c r="N3" s="212"/>
      <c r="O3" s="212"/>
      <c r="P3" s="212"/>
      <c r="Q3" s="212"/>
      <c r="R3" s="212"/>
      <c r="S3" s="213" t="s">
        <v>1085</v>
      </c>
      <c r="T3" s="213" t="s">
        <v>1086</v>
      </c>
      <c r="U3" s="213" t="s">
        <v>1087</v>
      </c>
      <c r="V3" s="213" t="s">
        <v>1088</v>
      </c>
      <c r="W3" s="213" t="s">
        <v>1089</v>
      </c>
      <c r="X3" s="213" t="s">
        <v>1090</v>
      </c>
      <c r="Y3" s="213" t="s">
        <v>1091</v>
      </c>
      <c r="Z3" s="212"/>
      <c r="AA3" s="212"/>
      <c r="AB3" s="212"/>
      <c r="AC3" s="212"/>
      <c r="AD3" s="212"/>
      <c r="AE3" s="212"/>
      <c r="AF3" s="212"/>
      <c r="AG3" s="212"/>
      <c r="AH3" s="212"/>
      <c r="AI3" s="212"/>
      <c r="AJ3" s="212"/>
      <c r="AK3" s="212"/>
      <c r="AL3" s="212"/>
      <c r="AM3" s="212"/>
      <c r="AN3" s="212"/>
      <c r="AO3" s="212"/>
      <c r="AP3" s="212"/>
      <c r="AQ3" s="212"/>
      <c r="AR3" s="212"/>
      <c r="AS3" s="212"/>
      <c r="AT3" s="212"/>
      <c r="AU3" s="212"/>
      <c r="AV3" s="212"/>
      <c r="AW3" s="212"/>
      <c r="AX3" s="212"/>
      <c r="AY3" s="212"/>
      <c r="AZ3" s="212"/>
      <c r="BA3" s="212"/>
      <c r="BB3" s="212"/>
      <c r="BC3" s="212"/>
      <c r="BD3" s="212"/>
      <c r="BE3" s="212"/>
      <c r="BF3" s="212"/>
      <c r="BG3" s="212"/>
      <c r="BH3" s="212"/>
      <c r="BI3" s="212"/>
      <c r="BJ3" s="212"/>
    </row>
    <row r="4" spans="1:62" ht="24" customHeight="1">
      <c r="A4" s="214" t="s">
        <v>1092</v>
      </c>
      <c r="B4" s="215"/>
      <c r="C4" s="216"/>
      <c r="D4" s="213"/>
      <c r="E4" s="212"/>
      <c r="F4" s="217"/>
      <c r="G4" s="212"/>
      <c r="H4" s="217"/>
      <c r="I4" s="212"/>
      <c r="J4" s="217"/>
      <c r="K4" s="212"/>
      <c r="L4" s="217"/>
      <c r="M4" s="218"/>
      <c r="N4" s="212"/>
      <c r="O4" s="212"/>
      <c r="P4" s="212"/>
      <c r="Q4" s="212"/>
      <c r="R4" s="212"/>
      <c r="S4" s="212"/>
      <c r="T4" s="212"/>
      <c r="U4" s="212"/>
      <c r="V4" s="212"/>
      <c r="W4" s="212"/>
      <c r="X4" s="212"/>
      <c r="Y4" s="212"/>
      <c r="Z4" s="212"/>
      <c r="AA4" s="212"/>
      <c r="AB4" s="212"/>
      <c r="AC4" s="212"/>
      <c r="AD4" s="212"/>
      <c r="AE4" s="212"/>
      <c r="AF4" s="212"/>
      <c r="AG4" s="212"/>
      <c r="AH4" s="212"/>
      <c r="AI4" s="212"/>
      <c r="AJ4" s="212"/>
      <c r="AK4" s="212"/>
      <c r="AL4" s="212"/>
      <c r="AM4" s="212"/>
      <c r="AN4" s="212"/>
      <c r="AO4" s="212"/>
      <c r="AP4" s="212"/>
      <c r="AQ4" s="212"/>
      <c r="AR4" s="212"/>
      <c r="AS4" s="212"/>
      <c r="AT4" s="212"/>
      <c r="AU4" s="212"/>
      <c r="AV4" s="212"/>
      <c r="AW4" s="212"/>
      <c r="AX4" s="212"/>
      <c r="AY4" s="212"/>
      <c r="AZ4" s="212"/>
      <c r="BA4" s="212"/>
      <c r="BB4" s="212"/>
      <c r="BC4" s="212"/>
      <c r="BD4" s="212"/>
      <c r="BE4" s="212"/>
      <c r="BF4" s="212"/>
      <c r="BG4" s="212"/>
      <c r="BH4" s="212"/>
      <c r="BI4" s="212"/>
      <c r="BJ4" s="212"/>
    </row>
    <row r="5" spans="1:62" ht="24" customHeight="1">
      <c r="A5" s="218" t="s">
        <v>1093</v>
      </c>
      <c r="B5" s="215" t="s">
        <v>68</v>
      </c>
      <c r="C5" s="216">
        <v>1</v>
      </c>
      <c r="D5" s="213" t="s">
        <v>1094</v>
      </c>
      <c r="E5" s="217">
        <f>내역!E5</f>
        <v>0</v>
      </c>
      <c r="F5" s="217">
        <f>TRUNC(E5*C5,0)</f>
        <v>0</v>
      </c>
      <c r="G5" s="217">
        <f>내역!G5</f>
        <v>0</v>
      </c>
      <c r="H5" s="217">
        <f>TRUNC(G5*C5,0)</f>
        <v>0</v>
      </c>
      <c r="I5" s="217">
        <f>내역!I5</f>
        <v>0</v>
      </c>
      <c r="J5" s="217">
        <f>TRUNC(I5*C5,0)</f>
        <v>0</v>
      </c>
      <c r="K5" s="217">
        <f t="shared" ref="K5:L19" si="0">E5+G5+I5</f>
        <v>0</v>
      </c>
      <c r="L5" s="217">
        <f t="shared" si="0"/>
        <v>0</v>
      </c>
      <c r="M5" s="218" t="s">
        <v>68</v>
      </c>
      <c r="N5" s="212" t="s">
        <v>68</v>
      </c>
      <c r="O5" s="212"/>
      <c r="P5" s="212" t="s">
        <v>1095</v>
      </c>
      <c r="Q5" s="212" t="s">
        <v>68</v>
      </c>
      <c r="R5" s="212" t="s">
        <v>1096</v>
      </c>
      <c r="S5" s="212"/>
      <c r="T5" s="212"/>
      <c r="U5" s="212"/>
      <c r="V5" s="212"/>
      <c r="W5" s="212"/>
      <c r="X5" s="212"/>
      <c r="Y5" s="212"/>
      <c r="Z5" s="212"/>
      <c r="AA5" s="212"/>
      <c r="AB5" s="212"/>
      <c r="AC5" s="212"/>
      <c r="AD5" s="212"/>
      <c r="AE5" s="212"/>
      <c r="AF5" s="212"/>
      <c r="AG5" s="212"/>
      <c r="AH5" s="212"/>
      <c r="AI5" s="212"/>
      <c r="AJ5" s="212"/>
      <c r="AK5" s="212"/>
      <c r="AL5" s="212"/>
      <c r="AM5" s="212"/>
      <c r="AN5" s="212"/>
      <c r="AO5" s="212"/>
      <c r="AP5" s="212"/>
      <c r="AQ5" s="212"/>
      <c r="AR5" s="212"/>
      <c r="AS5" s="212"/>
      <c r="AT5" s="212"/>
      <c r="AU5" s="212"/>
      <c r="AV5" s="212"/>
      <c r="AW5" s="212"/>
      <c r="AX5" s="212"/>
      <c r="AY5" s="212"/>
      <c r="AZ5" s="212"/>
      <c r="BA5" s="212"/>
      <c r="BB5" s="212"/>
      <c r="BC5" s="212"/>
      <c r="BD5" s="212"/>
      <c r="BE5" s="212"/>
      <c r="BF5" s="212"/>
      <c r="BG5" s="212"/>
      <c r="BH5" s="212"/>
      <c r="BI5" s="212"/>
      <c r="BJ5" s="219" t="str">
        <f>HYPERLINK("#내역서!A43","A01 →")</f>
        <v>A01 →</v>
      </c>
    </row>
    <row r="6" spans="1:62" ht="24" customHeight="1">
      <c r="A6" s="218" t="s">
        <v>1097</v>
      </c>
      <c r="B6" s="215" t="s">
        <v>68</v>
      </c>
      <c r="C6" s="216">
        <v>1</v>
      </c>
      <c r="D6" s="213" t="s">
        <v>1094</v>
      </c>
      <c r="E6" s="217">
        <f>내역!E6</f>
        <v>0</v>
      </c>
      <c r="F6" s="217">
        <f>TRUNC(E6*C6,0)</f>
        <v>0</v>
      </c>
      <c r="G6" s="217">
        <f>내역!G6</f>
        <v>0</v>
      </c>
      <c r="H6" s="217">
        <f>TRUNC(G6*C6,0)</f>
        <v>0</v>
      </c>
      <c r="I6" s="217">
        <f>내역!I6</f>
        <v>0</v>
      </c>
      <c r="J6" s="217">
        <f>TRUNC(I6*C6,0)</f>
        <v>0</v>
      </c>
      <c r="K6" s="217">
        <f t="shared" si="0"/>
        <v>0</v>
      </c>
      <c r="L6" s="217">
        <f t="shared" si="0"/>
        <v>0</v>
      </c>
      <c r="M6" s="218" t="s">
        <v>68</v>
      </c>
      <c r="N6" s="212" t="s">
        <v>68</v>
      </c>
      <c r="O6" s="212"/>
      <c r="P6" s="212" t="s">
        <v>1098</v>
      </c>
      <c r="Q6" s="212" t="s">
        <v>68</v>
      </c>
      <c r="R6" s="212" t="s">
        <v>1099</v>
      </c>
      <c r="S6" s="212"/>
      <c r="T6" s="212"/>
      <c r="U6" s="212"/>
      <c r="V6" s="212"/>
      <c r="W6" s="212"/>
      <c r="X6" s="212"/>
      <c r="Y6" s="212"/>
      <c r="Z6" s="212"/>
      <c r="AA6" s="212"/>
      <c r="AB6" s="212"/>
      <c r="AC6" s="212"/>
      <c r="AD6" s="212"/>
      <c r="AE6" s="212"/>
      <c r="AF6" s="212"/>
      <c r="AG6" s="212"/>
      <c r="AH6" s="212"/>
      <c r="AI6" s="212"/>
      <c r="AJ6" s="212"/>
      <c r="AK6" s="212"/>
      <c r="AL6" s="212"/>
      <c r="AM6" s="212"/>
      <c r="AN6" s="212"/>
      <c r="AO6" s="212"/>
      <c r="AP6" s="212"/>
      <c r="AQ6" s="212"/>
      <c r="AR6" s="212"/>
      <c r="AS6" s="212"/>
      <c r="AT6" s="212"/>
      <c r="AU6" s="212"/>
      <c r="AV6" s="212"/>
      <c r="AW6" s="212"/>
      <c r="AX6" s="212"/>
      <c r="AY6" s="212"/>
      <c r="AZ6" s="212"/>
      <c r="BA6" s="212"/>
      <c r="BB6" s="212"/>
      <c r="BC6" s="212"/>
      <c r="BD6" s="212"/>
      <c r="BE6" s="212"/>
      <c r="BF6" s="212"/>
      <c r="BG6" s="212"/>
      <c r="BH6" s="212"/>
      <c r="BI6" s="212"/>
      <c r="BJ6" s="219" t="str">
        <f>HYPERLINK("#내역서!A49","A02 →")</f>
        <v>A02 →</v>
      </c>
    </row>
    <row r="7" spans="1:62" ht="24" customHeight="1">
      <c r="A7" s="218" t="s">
        <v>1100</v>
      </c>
      <c r="B7" s="215" t="s">
        <v>68</v>
      </c>
      <c r="C7" s="216">
        <v>1</v>
      </c>
      <c r="D7" s="213" t="s">
        <v>1094</v>
      </c>
      <c r="E7" s="217">
        <f>내역!E7</f>
        <v>0</v>
      </c>
      <c r="F7" s="217">
        <f>TRUNC(E7*C7,0)</f>
        <v>0</v>
      </c>
      <c r="G7" s="217">
        <f>내역!G7</f>
        <v>0</v>
      </c>
      <c r="H7" s="217">
        <f>TRUNC(G7*C7,0)</f>
        <v>0</v>
      </c>
      <c r="I7" s="217">
        <f>내역!I7</f>
        <v>0</v>
      </c>
      <c r="J7" s="217">
        <f>TRUNC(I7*C7,0)</f>
        <v>0</v>
      </c>
      <c r="K7" s="217">
        <f t="shared" si="0"/>
        <v>0</v>
      </c>
      <c r="L7" s="217">
        <f t="shared" si="0"/>
        <v>0</v>
      </c>
      <c r="M7" s="218" t="s">
        <v>68</v>
      </c>
      <c r="N7" s="212" t="s">
        <v>68</v>
      </c>
      <c r="O7" s="212"/>
      <c r="P7" s="212" t="s">
        <v>1101</v>
      </c>
      <c r="Q7" s="212" t="s">
        <v>68</v>
      </c>
      <c r="R7" s="212" t="s">
        <v>1102</v>
      </c>
      <c r="S7" s="212"/>
      <c r="T7" s="212"/>
      <c r="U7" s="212"/>
      <c r="V7" s="212"/>
      <c r="W7" s="212"/>
      <c r="X7" s="212"/>
      <c r="Y7" s="212"/>
      <c r="Z7" s="212"/>
      <c r="AA7" s="212"/>
      <c r="AB7" s="212"/>
      <c r="AC7" s="212"/>
      <c r="AD7" s="212"/>
      <c r="AE7" s="212"/>
      <c r="AF7" s="212"/>
      <c r="AG7" s="212"/>
      <c r="AH7" s="212"/>
      <c r="AI7" s="212"/>
      <c r="AJ7" s="212"/>
      <c r="AK7" s="212"/>
      <c r="AL7" s="212"/>
      <c r="AM7" s="212"/>
      <c r="AN7" s="212"/>
      <c r="AO7" s="212"/>
      <c r="AP7" s="212"/>
      <c r="AQ7" s="212"/>
      <c r="AR7" s="212"/>
      <c r="AS7" s="212"/>
      <c r="AT7" s="212"/>
      <c r="AU7" s="212"/>
      <c r="AV7" s="212"/>
      <c r="AW7" s="212"/>
      <c r="AX7" s="212"/>
      <c r="AY7" s="212"/>
      <c r="AZ7" s="212"/>
      <c r="BA7" s="212"/>
      <c r="BB7" s="212"/>
      <c r="BC7" s="212"/>
      <c r="BD7" s="212"/>
      <c r="BE7" s="212"/>
      <c r="BF7" s="212"/>
      <c r="BG7" s="212"/>
      <c r="BH7" s="212"/>
      <c r="BI7" s="212"/>
      <c r="BJ7" s="219" t="str">
        <f>HYPERLINK("#내역서!A108","A03 →")</f>
        <v>A03 →</v>
      </c>
    </row>
    <row r="8" spans="1:62" ht="24" customHeight="1">
      <c r="A8" s="218" t="s">
        <v>1103</v>
      </c>
      <c r="B8" s="215" t="s">
        <v>2863</v>
      </c>
      <c r="C8" s="216">
        <v>1</v>
      </c>
      <c r="D8" s="213" t="s">
        <v>1094</v>
      </c>
      <c r="E8" s="217">
        <f>내역!E8</f>
        <v>0</v>
      </c>
      <c r="F8" s="217">
        <f>TRUNC(E8*C8,0)</f>
        <v>0</v>
      </c>
      <c r="G8" s="217">
        <f>내역!G8</f>
        <v>0</v>
      </c>
      <c r="H8" s="217">
        <f>TRUNC(G8*C8,0)</f>
        <v>0</v>
      </c>
      <c r="I8" s="217">
        <f>내역!I8</f>
        <v>0</v>
      </c>
      <c r="J8" s="217">
        <f>TRUNC(I8*C8,0)</f>
        <v>0</v>
      </c>
      <c r="K8" s="217">
        <f t="shared" si="0"/>
        <v>0</v>
      </c>
      <c r="L8" s="217">
        <f t="shared" si="0"/>
        <v>0</v>
      </c>
      <c r="M8" s="218" t="s">
        <v>68</v>
      </c>
      <c r="N8" s="212" t="s">
        <v>68</v>
      </c>
      <c r="O8" s="212"/>
      <c r="P8" s="212" t="s">
        <v>1104</v>
      </c>
      <c r="Q8" s="212" t="s">
        <v>1105</v>
      </c>
      <c r="R8" s="212" t="s">
        <v>1106</v>
      </c>
      <c r="S8" s="212"/>
      <c r="T8" s="212"/>
      <c r="U8" s="212"/>
      <c r="V8" s="212"/>
      <c r="W8" s="212"/>
      <c r="X8" s="212"/>
      <c r="Y8" s="212"/>
      <c r="Z8" s="212"/>
      <c r="AA8" s="212"/>
      <c r="AB8" s="212"/>
      <c r="AC8" s="212"/>
      <c r="AD8" s="212"/>
      <c r="AE8" s="212"/>
      <c r="AF8" s="212"/>
      <c r="AG8" s="212"/>
      <c r="AH8" s="212"/>
      <c r="AI8" s="212"/>
      <c r="AJ8" s="212"/>
      <c r="AK8" s="212"/>
      <c r="AL8" s="212"/>
      <c r="AM8" s="212"/>
      <c r="AN8" s="212"/>
      <c r="AO8" s="212"/>
      <c r="AP8" s="212"/>
      <c r="AQ8" s="212"/>
      <c r="AR8" s="212"/>
      <c r="AS8" s="212"/>
      <c r="AT8" s="212"/>
      <c r="AU8" s="212"/>
      <c r="AV8" s="212"/>
      <c r="AW8" s="212"/>
      <c r="AX8" s="212"/>
      <c r="AY8" s="212"/>
      <c r="AZ8" s="212"/>
      <c r="BA8" s="212"/>
      <c r="BB8" s="212"/>
      <c r="BC8" s="212"/>
      <c r="BD8" s="212"/>
      <c r="BE8" s="212"/>
      <c r="BF8" s="212"/>
      <c r="BG8" s="212"/>
      <c r="BH8" s="212"/>
      <c r="BI8" s="212"/>
      <c r="BJ8" s="219" t="str">
        <f>HYPERLINK("#내역서!A328","A04 →")</f>
        <v>A04 →</v>
      </c>
    </row>
    <row r="9" spans="1:62" ht="24" customHeight="1">
      <c r="A9" s="218" t="s">
        <v>68</v>
      </c>
      <c r="B9" s="215" t="s">
        <v>68</v>
      </c>
      <c r="C9" s="213"/>
      <c r="D9" s="213" t="s">
        <v>68</v>
      </c>
      <c r="E9" s="217">
        <f>내역!E9</f>
        <v>0</v>
      </c>
      <c r="F9" s="217">
        <v>0</v>
      </c>
      <c r="G9" s="217">
        <f>내역!G9</f>
        <v>0</v>
      </c>
      <c r="H9" s="217">
        <v>0</v>
      </c>
      <c r="I9" s="217">
        <f>내역!I9</f>
        <v>0</v>
      </c>
      <c r="J9" s="217">
        <v>0</v>
      </c>
      <c r="K9" s="217">
        <f t="shared" si="0"/>
        <v>0</v>
      </c>
      <c r="L9" s="217">
        <f t="shared" si="0"/>
        <v>0</v>
      </c>
      <c r="M9" s="218" t="s">
        <v>68</v>
      </c>
      <c r="N9" s="212" t="s">
        <v>68</v>
      </c>
      <c r="O9" s="212"/>
      <c r="P9" s="212" t="s">
        <v>1107</v>
      </c>
      <c r="Q9" s="212" t="s">
        <v>68</v>
      </c>
      <c r="R9" s="212" t="s">
        <v>68</v>
      </c>
      <c r="S9" s="212"/>
      <c r="T9" s="212"/>
      <c r="U9" s="212"/>
      <c r="V9" s="212"/>
      <c r="W9" s="212"/>
      <c r="X9" s="212"/>
      <c r="Y9" s="212"/>
      <c r="Z9" s="212"/>
      <c r="AA9" s="212"/>
      <c r="AB9" s="212"/>
      <c r="AC9" s="212"/>
      <c r="AD9" s="212"/>
      <c r="AE9" s="212"/>
      <c r="AF9" s="212"/>
      <c r="AG9" s="212"/>
      <c r="AH9" s="212"/>
      <c r="AI9" s="212"/>
      <c r="AJ9" s="212"/>
      <c r="AK9" s="212"/>
      <c r="AL9" s="212"/>
      <c r="AM9" s="212"/>
      <c r="AN9" s="212"/>
      <c r="AO9" s="212"/>
      <c r="AP9" s="212"/>
      <c r="AQ9" s="212"/>
      <c r="AR9" s="212"/>
      <c r="AS9" s="212"/>
      <c r="AT9" s="212"/>
      <c r="AU9" s="212"/>
      <c r="AV9" s="212"/>
      <c r="AW9" s="212"/>
      <c r="AX9" s="212"/>
      <c r="AY9" s="212"/>
      <c r="AZ9" s="212"/>
      <c r="BA9" s="212"/>
      <c r="BB9" s="212"/>
      <c r="BC9" s="212"/>
      <c r="BD9" s="212"/>
      <c r="BE9" s="212"/>
      <c r="BF9" s="212"/>
      <c r="BG9" s="212"/>
      <c r="BH9" s="212"/>
      <c r="BI9" s="212"/>
      <c r="BJ9" s="212"/>
    </row>
    <row r="10" spans="1:62" ht="24" customHeight="1">
      <c r="A10" s="218" t="s">
        <v>68</v>
      </c>
      <c r="B10" s="215" t="s">
        <v>68</v>
      </c>
      <c r="C10" s="213"/>
      <c r="D10" s="213" t="s">
        <v>68</v>
      </c>
      <c r="E10" s="217">
        <f>내역!E10</f>
        <v>0</v>
      </c>
      <c r="F10" s="217">
        <v>0</v>
      </c>
      <c r="G10" s="217">
        <f>내역!G10</f>
        <v>0</v>
      </c>
      <c r="H10" s="217">
        <v>0</v>
      </c>
      <c r="I10" s="217">
        <f>내역!I10</f>
        <v>0</v>
      </c>
      <c r="J10" s="217">
        <v>0</v>
      </c>
      <c r="K10" s="217">
        <f t="shared" si="0"/>
        <v>0</v>
      </c>
      <c r="L10" s="217">
        <f t="shared" si="0"/>
        <v>0</v>
      </c>
      <c r="M10" s="218" t="s">
        <v>68</v>
      </c>
      <c r="N10" s="212" t="s">
        <v>68</v>
      </c>
      <c r="O10" s="212"/>
      <c r="P10" s="212" t="s">
        <v>1108</v>
      </c>
      <c r="Q10" s="212" t="s">
        <v>68</v>
      </c>
      <c r="R10" s="212" t="s">
        <v>68</v>
      </c>
      <c r="S10" s="212"/>
      <c r="T10" s="212"/>
      <c r="U10" s="212"/>
      <c r="V10" s="212"/>
      <c r="W10" s="212"/>
      <c r="X10" s="212"/>
      <c r="Y10" s="212"/>
      <c r="Z10" s="212"/>
      <c r="AA10" s="212"/>
      <c r="AB10" s="212"/>
      <c r="AC10" s="212"/>
      <c r="AD10" s="212"/>
      <c r="AE10" s="212"/>
      <c r="AF10" s="212"/>
      <c r="AG10" s="212"/>
      <c r="AH10" s="212"/>
      <c r="AI10" s="212"/>
      <c r="AJ10" s="212"/>
      <c r="AK10" s="212"/>
      <c r="AL10" s="212"/>
      <c r="AM10" s="212"/>
      <c r="AN10" s="212"/>
      <c r="AO10" s="212"/>
      <c r="AP10" s="212"/>
      <c r="AQ10" s="212"/>
      <c r="AR10" s="212"/>
      <c r="AS10" s="212"/>
      <c r="AT10" s="212"/>
      <c r="AU10" s="212"/>
      <c r="AV10" s="212"/>
      <c r="AW10" s="212"/>
      <c r="AX10" s="212"/>
      <c r="AY10" s="212"/>
      <c r="AZ10" s="212"/>
      <c r="BA10" s="212"/>
      <c r="BB10" s="212"/>
      <c r="BC10" s="212"/>
      <c r="BD10" s="212"/>
      <c r="BE10" s="212"/>
      <c r="BF10" s="212"/>
      <c r="BG10" s="212"/>
      <c r="BH10" s="212"/>
      <c r="BI10" s="212"/>
      <c r="BJ10" s="212"/>
    </row>
    <row r="11" spans="1:62" ht="24" customHeight="1">
      <c r="A11" s="218" t="s">
        <v>68</v>
      </c>
      <c r="B11" s="215" t="s">
        <v>68</v>
      </c>
      <c r="C11" s="213"/>
      <c r="D11" s="213" t="s">
        <v>68</v>
      </c>
      <c r="E11" s="217">
        <f>내역!E11</f>
        <v>0</v>
      </c>
      <c r="F11" s="217">
        <v>0</v>
      </c>
      <c r="G11" s="217">
        <f>내역!G11</f>
        <v>0</v>
      </c>
      <c r="H11" s="217">
        <v>0</v>
      </c>
      <c r="I11" s="217">
        <f>내역!I11</f>
        <v>0</v>
      </c>
      <c r="J11" s="217">
        <v>0</v>
      </c>
      <c r="K11" s="217">
        <f t="shared" si="0"/>
        <v>0</v>
      </c>
      <c r="L11" s="217">
        <f t="shared" si="0"/>
        <v>0</v>
      </c>
      <c r="M11" s="218" t="s">
        <v>68</v>
      </c>
      <c r="N11" s="212" t="s">
        <v>68</v>
      </c>
      <c r="O11" s="212"/>
      <c r="P11" s="212" t="s">
        <v>1109</v>
      </c>
      <c r="Q11" s="212" t="s">
        <v>68</v>
      </c>
      <c r="R11" s="212" t="s">
        <v>68</v>
      </c>
      <c r="S11" s="212"/>
      <c r="T11" s="212"/>
      <c r="U11" s="212"/>
      <c r="V11" s="212"/>
      <c r="W11" s="212"/>
      <c r="X11" s="212"/>
      <c r="Y11" s="212"/>
      <c r="Z11" s="212"/>
      <c r="AA11" s="212"/>
      <c r="AB11" s="212"/>
      <c r="AC11" s="212"/>
      <c r="AD11" s="212"/>
      <c r="AE11" s="212"/>
      <c r="AF11" s="212"/>
      <c r="AG11" s="212"/>
      <c r="AH11" s="212"/>
      <c r="AI11" s="212"/>
      <c r="AJ11" s="212"/>
      <c r="AK11" s="212"/>
      <c r="AL11" s="212"/>
      <c r="AM11" s="212"/>
      <c r="AN11" s="212"/>
      <c r="AO11" s="212"/>
      <c r="AP11" s="212"/>
      <c r="AQ11" s="212"/>
      <c r="AR11" s="212"/>
      <c r="AS11" s="212"/>
      <c r="AT11" s="212"/>
      <c r="AU11" s="212"/>
      <c r="AV11" s="212"/>
      <c r="AW11" s="212"/>
      <c r="AX11" s="212"/>
      <c r="AY11" s="212"/>
      <c r="AZ11" s="212"/>
      <c r="BA11" s="212"/>
      <c r="BB11" s="212"/>
      <c r="BC11" s="212"/>
      <c r="BD11" s="212"/>
      <c r="BE11" s="212"/>
      <c r="BF11" s="212"/>
      <c r="BG11" s="212"/>
      <c r="BH11" s="212"/>
      <c r="BI11" s="212"/>
      <c r="BJ11" s="212"/>
    </row>
    <row r="12" spans="1:62" ht="24" customHeight="1">
      <c r="A12" s="218" t="s">
        <v>68</v>
      </c>
      <c r="B12" s="215" t="s">
        <v>68</v>
      </c>
      <c r="C12" s="213"/>
      <c r="D12" s="213" t="s">
        <v>68</v>
      </c>
      <c r="E12" s="217">
        <f>내역!E12</f>
        <v>0</v>
      </c>
      <c r="F12" s="217">
        <v>0</v>
      </c>
      <c r="G12" s="217">
        <f>내역!G12</f>
        <v>0</v>
      </c>
      <c r="H12" s="217">
        <v>0</v>
      </c>
      <c r="I12" s="217">
        <f>내역!I12</f>
        <v>0</v>
      </c>
      <c r="J12" s="217">
        <v>0</v>
      </c>
      <c r="K12" s="217">
        <f t="shared" si="0"/>
        <v>0</v>
      </c>
      <c r="L12" s="217">
        <f t="shared" si="0"/>
        <v>0</v>
      </c>
      <c r="M12" s="218" t="s">
        <v>68</v>
      </c>
      <c r="N12" s="212" t="s">
        <v>68</v>
      </c>
      <c r="O12" s="212"/>
      <c r="P12" s="212" t="s">
        <v>1110</v>
      </c>
      <c r="Q12" s="212" t="s">
        <v>68</v>
      </c>
      <c r="R12" s="212" t="s">
        <v>68</v>
      </c>
      <c r="S12" s="212"/>
      <c r="T12" s="212"/>
      <c r="U12" s="212"/>
      <c r="V12" s="212"/>
      <c r="W12" s="212"/>
      <c r="X12" s="212"/>
      <c r="Y12" s="212"/>
      <c r="Z12" s="212"/>
      <c r="AA12" s="212"/>
      <c r="AB12" s="212"/>
      <c r="AC12" s="212"/>
      <c r="AD12" s="212"/>
      <c r="AE12" s="212"/>
      <c r="AF12" s="212"/>
      <c r="AG12" s="212"/>
      <c r="AH12" s="212"/>
      <c r="AI12" s="212"/>
      <c r="AJ12" s="212"/>
      <c r="AK12" s="212"/>
      <c r="AL12" s="212"/>
      <c r="AM12" s="212"/>
      <c r="AN12" s="212"/>
      <c r="AO12" s="212"/>
      <c r="AP12" s="212"/>
      <c r="AQ12" s="212"/>
      <c r="AR12" s="212"/>
      <c r="AS12" s="212"/>
      <c r="AT12" s="212"/>
      <c r="AU12" s="212"/>
      <c r="AV12" s="212"/>
      <c r="AW12" s="212"/>
      <c r="AX12" s="212"/>
      <c r="AY12" s="212"/>
      <c r="AZ12" s="212"/>
      <c r="BA12" s="212"/>
      <c r="BB12" s="212"/>
      <c r="BC12" s="212"/>
      <c r="BD12" s="212"/>
      <c r="BE12" s="212"/>
      <c r="BF12" s="212"/>
      <c r="BG12" s="212"/>
      <c r="BH12" s="212"/>
      <c r="BI12" s="212"/>
      <c r="BJ12" s="212"/>
    </row>
    <row r="13" spans="1:62" ht="24" customHeight="1">
      <c r="A13" s="218" t="s">
        <v>68</v>
      </c>
      <c r="B13" s="215" t="s">
        <v>68</v>
      </c>
      <c r="C13" s="213"/>
      <c r="D13" s="213" t="s">
        <v>68</v>
      </c>
      <c r="E13" s="217">
        <f>내역!E13</f>
        <v>0</v>
      </c>
      <c r="F13" s="217">
        <v>0</v>
      </c>
      <c r="G13" s="217">
        <f>내역!G13</f>
        <v>0</v>
      </c>
      <c r="H13" s="217">
        <v>0</v>
      </c>
      <c r="I13" s="217">
        <f>내역!I13</f>
        <v>0</v>
      </c>
      <c r="J13" s="217">
        <v>0</v>
      </c>
      <c r="K13" s="217">
        <f t="shared" si="0"/>
        <v>0</v>
      </c>
      <c r="L13" s="217">
        <f t="shared" si="0"/>
        <v>0</v>
      </c>
      <c r="M13" s="218" t="s">
        <v>68</v>
      </c>
      <c r="N13" s="212" t="s">
        <v>68</v>
      </c>
      <c r="O13" s="212"/>
      <c r="P13" s="212" t="s">
        <v>1111</v>
      </c>
      <c r="Q13" s="212" t="s">
        <v>68</v>
      </c>
      <c r="R13" s="212" t="s">
        <v>68</v>
      </c>
      <c r="S13" s="212"/>
      <c r="T13" s="212"/>
      <c r="U13" s="212"/>
      <c r="V13" s="212"/>
      <c r="W13" s="212"/>
      <c r="X13" s="212"/>
      <c r="Y13" s="212"/>
      <c r="Z13" s="212"/>
      <c r="AA13" s="212"/>
      <c r="AB13" s="212"/>
      <c r="AC13" s="212"/>
      <c r="AD13" s="212"/>
      <c r="AE13" s="212"/>
      <c r="AF13" s="212"/>
      <c r="AG13" s="212"/>
      <c r="AH13" s="212"/>
      <c r="AI13" s="212"/>
      <c r="AJ13" s="212"/>
      <c r="AK13" s="212"/>
      <c r="AL13" s="212"/>
      <c r="AM13" s="212"/>
      <c r="AN13" s="212"/>
      <c r="AO13" s="212"/>
      <c r="AP13" s="212"/>
      <c r="AQ13" s="212"/>
      <c r="AR13" s="212"/>
      <c r="AS13" s="212"/>
      <c r="AT13" s="212"/>
      <c r="AU13" s="212"/>
      <c r="AV13" s="212"/>
      <c r="AW13" s="212"/>
      <c r="AX13" s="212"/>
      <c r="AY13" s="212"/>
      <c r="AZ13" s="212"/>
      <c r="BA13" s="212"/>
      <c r="BB13" s="212"/>
      <c r="BC13" s="212"/>
      <c r="BD13" s="212"/>
      <c r="BE13" s="212"/>
      <c r="BF13" s="212"/>
      <c r="BG13" s="212"/>
      <c r="BH13" s="212"/>
      <c r="BI13" s="212"/>
      <c r="BJ13" s="212"/>
    </row>
    <row r="14" spans="1:62" ht="24" customHeight="1">
      <c r="A14" s="218" t="s">
        <v>68</v>
      </c>
      <c r="B14" s="215" t="s">
        <v>68</v>
      </c>
      <c r="C14" s="213"/>
      <c r="D14" s="213" t="s">
        <v>68</v>
      </c>
      <c r="E14" s="217">
        <f>내역!E14</f>
        <v>0</v>
      </c>
      <c r="F14" s="217">
        <v>0</v>
      </c>
      <c r="G14" s="217">
        <f>내역!G14</f>
        <v>0</v>
      </c>
      <c r="H14" s="217">
        <v>0</v>
      </c>
      <c r="I14" s="217">
        <f>내역!I14</f>
        <v>0</v>
      </c>
      <c r="J14" s="217">
        <v>0</v>
      </c>
      <c r="K14" s="217">
        <f t="shared" si="0"/>
        <v>0</v>
      </c>
      <c r="L14" s="217">
        <f t="shared" si="0"/>
        <v>0</v>
      </c>
      <c r="M14" s="218" t="s">
        <v>68</v>
      </c>
      <c r="N14" s="212" t="s">
        <v>68</v>
      </c>
      <c r="O14" s="212"/>
      <c r="P14" s="212" t="s">
        <v>1112</v>
      </c>
      <c r="Q14" s="212" t="s">
        <v>68</v>
      </c>
      <c r="R14" s="212" t="s">
        <v>68</v>
      </c>
      <c r="S14" s="212"/>
      <c r="T14" s="212"/>
      <c r="U14" s="212"/>
      <c r="V14" s="212"/>
      <c r="W14" s="212"/>
      <c r="X14" s="212"/>
      <c r="Y14" s="212"/>
      <c r="Z14" s="212"/>
      <c r="AA14" s="212"/>
      <c r="AB14" s="212"/>
      <c r="AC14" s="212"/>
      <c r="AD14" s="212"/>
      <c r="AE14" s="212"/>
      <c r="AF14" s="212"/>
      <c r="AG14" s="212"/>
      <c r="AH14" s="212"/>
      <c r="AI14" s="212"/>
      <c r="AJ14" s="212"/>
      <c r="AK14" s="212"/>
      <c r="AL14" s="212"/>
      <c r="AM14" s="212"/>
      <c r="AN14" s="212"/>
      <c r="AO14" s="212"/>
      <c r="AP14" s="212"/>
      <c r="AQ14" s="212"/>
      <c r="AR14" s="212"/>
      <c r="AS14" s="212"/>
      <c r="AT14" s="212"/>
      <c r="AU14" s="212"/>
      <c r="AV14" s="212"/>
      <c r="AW14" s="212"/>
      <c r="AX14" s="212"/>
      <c r="AY14" s="212"/>
      <c r="AZ14" s="212"/>
      <c r="BA14" s="212"/>
      <c r="BB14" s="212"/>
      <c r="BC14" s="212"/>
      <c r="BD14" s="212"/>
      <c r="BE14" s="212"/>
      <c r="BF14" s="212"/>
      <c r="BG14" s="212"/>
      <c r="BH14" s="212"/>
      <c r="BI14" s="212"/>
      <c r="BJ14" s="212"/>
    </row>
    <row r="15" spans="1:62" ht="24" customHeight="1">
      <c r="A15" s="218" t="s">
        <v>68</v>
      </c>
      <c r="B15" s="215" t="s">
        <v>68</v>
      </c>
      <c r="C15" s="213"/>
      <c r="D15" s="213" t="s">
        <v>68</v>
      </c>
      <c r="E15" s="217">
        <f>내역!E15</f>
        <v>0</v>
      </c>
      <c r="F15" s="217">
        <v>0</v>
      </c>
      <c r="G15" s="217">
        <f>내역!G15</f>
        <v>0</v>
      </c>
      <c r="H15" s="217">
        <v>0</v>
      </c>
      <c r="I15" s="217">
        <f>내역!I15</f>
        <v>0</v>
      </c>
      <c r="J15" s="217">
        <v>0</v>
      </c>
      <c r="K15" s="217">
        <f t="shared" si="0"/>
        <v>0</v>
      </c>
      <c r="L15" s="217">
        <f t="shared" si="0"/>
        <v>0</v>
      </c>
      <c r="M15" s="218" t="s">
        <v>68</v>
      </c>
      <c r="N15" s="212" t="s">
        <v>68</v>
      </c>
      <c r="O15" s="212"/>
      <c r="P15" s="212" t="s">
        <v>1113</v>
      </c>
      <c r="Q15" s="212" t="s">
        <v>68</v>
      </c>
      <c r="R15" s="212" t="s">
        <v>68</v>
      </c>
      <c r="S15" s="212"/>
      <c r="T15" s="212"/>
      <c r="U15" s="212"/>
      <c r="V15" s="212"/>
      <c r="W15" s="212"/>
      <c r="X15" s="212"/>
      <c r="Y15" s="212"/>
      <c r="Z15" s="212"/>
      <c r="AA15" s="212"/>
      <c r="AB15" s="212"/>
      <c r="AC15" s="212"/>
      <c r="AD15" s="212"/>
      <c r="AE15" s="212"/>
      <c r="AF15" s="212"/>
      <c r="AG15" s="212"/>
      <c r="AH15" s="212"/>
      <c r="AI15" s="212"/>
      <c r="AJ15" s="212"/>
      <c r="AK15" s="212"/>
      <c r="AL15" s="212"/>
      <c r="AM15" s="212"/>
      <c r="AN15" s="212"/>
      <c r="AO15" s="212"/>
      <c r="AP15" s="212"/>
      <c r="AQ15" s="212"/>
      <c r="AR15" s="212"/>
      <c r="AS15" s="212"/>
      <c r="AT15" s="212"/>
      <c r="AU15" s="212"/>
      <c r="AV15" s="212"/>
      <c r="AW15" s="212"/>
      <c r="AX15" s="212"/>
      <c r="AY15" s="212"/>
      <c r="AZ15" s="212"/>
      <c r="BA15" s="212"/>
      <c r="BB15" s="212"/>
      <c r="BC15" s="212"/>
      <c r="BD15" s="212"/>
      <c r="BE15" s="212"/>
      <c r="BF15" s="212"/>
      <c r="BG15" s="212"/>
      <c r="BH15" s="212"/>
      <c r="BI15" s="212"/>
      <c r="BJ15" s="212"/>
    </row>
    <row r="16" spans="1:62" ht="24" customHeight="1">
      <c r="A16" s="218" t="s">
        <v>68</v>
      </c>
      <c r="B16" s="215" t="s">
        <v>68</v>
      </c>
      <c r="C16" s="213"/>
      <c r="D16" s="213" t="s">
        <v>68</v>
      </c>
      <c r="E16" s="217">
        <f>내역!E16</f>
        <v>0</v>
      </c>
      <c r="F16" s="217">
        <v>0</v>
      </c>
      <c r="G16" s="217">
        <f>내역!G16</f>
        <v>0</v>
      </c>
      <c r="H16" s="217">
        <v>0</v>
      </c>
      <c r="I16" s="217">
        <f>내역!I16</f>
        <v>0</v>
      </c>
      <c r="J16" s="217">
        <v>0</v>
      </c>
      <c r="K16" s="217">
        <f t="shared" si="0"/>
        <v>0</v>
      </c>
      <c r="L16" s="217">
        <f t="shared" si="0"/>
        <v>0</v>
      </c>
      <c r="M16" s="218" t="s">
        <v>68</v>
      </c>
      <c r="N16" s="212" t="s">
        <v>68</v>
      </c>
      <c r="O16" s="212"/>
      <c r="P16" s="212" t="s">
        <v>1114</v>
      </c>
      <c r="Q16" s="212" t="s">
        <v>68</v>
      </c>
      <c r="R16" s="212" t="s">
        <v>68</v>
      </c>
      <c r="S16" s="212"/>
      <c r="T16" s="212"/>
      <c r="U16" s="212"/>
      <c r="V16" s="212"/>
      <c r="W16" s="212"/>
      <c r="X16" s="212"/>
      <c r="Y16" s="212"/>
      <c r="Z16" s="212"/>
      <c r="AA16" s="212"/>
      <c r="AB16" s="212"/>
      <c r="AC16" s="212"/>
      <c r="AD16" s="212"/>
      <c r="AE16" s="212"/>
      <c r="AF16" s="212"/>
      <c r="AG16" s="212"/>
      <c r="AH16" s="212"/>
      <c r="AI16" s="212"/>
      <c r="AJ16" s="212"/>
      <c r="AK16" s="212"/>
      <c r="AL16" s="212"/>
      <c r="AM16" s="212"/>
      <c r="AN16" s="212"/>
      <c r="AO16" s="212"/>
      <c r="AP16" s="212"/>
      <c r="AQ16" s="212"/>
      <c r="AR16" s="212"/>
      <c r="AS16" s="212"/>
      <c r="AT16" s="212"/>
      <c r="AU16" s="212"/>
      <c r="AV16" s="212"/>
      <c r="AW16" s="212"/>
      <c r="AX16" s="212"/>
      <c r="AY16" s="212"/>
      <c r="AZ16" s="212"/>
      <c r="BA16" s="212"/>
      <c r="BB16" s="212"/>
      <c r="BC16" s="212"/>
      <c r="BD16" s="212"/>
      <c r="BE16" s="212"/>
      <c r="BF16" s="212"/>
      <c r="BG16" s="212"/>
      <c r="BH16" s="212"/>
      <c r="BI16" s="212"/>
      <c r="BJ16" s="212"/>
    </row>
    <row r="17" spans="1:62" ht="24" customHeight="1">
      <c r="A17" s="218" t="s">
        <v>68</v>
      </c>
      <c r="B17" s="215" t="s">
        <v>68</v>
      </c>
      <c r="C17" s="213"/>
      <c r="D17" s="213" t="s">
        <v>68</v>
      </c>
      <c r="E17" s="217">
        <f>내역!E17</f>
        <v>0</v>
      </c>
      <c r="F17" s="217">
        <v>0</v>
      </c>
      <c r="G17" s="217">
        <f>내역!G17</f>
        <v>0</v>
      </c>
      <c r="H17" s="217">
        <v>0</v>
      </c>
      <c r="I17" s="217">
        <f>내역!I17</f>
        <v>0</v>
      </c>
      <c r="J17" s="217">
        <v>0</v>
      </c>
      <c r="K17" s="217">
        <f t="shared" si="0"/>
        <v>0</v>
      </c>
      <c r="L17" s="217">
        <f t="shared" si="0"/>
        <v>0</v>
      </c>
      <c r="M17" s="218" t="s">
        <v>68</v>
      </c>
      <c r="N17" s="212" t="s">
        <v>68</v>
      </c>
      <c r="O17" s="212"/>
      <c r="P17" s="212" t="s">
        <v>1115</v>
      </c>
      <c r="Q17" s="212" t="s">
        <v>68</v>
      </c>
      <c r="R17" s="212" t="s">
        <v>68</v>
      </c>
      <c r="S17" s="212"/>
      <c r="T17" s="212"/>
      <c r="U17" s="212"/>
      <c r="V17" s="212"/>
      <c r="W17" s="212"/>
      <c r="X17" s="212"/>
      <c r="Y17" s="212"/>
      <c r="Z17" s="212"/>
      <c r="AA17" s="212"/>
      <c r="AB17" s="212"/>
      <c r="AC17" s="212"/>
      <c r="AD17" s="212"/>
      <c r="AE17" s="212"/>
      <c r="AF17" s="212"/>
      <c r="AG17" s="212"/>
      <c r="AH17" s="212"/>
      <c r="AI17" s="212"/>
      <c r="AJ17" s="212"/>
      <c r="AK17" s="212"/>
      <c r="AL17" s="212"/>
      <c r="AM17" s="212"/>
      <c r="AN17" s="212"/>
      <c r="AO17" s="212"/>
      <c r="AP17" s="212"/>
      <c r="AQ17" s="212"/>
      <c r="AR17" s="212"/>
      <c r="AS17" s="212"/>
      <c r="AT17" s="212"/>
      <c r="AU17" s="212"/>
      <c r="AV17" s="212"/>
      <c r="AW17" s="212"/>
      <c r="AX17" s="212"/>
      <c r="AY17" s="212"/>
      <c r="AZ17" s="212"/>
      <c r="BA17" s="212"/>
      <c r="BB17" s="212"/>
      <c r="BC17" s="212"/>
      <c r="BD17" s="212"/>
      <c r="BE17" s="212"/>
      <c r="BF17" s="212"/>
      <c r="BG17" s="212"/>
      <c r="BH17" s="212"/>
      <c r="BI17" s="212"/>
      <c r="BJ17" s="212"/>
    </row>
    <row r="18" spans="1:62" ht="24" customHeight="1">
      <c r="A18" s="218" t="s">
        <v>68</v>
      </c>
      <c r="B18" s="215" t="s">
        <v>68</v>
      </c>
      <c r="C18" s="213"/>
      <c r="D18" s="213" t="s">
        <v>68</v>
      </c>
      <c r="E18" s="217">
        <f>내역!E18</f>
        <v>0</v>
      </c>
      <c r="F18" s="217">
        <v>0</v>
      </c>
      <c r="G18" s="217">
        <f>내역!G18</f>
        <v>0</v>
      </c>
      <c r="H18" s="217">
        <v>0</v>
      </c>
      <c r="I18" s="217">
        <f>내역!I18</f>
        <v>0</v>
      </c>
      <c r="J18" s="217">
        <v>0</v>
      </c>
      <c r="K18" s="217">
        <f t="shared" si="0"/>
        <v>0</v>
      </c>
      <c r="L18" s="217">
        <f t="shared" si="0"/>
        <v>0</v>
      </c>
      <c r="M18" s="218" t="s">
        <v>68</v>
      </c>
      <c r="N18" s="212" t="s">
        <v>68</v>
      </c>
      <c r="O18" s="212"/>
      <c r="P18" s="212" t="s">
        <v>1116</v>
      </c>
      <c r="Q18" s="212" t="s">
        <v>68</v>
      </c>
      <c r="R18" s="212" t="s">
        <v>68</v>
      </c>
      <c r="S18" s="212"/>
      <c r="T18" s="212"/>
      <c r="U18" s="212"/>
      <c r="V18" s="212"/>
      <c r="W18" s="212"/>
      <c r="X18" s="212"/>
      <c r="Y18" s="212"/>
      <c r="Z18" s="212"/>
      <c r="AA18" s="220" t="s">
        <v>1117</v>
      </c>
      <c r="AB18" s="212">
        <f>(집계!F5+집계!F6+집계!F7)</f>
        <v>0</v>
      </c>
      <c r="AC18" s="220" t="s">
        <v>1118</v>
      </c>
      <c r="AD18" s="212">
        <f t="shared" ref="AD18:AD19" si="1">$AB18</f>
        <v>0</v>
      </c>
      <c r="AE18" s="212"/>
      <c r="AF18" s="212"/>
      <c r="AG18" s="212"/>
      <c r="AH18" s="212"/>
      <c r="AI18" s="212"/>
      <c r="AJ18" s="212"/>
      <c r="AK18" s="212"/>
      <c r="AL18" s="212"/>
      <c r="AM18" s="212"/>
      <c r="AN18" s="212"/>
      <c r="AO18" s="212"/>
      <c r="AP18" s="212"/>
      <c r="AQ18" s="212"/>
      <c r="AR18" s="212"/>
      <c r="AS18" s="212"/>
      <c r="AT18" s="212"/>
      <c r="AU18" s="212"/>
      <c r="AV18" s="212"/>
      <c r="AW18" s="212"/>
      <c r="AX18" s="212"/>
      <c r="AY18" s="212"/>
      <c r="AZ18" s="212"/>
      <c r="BA18" s="212"/>
      <c r="BB18" s="212"/>
      <c r="BC18" s="212"/>
      <c r="BD18" s="212"/>
      <c r="BE18" s="212"/>
      <c r="BF18" s="212"/>
      <c r="BG18" s="212"/>
      <c r="BH18" s="212"/>
      <c r="BI18" s="212"/>
      <c r="BJ18" s="212"/>
    </row>
    <row r="19" spans="1:62" ht="24" customHeight="1">
      <c r="A19" s="221" t="s">
        <v>1119</v>
      </c>
      <c r="B19" s="222" t="s">
        <v>68</v>
      </c>
      <c r="C19" s="223"/>
      <c r="D19" s="224"/>
      <c r="E19" s="224"/>
      <c r="F19" s="225">
        <f>TRUNC((F5+F6+F7),0)</f>
        <v>0</v>
      </c>
      <c r="G19" s="224"/>
      <c r="H19" s="225">
        <f>TRUNC((H5+H6+H7),0)</f>
        <v>0</v>
      </c>
      <c r="I19" s="224"/>
      <c r="J19" s="225">
        <f>TRUNC((J5+J6+J7),0)</f>
        <v>0</v>
      </c>
      <c r="K19" s="225">
        <f t="shared" si="0"/>
        <v>0</v>
      </c>
      <c r="L19" s="225">
        <f t="shared" si="0"/>
        <v>0</v>
      </c>
      <c r="M19" s="221" t="s">
        <v>68</v>
      </c>
      <c r="N19" s="212" t="s">
        <v>68</v>
      </c>
      <c r="O19" s="212"/>
      <c r="P19" s="212" t="s">
        <v>1120</v>
      </c>
      <c r="Q19" s="212" t="s">
        <v>1105</v>
      </c>
      <c r="R19" s="212" t="s">
        <v>1121</v>
      </c>
      <c r="S19" s="212"/>
      <c r="T19" s="212"/>
      <c r="U19" s="212"/>
      <c r="V19" s="212"/>
      <c r="W19" s="212"/>
      <c r="X19" s="212" t="s">
        <v>1122</v>
      </c>
      <c r="Y19" s="212"/>
      <c r="Z19" s="212"/>
      <c r="AA19" s="220" t="s">
        <v>1123</v>
      </c>
      <c r="AB19" s="212">
        <f>집계!H19*17.5/100</f>
        <v>0</v>
      </c>
      <c r="AC19" s="220" t="s">
        <v>1124</v>
      </c>
      <c r="AD19" s="212">
        <f t="shared" si="1"/>
        <v>0</v>
      </c>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2"/>
      <c r="BI19" s="212"/>
      <c r="BJ19" s="212"/>
    </row>
  </sheetData>
  <mergeCells count="9">
    <mergeCell ref="I2:J2"/>
    <mergeCell ref="K2:L2"/>
    <mergeCell ref="M2:M3"/>
    <mergeCell ref="A2:A3"/>
    <mergeCell ref="B2:B3"/>
    <mergeCell ref="C2:C3"/>
    <mergeCell ref="D2:D3"/>
    <mergeCell ref="E2:F2"/>
    <mergeCell ref="G2:H2"/>
  </mergeCells>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125</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435"/>
  <sheetViews>
    <sheetView workbookViewId="0">
      <pane ySplit="3" topLeftCell="A371" activePane="bottomLeft" state="frozen"/>
      <selection activeCell="DJ113" sqref="DJ113:FG116"/>
      <selection pane="bottomLeft" activeCell="K393" sqref="K393"/>
    </sheetView>
  </sheetViews>
  <sheetFormatPr defaultRowHeight="24" customHeight="1" outlineLevelRow="1"/>
  <cols>
    <col min="1" max="1" width="24" style="248" customWidth="1"/>
    <col min="2" max="2" width="20.25" style="248" customWidth="1"/>
    <col min="3" max="3" width="6" style="249" customWidth="1"/>
    <col min="4" max="4" width="3.75" style="250" customWidth="1"/>
    <col min="5" max="5" width="8.25" style="251" customWidth="1"/>
    <col min="6" max="6" width="9" style="251" customWidth="1"/>
    <col min="7" max="7" width="8.25" style="251" customWidth="1"/>
    <col min="8" max="8" width="9" style="251" customWidth="1"/>
    <col min="9" max="9" width="8.25" style="251" customWidth="1"/>
    <col min="10" max="11" width="9" style="251" customWidth="1"/>
    <col min="12" max="12" width="9.75" style="251" customWidth="1"/>
    <col min="13" max="13" width="4.5" style="251" customWidth="1"/>
    <col min="14" max="62" width="0" style="251" hidden="1" customWidth="1"/>
    <col min="63" max="256" width="9" style="251"/>
    <col min="257" max="257" width="24" style="251" customWidth="1"/>
    <col min="258" max="258" width="20.25" style="251" customWidth="1"/>
    <col min="259" max="259" width="6" style="251" customWidth="1"/>
    <col min="260" max="260" width="3.75" style="251" customWidth="1"/>
    <col min="261" max="261" width="8.25" style="251" customWidth="1"/>
    <col min="262" max="262" width="9" style="251"/>
    <col min="263" max="263" width="8.25" style="251" customWidth="1"/>
    <col min="264" max="264" width="9" style="251"/>
    <col min="265" max="265" width="8.25" style="251" customWidth="1"/>
    <col min="266" max="267" width="9" style="251"/>
    <col min="268" max="268" width="9.75" style="251" customWidth="1"/>
    <col min="269" max="269" width="4.5" style="251" customWidth="1"/>
    <col min="270" max="318" width="0" style="251" hidden="1" customWidth="1"/>
    <col min="319" max="512" width="9" style="251"/>
    <col min="513" max="513" width="24" style="251" customWidth="1"/>
    <col min="514" max="514" width="20.25" style="251" customWidth="1"/>
    <col min="515" max="515" width="6" style="251" customWidth="1"/>
    <col min="516" max="516" width="3.75" style="251" customWidth="1"/>
    <col min="517" max="517" width="8.25" style="251" customWidth="1"/>
    <col min="518" max="518" width="9" style="251"/>
    <col min="519" max="519" width="8.25" style="251" customWidth="1"/>
    <col min="520" max="520" width="9" style="251"/>
    <col min="521" max="521" width="8.25" style="251" customWidth="1"/>
    <col min="522" max="523" width="9" style="251"/>
    <col min="524" max="524" width="9.75" style="251" customWidth="1"/>
    <col min="525" max="525" width="4.5" style="251" customWidth="1"/>
    <col min="526" max="574" width="0" style="251" hidden="1" customWidth="1"/>
    <col min="575" max="768" width="9" style="251"/>
    <col min="769" max="769" width="24" style="251" customWidth="1"/>
    <col min="770" max="770" width="20.25" style="251" customWidth="1"/>
    <col min="771" max="771" width="6" style="251" customWidth="1"/>
    <col min="772" max="772" width="3.75" style="251" customWidth="1"/>
    <col min="773" max="773" width="8.25" style="251" customWidth="1"/>
    <col min="774" max="774" width="9" style="251"/>
    <col min="775" max="775" width="8.25" style="251" customWidth="1"/>
    <col min="776" max="776" width="9" style="251"/>
    <col min="777" max="777" width="8.25" style="251" customWidth="1"/>
    <col min="778" max="779" width="9" style="251"/>
    <col min="780" max="780" width="9.75" style="251" customWidth="1"/>
    <col min="781" max="781" width="4.5" style="251" customWidth="1"/>
    <col min="782" max="830" width="0" style="251" hidden="1" customWidth="1"/>
    <col min="831" max="1024" width="9" style="251"/>
    <col min="1025" max="1025" width="24" style="251" customWidth="1"/>
    <col min="1026" max="1026" width="20.25" style="251" customWidth="1"/>
    <col min="1027" max="1027" width="6" style="251" customWidth="1"/>
    <col min="1028" max="1028" width="3.75" style="251" customWidth="1"/>
    <col min="1029" max="1029" width="8.25" style="251" customWidth="1"/>
    <col min="1030" max="1030" width="9" style="251"/>
    <col min="1031" max="1031" width="8.25" style="251" customWidth="1"/>
    <col min="1032" max="1032" width="9" style="251"/>
    <col min="1033" max="1033" width="8.25" style="251" customWidth="1"/>
    <col min="1034" max="1035" width="9" style="251"/>
    <col min="1036" max="1036" width="9.75" style="251" customWidth="1"/>
    <col min="1037" max="1037" width="4.5" style="251" customWidth="1"/>
    <col min="1038" max="1086" width="0" style="251" hidden="1" customWidth="1"/>
    <col min="1087" max="1280" width="9" style="251"/>
    <col min="1281" max="1281" width="24" style="251" customWidth="1"/>
    <col min="1282" max="1282" width="20.25" style="251" customWidth="1"/>
    <col min="1283" max="1283" width="6" style="251" customWidth="1"/>
    <col min="1284" max="1284" width="3.75" style="251" customWidth="1"/>
    <col min="1285" max="1285" width="8.25" style="251" customWidth="1"/>
    <col min="1286" max="1286" width="9" style="251"/>
    <col min="1287" max="1287" width="8.25" style="251" customWidth="1"/>
    <col min="1288" max="1288" width="9" style="251"/>
    <col min="1289" max="1289" width="8.25" style="251" customWidth="1"/>
    <col min="1290" max="1291" width="9" style="251"/>
    <col min="1292" max="1292" width="9.75" style="251" customWidth="1"/>
    <col min="1293" max="1293" width="4.5" style="251" customWidth="1"/>
    <col min="1294" max="1342" width="0" style="251" hidden="1" customWidth="1"/>
    <col min="1343" max="1536" width="9" style="251"/>
    <col min="1537" max="1537" width="24" style="251" customWidth="1"/>
    <col min="1538" max="1538" width="20.25" style="251" customWidth="1"/>
    <col min="1539" max="1539" width="6" style="251" customWidth="1"/>
    <col min="1540" max="1540" width="3.75" style="251" customWidth="1"/>
    <col min="1541" max="1541" width="8.25" style="251" customWidth="1"/>
    <col min="1542" max="1542" width="9" style="251"/>
    <col min="1543" max="1543" width="8.25" style="251" customWidth="1"/>
    <col min="1544" max="1544" width="9" style="251"/>
    <col min="1545" max="1545" width="8.25" style="251" customWidth="1"/>
    <col min="1546" max="1547" width="9" style="251"/>
    <col min="1548" max="1548" width="9.75" style="251" customWidth="1"/>
    <col min="1549" max="1549" width="4.5" style="251" customWidth="1"/>
    <col min="1550" max="1598" width="0" style="251" hidden="1" customWidth="1"/>
    <col min="1599" max="1792" width="9" style="251"/>
    <col min="1793" max="1793" width="24" style="251" customWidth="1"/>
    <col min="1794" max="1794" width="20.25" style="251" customWidth="1"/>
    <col min="1795" max="1795" width="6" style="251" customWidth="1"/>
    <col min="1796" max="1796" width="3.75" style="251" customWidth="1"/>
    <col min="1797" max="1797" width="8.25" style="251" customWidth="1"/>
    <col min="1798" max="1798" width="9" style="251"/>
    <col min="1799" max="1799" width="8.25" style="251" customWidth="1"/>
    <col min="1800" max="1800" width="9" style="251"/>
    <col min="1801" max="1801" width="8.25" style="251" customWidth="1"/>
    <col min="1802" max="1803" width="9" style="251"/>
    <col min="1804" max="1804" width="9.75" style="251" customWidth="1"/>
    <col min="1805" max="1805" width="4.5" style="251" customWidth="1"/>
    <col min="1806" max="1854" width="0" style="251" hidden="1" customWidth="1"/>
    <col min="1855" max="2048" width="9" style="251"/>
    <col min="2049" max="2049" width="24" style="251" customWidth="1"/>
    <col min="2050" max="2050" width="20.25" style="251" customWidth="1"/>
    <col min="2051" max="2051" width="6" style="251" customWidth="1"/>
    <col min="2052" max="2052" width="3.75" style="251" customWidth="1"/>
    <col min="2053" max="2053" width="8.25" style="251" customWidth="1"/>
    <col min="2054" max="2054" width="9" style="251"/>
    <col min="2055" max="2055" width="8.25" style="251" customWidth="1"/>
    <col min="2056" max="2056" width="9" style="251"/>
    <col min="2057" max="2057" width="8.25" style="251" customWidth="1"/>
    <col min="2058" max="2059" width="9" style="251"/>
    <col min="2060" max="2060" width="9.75" style="251" customWidth="1"/>
    <col min="2061" max="2061" width="4.5" style="251" customWidth="1"/>
    <col min="2062" max="2110" width="0" style="251" hidden="1" customWidth="1"/>
    <col min="2111" max="2304" width="9" style="251"/>
    <col min="2305" max="2305" width="24" style="251" customWidth="1"/>
    <col min="2306" max="2306" width="20.25" style="251" customWidth="1"/>
    <col min="2307" max="2307" width="6" style="251" customWidth="1"/>
    <col min="2308" max="2308" width="3.75" style="251" customWidth="1"/>
    <col min="2309" max="2309" width="8.25" style="251" customWidth="1"/>
    <col min="2310" max="2310" width="9" style="251"/>
    <col min="2311" max="2311" width="8.25" style="251" customWidth="1"/>
    <col min="2312" max="2312" width="9" style="251"/>
    <col min="2313" max="2313" width="8.25" style="251" customWidth="1"/>
    <col min="2314" max="2315" width="9" style="251"/>
    <col min="2316" max="2316" width="9.75" style="251" customWidth="1"/>
    <col min="2317" max="2317" width="4.5" style="251" customWidth="1"/>
    <col min="2318" max="2366" width="0" style="251" hidden="1" customWidth="1"/>
    <col min="2367" max="2560" width="9" style="251"/>
    <col min="2561" max="2561" width="24" style="251" customWidth="1"/>
    <col min="2562" max="2562" width="20.25" style="251" customWidth="1"/>
    <col min="2563" max="2563" width="6" style="251" customWidth="1"/>
    <col min="2564" max="2564" width="3.75" style="251" customWidth="1"/>
    <col min="2565" max="2565" width="8.25" style="251" customWidth="1"/>
    <col min="2566" max="2566" width="9" style="251"/>
    <col min="2567" max="2567" width="8.25" style="251" customWidth="1"/>
    <col min="2568" max="2568" width="9" style="251"/>
    <col min="2569" max="2569" width="8.25" style="251" customWidth="1"/>
    <col min="2570" max="2571" width="9" style="251"/>
    <col min="2572" max="2572" width="9.75" style="251" customWidth="1"/>
    <col min="2573" max="2573" width="4.5" style="251" customWidth="1"/>
    <col min="2574" max="2622" width="0" style="251" hidden="1" customWidth="1"/>
    <col min="2623" max="2816" width="9" style="251"/>
    <col min="2817" max="2817" width="24" style="251" customWidth="1"/>
    <col min="2818" max="2818" width="20.25" style="251" customWidth="1"/>
    <col min="2819" max="2819" width="6" style="251" customWidth="1"/>
    <col min="2820" max="2820" width="3.75" style="251" customWidth="1"/>
    <col min="2821" max="2821" width="8.25" style="251" customWidth="1"/>
    <col min="2822" max="2822" width="9" style="251"/>
    <col min="2823" max="2823" width="8.25" style="251" customWidth="1"/>
    <col min="2824" max="2824" width="9" style="251"/>
    <col min="2825" max="2825" width="8.25" style="251" customWidth="1"/>
    <col min="2826" max="2827" width="9" style="251"/>
    <col min="2828" max="2828" width="9.75" style="251" customWidth="1"/>
    <col min="2829" max="2829" width="4.5" style="251" customWidth="1"/>
    <col min="2830" max="2878" width="0" style="251" hidden="1" customWidth="1"/>
    <col min="2879" max="3072" width="9" style="251"/>
    <col min="3073" max="3073" width="24" style="251" customWidth="1"/>
    <col min="3074" max="3074" width="20.25" style="251" customWidth="1"/>
    <col min="3075" max="3075" width="6" style="251" customWidth="1"/>
    <col min="3076" max="3076" width="3.75" style="251" customWidth="1"/>
    <col min="3077" max="3077" width="8.25" style="251" customWidth="1"/>
    <col min="3078" max="3078" width="9" style="251"/>
    <col min="3079" max="3079" width="8.25" style="251" customWidth="1"/>
    <col min="3080" max="3080" width="9" style="251"/>
    <col min="3081" max="3081" width="8.25" style="251" customWidth="1"/>
    <col min="3082" max="3083" width="9" style="251"/>
    <col min="3084" max="3084" width="9.75" style="251" customWidth="1"/>
    <col min="3085" max="3085" width="4.5" style="251" customWidth="1"/>
    <col min="3086" max="3134" width="0" style="251" hidden="1" customWidth="1"/>
    <col min="3135" max="3328" width="9" style="251"/>
    <col min="3329" max="3329" width="24" style="251" customWidth="1"/>
    <col min="3330" max="3330" width="20.25" style="251" customWidth="1"/>
    <col min="3331" max="3331" width="6" style="251" customWidth="1"/>
    <col min="3332" max="3332" width="3.75" style="251" customWidth="1"/>
    <col min="3333" max="3333" width="8.25" style="251" customWidth="1"/>
    <col min="3334" max="3334" width="9" style="251"/>
    <col min="3335" max="3335" width="8.25" style="251" customWidth="1"/>
    <col min="3336" max="3336" width="9" style="251"/>
    <col min="3337" max="3337" width="8.25" style="251" customWidth="1"/>
    <col min="3338" max="3339" width="9" style="251"/>
    <col min="3340" max="3340" width="9.75" style="251" customWidth="1"/>
    <col min="3341" max="3341" width="4.5" style="251" customWidth="1"/>
    <col min="3342" max="3390" width="0" style="251" hidden="1" customWidth="1"/>
    <col min="3391" max="3584" width="9" style="251"/>
    <col min="3585" max="3585" width="24" style="251" customWidth="1"/>
    <col min="3586" max="3586" width="20.25" style="251" customWidth="1"/>
    <col min="3587" max="3587" width="6" style="251" customWidth="1"/>
    <col min="3588" max="3588" width="3.75" style="251" customWidth="1"/>
    <col min="3589" max="3589" width="8.25" style="251" customWidth="1"/>
    <col min="3590" max="3590" width="9" style="251"/>
    <col min="3591" max="3591" width="8.25" style="251" customWidth="1"/>
    <col min="3592" max="3592" width="9" style="251"/>
    <col min="3593" max="3593" width="8.25" style="251" customWidth="1"/>
    <col min="3594" max="3595" width="9" style="251"/>
    <col min="3596" max="3596" width="9.75" style="251" customWidth="1"/>
    <col min="3597" max="3597" width="4.5" style="251" customWidth="1"/>
    <col min="3598" max="3646" width="0" style="251" hidden="1" customWidth="1"/>
    <col min="3647" max="3840" width="9" style="251"/>
    <col min="3841" max="3841" width="24" style="251" customWidth="1"/>
    <col min="3842" max="3842" width="20.25" style="251" customWidth="1"/>
    <col min="3843" max="3843" width="6" style="251" customWidth="1"/>
    <col min="3844" max="3844" width="3.75" style="251" customWidth="1"/>
    <col min="3845" max="3845" width="8.25" style="251" customWidth="1"/>
    <col min="3846" max="3846" width="9" style="251"/>
    <col min="3847" max="3847" width="8.25" style="251" customWidth="1"/>
    <col min="3848" max="3848" width="9" style="251"/>
    <col min="3849" max="3849" width="8.25" style="251" customWidth="1"/>
    <col min="3850" max="3851" width="9" style="251"/>
    <col min="3852" max="3852" width="9.75" style="251" customWidth="1"/>
    <col min="3853" max="3853" width="4.5" style="251" customWidth="1"/>
    <col min="3854" max="3902" width="0" style="251" hidden="1" customWidth="1"/>
    <col min="3903" max="4096" width="9" style="251"/>
    <col min="4097" max="4097" width="24" style="251" customWidth="1"/>
    <col min="4098" max="4098" width="20.25" style="251" customWidth="1"/>
    <col min="4099" max="4099" width="6" style="251" customWidth="1"/>
    <col min="4100" max="4100" width="3.75" style="251" customWidth="1"/>
    <col min="4101" max="4101" width="8.25" style="251" customWidth="1"/>
    <col min="4102" max="4102" width="9" style="251"/>
    <col min="4103" max="4103" width="8.25" style="251" customWidth="1"/>
    <col min="4104" max="4104" width="9" style="251"/>
    <col min="4105" max="4105" width="8.25" style="251" customWidth="1"/>
    <col min="4106" max="4107" width="9" style="251"/>
    <col min="4108" max="4108" width="9.75" style="251" customWidth="1"/>
    <col min="4109" max="4109" width="4.5" style="251" customWidth="1"/>
    <col min="4110" max="4158" width="0" style="251" hidden="1" customWidth="1"/>
    <col min="4159" max="4352" width="9" style="251"/>
    <col min="4353" max="4353" width="24" style="251" customWidth="1"/>
    <col min="4354" max="4354" width="20.25" style="251" customWidth="1"/>
    <col min="4355" max="4355" width="6" style="251" customWidth="1"/>
    <col min="4356" max="4356" width="3.75" style="251" customWidth="1"/>
    <col min="4357" max="4357" width="8.25" style="251" customWidth="1"/>
    <col min="4358" max="4358" width="9" style="251"/>
    <col min="4359" max="4359" width="8.25" style="251" customWidth="1"/>
    <col min="4360" max="4360" width="9" style="251"/>
    <col min="4361" max="4361" width="8.25" style="251" customWidth="1"/>
    <col min="4362" max="4363" width="9" style="251"/>
    <col min="4364" max="4364" width="9.75" style="251" customWidth="1"/>
    <col min="4365" max="4365" width="4.5" style="251" customWidth="1"/>
    <col min="4366" max="4414" width="0" style="251" hidden="1" customWidth="1"/>
    <col min="4415" max="4608" width="9" style="251"/>
    <col min="4609" max="4609" width="24" style="251" customWidth="1"/>
    <col min="4610" max="4610" width="20.25" style="251" customWidth="1"/>
    <col min="4611" max="4611" width="6" style="251" customWidth="1"/>
    <col min="4612" max="4612" width="3.75" style="251" customWidth="1"/>
    <col min="4613" max="4613" width="8.25" style="251" customWidth="1"/>
    <col min="4614" max="4614" width="9" style="251"/>
    <col min="4615" max="4615" width="8.25" style="251" customWidth="1"/>
    <col min="4616" max="4616" width="9" style="251"/>
    <col min="4617" max="4617" width="8.25" style="251" customWidth="1"/>
    <col min="4618" max="4619" width="9" style="251"/>
    <col min="4620" max="4620" width="9.75" style="251" customWidth="1"/>
    <col min="4621" max="4621" width="4.5" style="251" customWidth="1"/>
    <col min="4622" max="4670" width="0" style="251" hidden="1" customWidth="1"/>
    <col min="4671" max="4864" width="9" style="251"/>
    <col min="4865" max="4865" width="24" style="251" customWidth="1"/>
    <col min="4866" max="4866" width="20.25" style="251" customWidth="1"/>
    <col min="4867" max="4867" width="6" style="251" customWidth="1"/>
    <col min="4868" max="4868" width="3.75" style="251" customWidth="1"/>
    <col min="4869" max="4869" width="8.25" style="251" customWidth="1"/>
    <col min="4870" max="4870" width="9" style="251"/>
    <col min="4871" max="4871" width="8.25" style="251" customWidth="1"/>
    <col min="4872" max="4872" width="9" style="251"/>
    <col min="4873" max="4873" width="8.25" style="251" customWidth="1"/>
    <col min="4874" max="4875" width="9" style="251"/>
    <col min="4876" max="4876" width="9.75" style="251" customWidth="1"/>
    <col min="4877" max="4877" width="4.5" style="251" customWidth="1"/>
    <col min="4878" max="4926" width="0" style="251" hidden="1" customWidth="1"/>
    <col min="4927" max="5120" width="9" style="251"/>
    <col min="5121" max="5121" width="24" style="251" customWidth="1"/>
    <col min="5122" max="5122" width="20.25" style="251" customWidth="1"/>
    <col min="5123" max="5123" width="6" style="251" customWidth="1"/>
    <col min="5124" max="5124" width="3.75" style="251" customWidth="1"/>
    <col min="5125" max="5125" width="8.25" style="251" customWidth="1"/>
    <col min="5126" max="5126" width="9" style="251"/>
    <col min="5127" max="5127" width="8.25" style="251" customWidth="1"/>
    <col min="5128" max="5128" width="9" style="251"/>
    <col min="5129" max="5129" width="8.25" style="251" customWidth="1"/>
    <col min="5130" max="5131" width="9" style="251"/>
    <col min="5132" max="5132" width="9.75" style="251" customWidth="1"/>
    <col min="5133" max="5133" width="4.5" style="251" customWidth="1"/>
    <col min="5134" max="5182" width="0" style="251" hidden="1" customWidth="1"/>
    <col min="5183" max="5376" width="9" style="251"/>
    <col min="5377" max="5377" width="24" style="251" customWidth="1"/>
    <col min="5378" max="5378" width="20.25" style="251" customWidth="1"/>
    <col min="5379" max="5379" width="6" style="251" customWidth="1"/>
    <col min="5380" max="5380" width="3.75" style="251" customWidth="1"/>
    <col min="5381" max="5381" width="8.25" style="251" customWidth="1"/>
    <col min="5382" max="5382" width="9" style="251"/>
    <col min="5383" max="5383" width="8.25" style="251" customWidth="1"/>
    <col min="5384" max="5384" width="9" style="251"/>
    <col min="5385" max="5385" width="8.25" style="251" customWidth="1"/>
    <col min="5386" max="5387" width="9" style="251"/>
    <col min="5388" max="5388" width="9.75" style="251" customWidth="1"/>
    <col min="5389" max="5389" width="4.5" style="251" customWidth="1"/>
    <col min="5390" max="5438" width="0" style="251" hidden="1" customWidth="1"/>
    <col min="5439" max="5632" width="9" style="251"/>
    <col min="5633" max="5633" width="24" style="251" customWidth="1"/>
    <col min="5634" max="5634" width="20.25" style="251" customWidth="1"/>
    <col min="5635" max="5635" width="6" style="251" customWidth="1"/>
    <col min="5636" max="5636" width="3.75" style="251" customWidth="1"/>
    <col min="5637" max="5637" width="8.25" style="251" customWidth="1"/>
    <col min="5638" max="5638" width="9" style="251"/>
    <col min="5639" max="5639" width="8.25" style="251" customWidth="1"/>
    <col min="5640" max="5640" width="9" style="251"/>
    <col min="5641" max="5641" width="8.25" style="251" customWidth="1"/>
    <col min="5642" max="5643" width="9" style="251"/>
    <col min="5644" max="5644" width="9.75" style="251" customWidth="1"/>
    <col min="5645" max="5645" width="4.5" style="251" customWidth="1"/>
    <col min="5646" max="5694" width="0" style="251" hidden="1" customWidth="1"/>
    <col min="5695" max="5888" width="9" style="251"/>
    <col min="5889" max="5889" width="24" style="251" customWidth="1"/>
    <col min="5890" max="5890" width="20.25" style="251" customWidth="1"/>
    <col min="5891" max="5891" width="6" style="251" customWidth="1"/>
    <col min="5892" max="5892" width="3.75" style="251" customWidth="1"/>
    <col min="5893" max="5893" width="8.25" style="251" customWidth="1"/>
    <col min="5894" max="5894" width="9" style="251"/>
    <col min="5895" max="5895" width="8.25" style="251" customWidth="1"/>
    <col min="5896" max="5896" width="9" style="251"/>
    <col min="5897" max="5897" width="8.25" style="251" customWidth="1"/>
    <col min="5898" max="5899" width="9" style="251"/>
    <col min="5900" max="5900" width="9.75" style="251" customWidth="1"/>
    <col min="5901" max="5901" width="4.5" style="251" customWidth="1"/>
    <col min="5902" max="5950" width="0" style="251" hidden="1" customWidth="1"/>
    <col min="5951" max="6144" width="9" style="251"/>
    <col min="6145" max="6145" width="24" style="251" customWidth="1"/>
    <col min="6146" max="6146" width="20.25" style="251" customWidth="1"/>
    <col min="6147" max="6147" width="6" style="251" customWidth="1"/>
    <col min="6148" max="6148" width="3.75" style="251" customWidth="1"/>
    <col min="6149" max="6149" width="8.25" style="251" customWidth="1"/>
    <col min="6150" max="6150" width="9" style="251"/>
    <col min="6151" max="6151" width="8.25" style="251" customWidth="1"/>
    <col min="6152" max="6152" width="9" style="251"/>
    <col min="6153" max="6153" width="8.25" style="251" customWidth="1"/>
    <col min="6154" max="6155" width="9" style="251"/>
    <col min="6156" max="6156" width="9.75" style="251" customWidth="1"/>
    <col min="6157" max="6157" width="4.5" style="251" customWidth="1"/>
    <col min="6158" max="6206" width="0" style="251" hidden="1" customWidth="1"/>
    <col min="6207" max="6400" width="9" style="251"/>
    <col min="6401" max="6401" width="24" style="251" customWidth="1"/>
    <col min="6402" max="6402" width="20.25" style="251" customWidth="1"/>
    <col min="6403" max="6403" width="6" style="251" customWidth="1"/>
    <col min="6404" max="6404" width="3.75" style="251" customWidth="1"/>
    <col min="6405" max="6405" width="8.25" style="251" customWidth="1"/>
    <col min="6406" max="6406" width="9" style="251"/>
    <col min="6407" max="6407" width="8.25" style="251" customWidth="1"/>
    <col min="6408" max="6408" width="9" style="251"/>
    <col min="6409" max="6409" width="8.25" style="251" customWidth="1"/>
    <col min="6410" max="6411" width="9" style="251"/>
    <col min="6412" max="6412" width="9.75" style="251" customWidth="1"/>
    <col min="6413" max="6413" width="4.5" style="251" customWidth="1"/>
    <col min="6414" max="6462" width="0" style="251" hidden="1" customWidth="1"/>
    <col min="6463" max="6656" width="9" style="251"/>
    <col min="6657" max="6657" width="24" style="251" customWidth="1"/>
    <col min="6658" max="6658" width="20.25" style="251" customWidth="1"/>
    <col min="6659" max="6659" width="6" style="251" customWidth="1"/>
    <col min="6660" max="6660" width="3.75" style="251" customWidth="1"/>
    <col min="6661" max="6661" width="8.25" style="251" customWidth="1"/>
    <col min="6662" max="6662" width="9" style="251"/>
    <col min="6663" max="6663" width="8.25" style="251" customWidth="1"/>
    <col min="6664" max="6664" width="9" style="251"/>
    <col min="6665" max="6665" width="8.25" style="251" customWidth="1"/>
    <col min="6666" max="6667" width="9" style="251"/>
    <col min="6668" max="6668" width="9.75" style="251" customWidth="1"/>
    <col min="6669" max="6669" width="4.5" style="251" customWidth="1"/>
    <col min="6670" max="6718" width="0" style="251" hidden="1" customWidth="1"/>
    <col min="6719" max="6912" width="9" style="251"/>
    <col min="6913" max="6913" width="24" style="251" customWidth="1"/>
    <col min="6914" max="6914" width="20.25" style="251" customWidth="1"/>
    <col min="6915" max="6915" width="6" style="251" customWidth="1"/>
    <col min="6916" max="6916" width="3.75" style="251" customWidth="1"/>
    <col min="6917" max="6917" width="8.25" style="251" customWidth="1"/>
    <col min="6918" max="6918" width="9" style="251"/>
    <col min="6919" max="6919" width="8.25" style="251" customWidth="1"/>
    <col min="6920" max="6920" width="9" style="251"/>
    <col min="6921" max="6921" width="8.25" style="251" customWidth="1"/>
    <col min="6922" max="6923" width="9" style="251"/>
    <col min="6924" max="6924" width="9.75" style="251" customWidth="1"/>
    <col min="6925" max="6925" width="4.5" style="251" customWidth="1"/>
    <col min="6926" max="6974" width="0" style="251" hidden="1" customWidth="1"/>
    <col min="6975" max="7168" width="9" style="251"/>
    <col min="7169" max="7169" width="24" style="251" customWidth="1"/>
    <col min="7170" max="7170" width="20.25" style="251" customWidth="1"/>
    <col min="7171" max="7171" width="6" style="251" customWidth="1"/>
    <col min="7172" max="7172" width="3.75" style="251" customWidth="1"/>
    <col min="7173" max="7173" width="8.25" style="251" customWidth="1"/>
    <col min="7174" max="7174" width="9" style="251"/>
    <col min="7175" max="7175" width="8.25" style="251" customWidth="1"/>
    <col min="7176" max="7176" width="9" style="251"/>
    <col min="7177" max="7177" width="8.25" style="251" customWidth="1"/>
    <col min="7178" max="7179" width="9" style="251"/>
    <col min="7180" max="7180" width="9.75" style="251" customWidth="1"/>
    <col min="7181" max="7181" width="4.5" style="251" customWidth="1"/>
    <col min="7182" max="7230" width="0" style="251" hidden="1" customWidth="1"/>
    <col min="7231" max="7424" width="9" style="251"/>
    <col min="7425" max="7425" width="24" style="251" customWidth="1"/>
    <col min="7426" max="7426" width="20.25" style="251" customWidth="1"/>
    <col min="7427" max="7427" width="6" style="251" customWidth="1"/>
    <col min="7428" max="7428" width="3.75" style="251" customWidth="1"/>
    <col min="7429" max="7429" width="8.25" style="251" customWidth="1"/>
    <col min="7430" max="7430" width="9" style="251"/>
    <col min="7431" max="7431" width="8.25" style="251" customWidth="1"/>
    <col min="7432" max="7432" width="9" style="251"/>
    <col min="7433" max="7433" width="8.25" style="251" customWidth="1"/>
    <col min="7434" max="7435" width="9" style="251"/>
    <col min="7436" max="7436" width="9.75" style="251" customWidth="1"/>
    <col min="7437" max="7437" width="4.5" style="251" customWidth="1"/>
    <col min="7438" max="7486" width="0" style="251" hidden="1" customWidth="1"/>
    <col min="7487" max="7680" width="9" style="251"/>
    <col min="7681" max="7681" width="24" style="251" customWidth="1"/>
    <col min="7682" max="7682" width="20.25" style="251" customWidth="1"/>
    <col min="7683" max="7683" width="6" style="251" customWidth="1"/>
    <col min="7684" max="7684" width="3.75" style="251" customWidth="1"/>
    <col min="7685" max="7685" width="8.25" style="251" customWidth="1"/>
    <col min="7686" max="7686" width="9" style="251"/>
    <col min="7687" max="7687" width="8.25" style="251" customWidth="1"/>
    <col min="7688" max="7688" width="9" style="251"/>
    <col min="7689" max="7689" width="8.25" style="251" customWidth="1"/>
    <col min="7690" max="7691" width="9" style="251"/>
    <col min="7692" max="7692" width="9.75" style="251" customWidth="1"/>
    <col min="7693" max="7693" width="4.5" style="251" customWidth="1"/>
    <col min="7694" max="7742" width="0" style="251" hidden="1" customWidth="1"/>
    <col min="7743" max="7936" width="9" style="251"/>
    <col min="7937" max="7937" width="24" style="251" customWidth="1"/>
    <col min="7938" max="7938" width="20.25" style="251" customWidth="1"/>
    <col min="7939" max="7939" width="6" style="251" customWidth="1"/>
    <col min="7940" max="7940" width="3.75" style="251" customWidth="1"/>
    <col min="7941" max="7941" width="8.25" style="251" customWidth="1"/>
    <col min="7942" max="7942" width="9" style="251"/>
    <col min="7943" max="7943" width="8.25" style="251" customWidth="1"/>
    <col min="7944" max="7944" width="9" style="251"/>
    <col min="7945" max="7945" width="8.25" style="251" customWidth="1"/>
    <col min="7946" max="7947" width="9" style="251"/>
    <col min="7948" max="7948" width="9.75" style="251" customWidth="1"/>
    <col min="7949" max="7949" width="4.5" style="251" customWidth="1"/>
    <col min="7950" max="7998" width="0" style="251" hidden="1" customWidth="1"/>
    <col min="7999" max="8192" width="9" style="251"/>
    <col min="8193" max="8193" width="24" style="251" customWidth="1"/>
    <col min="8194" max="8194" width="20.25" style="251" customWidth="1"/>
    <col min="8195" max="8195" width="6" style="251" customWidth="1"/>
    <col min="8196" max="8196" width="3.75" style="251" customWidth="1"/>
    <col min="8197" max="8197" width="8.25" style="251" customWidth="1"/>
    <col min="8198" max="8198" width="9" style="251"/>
    <col min="8199" max="8199" width="8.25" style="251" customWidth="1"/>
    <col min="8200" max="8200" width="9" style="251"/>
    <col min="8201" max="8201" width="8.25" style="251" customWidth="1"/>
    <col min="8202" max="8203" width="9" style="251"/>
    <col min="8204" max="8204" width="9.75" style="251" customWidth="1"/>
    <col min="8205" max="8205" width="4.5" style="251" customWidth="1"/>
    <col min="8206" max="8254" width="0" style="251" hidden="1" customWidth="1"/>
    <col min="8255" max="8448" width="9" style="251"/>
    <col min="8449" max="8449" width="24" style="251" customWidth="1"/>
    <col min="8450" max="8450" width="20.25" style="251" customWidth="1"/>
    <col min="8451" max="8451" width="6" style="251" customWidth="1"/>
    <col min="8452" max="8452" width="3.75" style="251" customWidth="1"/>
    <col min="8453" max="8453" width="8.25" style="251" customWidth="1"/>
    <col min="8454" max="8454" width="9" style="251"/>
    <col min="8455" max="8455" width="8.25" style="251" customWidth="1"/>
    <col min="8456" max="8456" width="9" style="251"/>
    <col min="8457" max="8457" width="8.25" style="251" customWidth="1"/>
    <col min="8458" max="8459" width="9" style="251"/>
    <col min="8460" max="8460" width="9.75" style="251" customWidth="1"/>
    <col min="8461" max="8461" width="4.5" style="251" customWidth="1"/>
    <col min="8462" max="8510" width="0" style="251" hidden="1" customWidth="1"/>
    <col min="8511" max="8704" width="9" style="251"/>
    <col min="8705" max="8705" width="24" style="251" customWidth="1"/>
    <col min="8706" max="8706" width="20.25" style="251" customWidth="1"/>
    <col min="8707" max="8707" width="6" style="251" customWidth="1"/>
    <col min="8708" max="8708" width="3.75" style="251" customWidth="1"/>
    <col min="8709" max="8709" width="8.25" style="251" customWidth="1"/>
    <col min="8710" max="8710" width="9" style="251"/>
    <col min="8711" max="8711" width="8.25" style="251" customWidth="1"/>
    <col min="8712" max="8712" width="9" style="251"/>
    <col min="8713" max="8713" width="8.25" style="251" customWidth="1"/>
    <col min="8714" max="8715" width="9" style="251"/>
    <col min="8716" max="8716" width="9.75" style="251" customWidth="1"/>
    <col min="8717" max="8717" width="4.5" style="251" customWidth="1"/>
    <col min="8718" max="8766" width="0" style="251" hidden="1" customWidth="1"/>
    <col min="8767" max="8960" width="9" style="251"/>
    <col min="8961" max="8961" width="24" style="251" customWidth="1"/>
    <col min="8962" max="8962" width="20.25" style="251" customWidth="1"/>
    <col min="8963" max="8963" width="6" style="251" customWidth="1"/>
    <col min="8964" max="8964" width="3.75" style="251" customWidth="1"/>
    <col min="8965" max="8965" width="8.25" style="251" customWidth="1"/>
    <col min="8966" max="8966" width="9" style="251"/>
    <col min="8967" max="8967" width="8.25" style="251" customWidth="1"/>
    <col min="8968" max="8968" width="9" style="251"/>
    <col min="8969" max="8969" width="8.25" style="251" customWidth="1"/>
    <col min="8970" max="8971" width="9" style="251"/>
    <col min="8972" max="8972" width="9.75" style="251" customWidth="1"/>
    <col min="8973" max="8973" width="4.5" style="251" customWidth="1"/>
    <col min="8974" max="9022" width="0" style="251" hidden="1" customWidth="1"/>
    <col min="9023" max="9216" width="9" style="251"/>
    <col min="9217" max="9217" width="24" style="251" customWidth="1"/>
    <col min="9218" max="9218" width="20.25" style="251" customWidth="1"/>
    <col min="9219" max="9219" width="6" style="251" customWidth="1"/>
    <col min="9220" max="9220" width="3.75" style="251" customWidth="1"/>
    <col min="9221" max="9221" width="8.25" style="251" customWidth="1"/>
    <col min="9222" max="9222" width="9" style="251"/>
    <col min="9223" max="9223" width="8.25" style="251" customWidth="1"/>
    <col min="9224" max="9224" width="9" style="251"/>
    <col min="9225" max="9225" width="8.25" style="251" customWidth="1"/>
    <col min="9226" max="9227" width="9" style="251"/>
    <col min="9228" max="9228" width="9.75" style="251" customWidth="1"/>
    <col min="9229" max="9229" width="4.5" style="251" customWidth="1"/>
    <col min="9230" max="9278" width="0" style="251" hidden="1" customWidth="1"/>
    <col min="9279" max="9472" width="9" style="251"/>
    <col min="9473" max="9473" width="24" style="251" customWidth="1"/>
    <col min="9474" max="9474" width="20.25" style="251" customWidth="1"/>
    <col min="9475" max="9475" width="6" style="251" customWidth="1"/>
    <col min="9476" max="9476" width="3.75" style="251" customWidth="1"/>
    <col min="9477" max="9477" width="8.25" style="251" customWidth="1"/>
    <col min="9478" max="9478" width="9" style="251"/>
    <col min="9479" max="9479" width="8.25" style="251" customWidth="1"/>
    <col min="9480" max="9480" width="9" style="251"/>
    <col min="9481" max="9481" width="8.25" style="251" customWidth="1"/>
    <col min="9482" max="9483" width="9" style="251"/>
    <col min="9484" max="9484" width="9.75" style="251" customWidth="1"/>
    <col min="9485" max="9485" width="4.5" style="251" customWidth="1"/>
    <col min="9486" max="9534" width="0" style="251" hidden="1" customWidth="1"/>
    <col min="9535" max="9728" width="9" style="251"/>
    <col min="9729" max="9729" width="24" style="251" customWidth="1"/>
    <col min="9730" max="9730" width="20.25" style="251" customWidth="1"/>
    <col min="9731" max="9731" width="6" style="251" customWidth="1"/>
    <col min="9732" max="9732" width="3.75" style="251" customWidth="1"/>
    <col min="9733" max="9733" width="8.25" style="251" customWidth="1"/>
    <col min="9734" max="9734" width="9" style="251"/>
    <col min="9735" max="9735" width="8.25" style="251" customWidth="1"/>
    <col min="9736" max="9736" width="9" style="251"/>
    <col min="9737" max="9737" width="8.25" style="251" customWidth="1"/>
    <col min="9738" max="9739" width="9" style="251"/>
    <col min="9740" max="9740" width="9.75" style="251" customWidth="1"/>
    <col min="9741" max="9741" width="4.5" style="251" customWidth="1"/>
    <col min="9742" max="9790" width="0" style="251" hidden="1" customWidth="1"/>
    <col min="9791" max="9984" width="9" style="251"/>
    <col min="9985" max="9985" width="24" style="251" customWidth="1"/>
    <col min="9986" max="9986" width="20.25" style="251" customWidth="1"/>
    <col min="9987" max="9987" width="6" style="251" customWidth="1"/>
    <col min="9988" max="9988" width="3.75" style="251" customWidth="1"/>
    <col min="9989" max="9989" width="8.25" style="251" customWidth="1"/>
    <col min="9990" max="9990" width="9" style="251"/>
    <col min="9991" max="9991" width="8.25" style="251" customWidth="1"/>
    <col min="9992" max="9992" width="9" style="251"/>
    <col min="9993" max="9993" width="8.25" style="251" customWidth="1"/>
    <col min="9994" max="9995" width="9" style="251"/>
    <col min="9996" max="9996" width="9.75" style="251" customWidth="1"/>
    <col min="9997" max="9997" width="4.5" style="251" customWidth="1"/>
    <col min="9998" max="10046" width="0" style="251" hidden="1" customWidth="1"/>
    <col min="10047" max="10240" width="9" style="251"/>
    <col min="10241" max="10241" width="24" style="251" customWidth="1"/>
    <col min="10242" max="10242" width="20.25" style="251" customWidth="1"/>
    <col min="10243" max="10243" width="6" style="251" customWidth="1"/>
    <col min="10244" max="10244" width="3.75" style="251" customWidth="1"/>
    <col min="10245" max="10245" width="8.25" style="251" customWidth="1"/>
    <col min="10246" max="10246" width="9" style="251"/>
    <col min="10247" max="10247" width="8.25" style="251" customWidth="1"/>
    <col min="10248" max="10248" width="9" style="251"/>
    <col min="10249" max="10249" width="8.25" style="251" customWidth="1"/>
    <col min="10250" max="10251" width="9" style="251"/>
    <col min="10252" max="10252" width="9.75" style="251" customWidth="1"/>
    <col min="10253" max="10253" width="4.5" style="251" customWidth="1"/>
    <col min="10254" max="10302" width="0" style="251" hidden="1" customWidth="1"/>
    <col min="10303" max="10496" width="9" style="251"/>
    <col min="10497" max="10497" width="24" style="251" customWidth="1"/>
    <col min="10498" max="10498" width="20.25" style="251" customWidth="1"/>
    <col min="10499" max="10499" width="6" style="251" customWidth="1"/>
    <col min="10500" max="10500" width="3.75" style="251" customWidth="1"/>
    <col min="10501" max="10501" width="8.25" style="251" customWidth="1"/>
    <col min="10502" max="10502" width="9" style="251"/>
    <col min="10503" max="10503" width="8.25" style="251" customWidth="1"/>
    <col min="10504" max="10504" width="9" style="251"/>
    <col min="10505" max="10505" width="8.25" style="251" customWidth="1"/>
    <col min="10506" max="10507" width="9" style="251"/>
    <col min="10508" max="10508" width="9.75" style="251" customWidth="1"/>
    <col min="10509" max="10509" width="4.5" style="251" customWidth="1"/>
    <col min="10510" max="10558" width="0" style="251" hidden="1" customWidth="1"/>
    <col min="10559" max="10752" width="9" style="251"/>
    <col min="10753" max="10753" width="24" style="251" customWidth="1"/>
    <col min="10754" max="10754" width="20.25" style="251" customWidth="1"/>
    <col min="10755" max="10755" width="6" style="251" customWidth="1"/>
    <col min="10756" max="10756" width="3.75" style="251" customWidth="1"/>
    <col min="10757" max="10757" width="8.25" style="251" customWidth="1"/>
    <col min="10758" max="10758" width="9" style="251"/>
    <col min="10759" max="10759" width="8.25" style="251" customWidth="1"/>
    <col min="10760" max="10760" width="9" style="251"/>
    <col min="10761" max="10761" width="8.25" style="251" customWidth="1"/>
    <col min="10762" max="10763" width="9" style="251"/>
    <col min="10764" max="10764" width="9.75" style="251" customWidth="1"/>
    <col min="10765" max="10765" width="4.5" style="251" customWidth="1"/>
    <col min="10766" max="10814" width="0" style="251" hidden="1" customWidth="1"/>
    <col min="10815" max="11008" width="9" style="251"/>
    <col min="11009" max="11009" width="24" style="251" customWidth="1"/>
    <col min="11010" max="11010" width="20.25" style="251" customWidth="1"/>
    <col min="11011" max="11011" width="6" style="251" customWidth="1"/>
    <col min="11012" max="11012" width="3.75" style="251" customWidth="1"/>
    <col min="11013" max="11013" width="8.25" style="251" customWidth="1"/>
    <col min="11014" max="11014" width="9" style="251"/>
    <col min="11015" max="11015" width="8.25" style="251" customWidth="1"/>
    <col min="11016" max="11016" width="9" style="251"/>
    <col min="11017" max="11017" width="8.25" style="251" customWidth="1"/>
    <col min="11018" max="11019" width="9" style="251"/>
    <col min="11020" max="11020" width="9.75" style="251" customWidth="1"/>
    <col min="11021" max="11021" width="4.5" style="251" customWidth="1"/>
    <col min="11022" max="11070" width="0" style="251" hidden="1" customWidth="1"/>
    <col min="11071" max="11264" width="9" style="251"/>
    <col min="11265" max="11265" width="24" style="251" customWidth="1"/>
    <col min="11266" max="11266" width="20.25" style="251" customWidth="1"/>
    <col min="11267" max="11267" width="6" style="251" customWidth="1"/>
    <col min="11268" max="11268" width="3.75" style="251" customWidth="1"/>
    <col min="11269" max="11269" width="8.25" style="251" customWidth="1"/>
    <col min="11270" max="11270" width="9" style="251"/>
    <col min="11271" max="11271" width="8.25" style="251" customWidth="1"/>
    <col min="11272" max="11272" width="9" style="251"/>
    <col min="11273" max="11273" width="8.25" style="251" customWidth="1"/>
    <col min="11274" max="11275" width="9" style="251"/>
    <col min="11276" max="11276" width="9.75" style="251" customWidth="1"/>
    <col min="11277" max="11277" width="4.5" style="251" customWidth="1"/>
    <col min="11278" max="11326" width="0" style="251" hidden="1" customWidth="1"/>
    <col min="11327" max="11520" width="9" style="251"/>
    <col min="11521" max="11521" width="24" style="251" customWidth="1"/>
    <col min="11522" max="11522" width="20.25" style="251" customWidth="1"/>
    <col min="11523" max="11523" width="6" style="251" customWidth="1"/>
    <col min="11524" max="11524" width="3.75" style="251" customWidth="1"/>
    <col min="11525" max="11525" width="8.25" style="251" customWidth="1"/>
    <col min="11526" max="11526" width="9" style="251"/>
    <col min="11527" max="11527" width="8.25" style="251" customWidth="1"/>
    <col min="11528" max="11528" width="9" style="251"/>
    <col min="11529" max="11529" width="8.25" style="251" customWidth="1"/>
    <col min="11530" max="11531" width="9" style="251"/>
    <col min="11532" max="11532" width="9.75" style="251" customWidth="1"/>
    <col min="11533" max="11533" width="4.5" style="251" customWidth="1"/>
    <col min="11534" max="11582" width="0" style="251" hidden="1" customWidth="1"/>
    <col min="11583" max="11776" width="9" style="251"/>
    <col min="11777" max="11777" width="24" style="251" customWidth="1"/>
    <col min="11778" max="11778" width="20.25" style="251" customWidth="1"/>
    <col min="11779" max="11779" width="6" style="251" customWidth="1"/>
    <col min="11780" max="11780" width="3.75" style="251" customWidth="1"/>
    <col min="11781" max="11781" width="8.25" style="251" customWidth="1"/>
    <col min="11782" max="11782" width="9" style="251"/>
    <col min="11783" max="11783" width="8.25" style="251" customWidth="1"/>
    <col min="11784" max="11784" width="9" style="251"/>
    <col min="11785" max="11785" width="8.25" style="251" customWidth="1"/>
    <col min="11786" max="11787" width="9" style="251"/>
    <col min="11788" max="11788" width="9.75" style="251" customWidth="1"/>
    <col min="11789" max="11789" width="4.5" style="251" customWidth="1"/>
    <col min="11790" max="11838" width="0" style="251" hidden="1" customWidth="1"/>
    <col min="11839" max="12032" width="9" style="251"/>
    <col min="12033" max="12033" width="24" style="251" customWidth="1"/>
    <col min="12034" max="12034" width="20.25" style="251" customWidth="1"/>
    <col min="12035" max="12035" width="6" style="251" customWidth="1"/>
    <col min="12036" max="12036" width="3.75" style="251" customWidth="1"/>
    <col min="12037" max="12037" width="8.25" style="251" customWidth="1"/>
    <col min="12038" max="12038" width="9" style="251"/>
    <col min="12039" max="12039" width="8.25" style="251" customWidth="1"/>
    <col min="12040" max="12040" width="9" style="251"/>
    <col min="12041" max="12041" width="8.25" style="251" customWidth="1"/>
    <col min="12042" max="12043" width="9" style="251"/>
    <col min="12044" max="12044" width="9.75" style="251" customWidth="1"/>
    <col min="12045" max="12045" width="4.5" style="251" customWidth="1"/>
    <col min="12046" max="12094" width="0" style="251" hidden="1" customWidth="1"/>
    <col min="12095" max="12288" width="9" style="251"/>
    <col min="12289" max="12289" width="24" style="251" customWidth="1"/>
    <col min="12290" max="12290" width="20.25" style="251" customWidth="1"/>
    <col min="12291" max="12291" width="6" style="251" customWidth="1"/>
    <col min="12292" max="12292" width="3.75" style="251" customWidth="1"/>
    <col min="12293" max="12293" width="8.25" style="251" customWidth="1"/>
    <col min="12294" max="12294" width="9" style="251"/>
    <col min="12295" max="12295" width="8.25" style="251" customWidth="1"/>
    <col min="12296" max="12296" width="9" style="251"/>
    <col min="12297" max="12297" width="8.25" style="251" customWidth="1"/>
    <col min="12298" max="12299" width="9" style="251"/>
    <col min="12300" max="12300" width="9.75" style="251" customWidth="1"/>
    <col min="12301" max="12301" width="4.5" style="251" customWidth="1"/>
    <col min="12302" max="12350" width="0" style="251" hidden="1" customWidth="1"/>
    <col min="12351" max="12544" width="9" style="251"/>
    <col min="12545" max="12545" width="24" style="251" customWidth="1"/>
    <col min="12546" max="12546" width="20.25" style="251" customWidth="1"/>
    <col min="12547" max="12547" width="6" style="251" customWidth="1"/>
    <col min="12548" max="12548" width="3.75" style="251" customWidth="1"/>
    <col min="12549" max="12549" width="8.25" style="251" customWidth="1"/>
    <col min="12550" max="12550" width="9" style="251"/>
    <col min="12551" max="12551" width="8.25" style="251" customWidth="1"/>
    <col min="12552" max="12552" width="9" style="251"/>
    <col min="12553" max="12553" width="8.25" style="251" customWidth="1"/>
    <col min="12554" max="12555" width="9" style="251"/>
    <col min="12556" max="12556" width="9.75" style="251" customWidth="1"/>
    <col min="12557" max="12557" width="4.5" style="251" customWidth="1"/>
    <col min="12558" max="12606" width="0" style="251" hidden="1" customWidth="1"/>
    <col min="12607" max="12800" width="9" style="251"/>
    <col min="12801" max="12801" width="24" style="251" customWidth="1"/>
    <col min="12802" max="12802" width="20.25" style="251" customWidth="1"/>
    <col min="12803" max="12803" width="6" style="251" customWidth="1"/>
    <col min="12804" max="12804" width="3.75" style="251" customWidth="1"/>
    <col min="12805" max="12805" width="8.25" style="251" customWidth="1"/>
    <col min="12806" max="12806" width="9" style="251"/>
    <col min="12807" max="12807" width="8.25" style="251" customWidth="1"/>
    <col min="12808" max="12808" width="9" style="251"/>
    <col min="12809" max="12809" width="8.25" style="251" customWidth="1"/>
    <col min="12810" max="12811" width="9" style="251"/>
    <col min="12812" max="12812" width="9.75" style="251" customWidth="1"/>
    <col min="12813" max="12813" width="4.5" style="251" customWidth="1"/>
    <col min="12814" max="12862" width="0" style="251" hidden="1" customWidth="1"/>
    <col min="12863" max="13056" width="9" style="251"/>
    <col min="13057" max="13057" width="24" style="251" customWidth="1"/>
    <col min="13058" max="13058" width="20.25" style="251" customWidth="1"/>
    <col min="13059" max="13059" width="6" style="251" customWidth="1"/>
    <col min="13060" max="13060" width="3.75" style="251" customWidth="1"/>
    <col min="13061" max="13061" width="8.25" style="251" customWidth="1"/>
    <col min="13062" max="13062" width="9" style="251"/>
    <col min="13063" max="13063" width="8.25" style="251" customWidth="1"/>
    <col min="13064" max="13064" width="9" style="251"/>
    <col min="13065" max="13065" width="8.25" style="251" customWidth="1"/>
    <col min="13066" max="13067" width="9" style="251"/>
    <col min="13068" max="13068" width="9.75" style="251" customWidth="1"/>
    <col min="13069" max="13069" width="4.5" style="251" customWidth="1"/>
    <col min="13070" max="13118" width="0" style="251" hidden="1" customWidth="1"/>
    <col min="13119" max="13312" width="9" style="251"/>
    <col min="13313" max="13313" width="24" style="251" customWidth="1"/>
    <col min="13314" max="13314" width="20.25" style="251" customWidth="1"/>
    <col min="13315" max="13315" width="6" style="251" customWidth="1"/>
    <col min="13316" max="13316" width="3.75" style="251" customWidth="1"/>
    <col min="13317" max="13317" width="8.25" style="251" customWidth="1"/>
    <col min="13318" max="13318" width="9" style="251"/>
    <col min="13319" max="13319" width="8.25" style="251" customWidth="1"/>
    <col min="13320" max="13320" width="9" style="251"/>
    <col min="13321" max="13321" width="8.25" style="251" customWidth="1"/>
    <col min="13322" max="13323" width="9" style="251"/>
    <col min="13324" max="13324" width="9.75" style="251" customWidth="1"/>
    <col min="13325" max="13325" width="4.5" style="251" customWidth="1"/>
    <col min="13326" max="13374" width="0" style="251" hidden="1" customWidth="1"/>
    <col min="13375" max="13568" width="9" style="251"/>
    <col min="13569" max="13569" width="24" style="251" customWidth="1"/>
    <col min="13570" max="13570" width="20.25" style="251" customWidth="1"/>
    <col min="13571" max="13571" width="6" style="251" customWidth="1"/>
    <col min="13572" max="13572" width="3.75" style="251" customWidth="1"/>
    <col min="13573" max="13573" width="8.25" style="251" customWidth="1"/>
    <col min="13574" max="13574" width="9" style="251"/>
    <col min="13575" max="13575" width="8.25" style="251" customWidth="1"/>
    <col min="13576" max="13576" width="9" style="251"/>
    <col min="13577" max="13577" width="8.25" style="251" customWidth="1"/>
    <col min="13578" max="13579" width="9" style="251"/>
    <col min="13580" max="13580" width="9.75" style="251" customWidth="1"/>
    <col min="13581" max="13581" width="4.5" style="251" customWidth="1"/>
    <col min="13582" max="13630" width="0" style="251" hidden="1" customWidth="1"/>
    <col min="13631" max="13824" width="9" style="251"/>
    <col min="13825" max="13825" width="24" style="251" customWidth="1"/>
    <col min="13826" max="13826" width="20.25" style="251" customWidth="1"/>
    <col min="13827" max="13827" width="6" style="251" customWidth="1"/>
    <col min="13828" max="13828" width="3.75" style="251" customWidth="1"/>
    <col min="13829" max="13829" width="8.25" style="251" customWidth="1"/>
    <col min="13830" max="13830" width="9" style="251"/>
    <col min="13831" max="13831" width="8.25" style="251" customWidth="1"/>
    <col min="13832" max="13832" width="9" style="251"/>
    <col min="13833" max="13833" width="8.25" style="251" customWidth="1"/>
    <col min="13834" max="13835" width="9" style="251"/>
    <col min="13836" max="13836" width="9.75" style="251" customWidth="1"/>
    <col min="13837" max="13837" width="4.5" style="251" customWidth="1"/>
    <col min="13838" max="13886" width="0" style="251" hidden="1" customWidth="1"/>
    <col min="13887" max="14080" width="9" style="251"/>
    <col min="14081" max="14081" width="24" style="251" customWidth="1"/>
    <col min="14082" max="14082" width="20.25" style="251" customWidth="1"/>
    <col min="14083" max="14083" width="6" style="251" customWidth="1"/>
    <col min="14084" max="14084" width="3.75" style="251" customWidth="1"/>
    <col min="14085" max="14085" width="8.25" style="251" customWidth="1"/>
    <col min="14086" max="14086" width="9" style="251"/>
    <col min="14087" max="14087" width="8.25" style="251" customWidth="1"/>
    <col min="14088" max="14088" width="9" style="251"/>
    <col min="14089" max="14089" width="8.25" style="251" customWidth="1"/>
    <col min="14090" max="14091" width="9" style="251"/>
    <col min="14092" max="14092" width="9.75" style="251" customWidth="1"/>
    <col min="14093" max="14093" width="4.5" style="251" customWidth="1"/>
    <col min="14094" max="14142" width="0" style="251" hidden="1" customWidth="1"/>
    <col min="14143" max="14336" width="9" style="251"/>
    <col min="14337" max="14337" width="24" style="251" customWidth="1"/>
    <col min="14338" max="14338" width="20.25" style="251" customWidth="1"/>
    <col min="14339" max="14339" width="6" style="251" customWidth="1"/>
    <col min="14340" max="14340" width="3.75" style="251" customWidth="1"/>
    <col min="14341" max="14341" width="8.25" style="251" customWidth="1"/>
    <col min="14342" max="14342" width="9" style="251"/>
    <col min="14343" max="14343" width="8.25" style="251" customWidth="1"/>
    <col min="14344" max="14344" width="9" style="251"/>
    <col min="14345" max="14345" width="8.25" style="251" customWidth="1"/>
    <col min="14346" max="14347" width="9" style="251"/>
    <col min="14348" max="14348" width="9.75" style="251" customWidth="1"/>
    <col min="14349" max="14349" width="4.5" style="251" customWidth="1"/>
    <col min="14350" max="14398" width="0" style="251" hidden="1" customWidth="1"/>
    <col min="14399" max="14592" width="9" style="251"/>
    <col min="14593" max="14593" width="24" style="251" customWidth="1"/>
    <col min="14594" max="14594" width="20.25" style="251" customWidth="1"/>
    <col min="14595" max="14595" width="6" style="251" customWidth="1"/>
    <col min="14596" max="14596" width="3.75" style="251" customWidth="1"/>
    <col min="14597" max="14597" width="8.25" style="251" customWidth="1"/>
    <col min="14598" max="14598" width="9" style="251"/>
    <col min="14599" max="14599" width="8.25" style="251" customWidth="1"/>
    <col min="14600" max="14600" width="9" style="251"/>
    <col min="14601" max="14601" width="8.25" style="251" customWidth="1"/>
    <col min="14602" max="14603" width="9" style="251"/>
    <col min="14604" max="14604" width="9.75" style="251" customWidth="1"/>
    <col min="14605" max="14605" width="4.5" style="251" customWidth="1"/>
    <col min="14606" max="14654" width="0" style="251" hidden="1" customWidth="1"/>
    <col min="14655" max="14848" width="9" style="251"/>
    <col min="14849" max="14849" width="24" style="251" customWidth="1"/>
    <col min="14850" max="14850" width="20.25" style="251" customWidth="1"/>
    <col min="14851" max="14851" width="6" style="251" customWidth="1"/>
    <col min="14852" max="14852" width="3.75" style="251" customWidth="1"/>
    <col min="14853" max="14853" width="8.25" style="251" customWidth="1"/>
    <col min="14854" max="14854" width="9" style="251"/>
    <col min="14855" max="14855" width="8.25" style="251" customWidth="1"/>
    <col min="14856" max="14856" width="9" style="251"/>
    <col min="14857" max="14857" width="8.25" style="251" customWidth="1"/>
    <col min="14858" max="14859" width="9" style="251"/>
    <col min="14860" max="14860" width="9.75" style="251" customWidth="1"/>
    <col min="14861" max="14861" width="4.5" style="251" customWidth="1"/>
    <col min="14862" max="14910" width="0" style="251" hidden="1" customWidth="1"/>
    <col min="14911" max="15104" width="9" style="251"/>
    <col min="15105" max="15105" width="24" style="251" customWidth="1"/>
    <col min="15106" max="15106" width="20.25" style="251" customWidth="1"/>
    <col min="15107" max="15107" width="6" style="251" customWidth="1"/>
    <col min="15108" max="15108" width="3.75" style="251" customWidth="1"/>
    <col min="15109" max="15109" width="8.25" style="251" customWidth="1"/>
    <col min="15110" max="15110" width="9" style="251"/>
    <col min="15111" max="15111" width="8.25" style="251" customWidth="1"/>
    <col min="15112" max="15112" width="9" style="251"/>
    <col min="15113" max="15113" width="8.25" style="251" customWidth="1"/>
    <col min="15114" max="15115" width="9" style="251"/>
    <col min="15116" max="15116" width="9.75" style="251" customWidth="1"/>
    <col min="15117" max="15117" width="4.5" style="251" customWidth="1"/>
    <col min="15118" max="15166" width="0" style="251" hidden="1" customWidth="1"/>
    <col min="15167" max="15360" width="9" style="251"/>
    <col min="15361" max="15361" width="24" style="251" customWidth="1"/>
    <col min="15362" max="15362" width="20.25" style="251" customWidth="1"/>
    <col min="15363" max="15363" width="6" style="251" customWidth="1"/>
    <col min="15364" max="15364" width="3.75" style="251" customWidth="1"/>
    <col min="15365" max="15365" width="8.25" style="251" customWidth="1"/>
    <col min="15366" max="15366" width="9" style="251"/>
    <col min="15367" max="15367" width="8.25" style="251" customWidth="1"/>
    <col min="15368" max="15368" width="9" style="251"/>
    <col min="15369" max="15369" width="8.25" style="251" customWidth="1"/>
    <col min="15370" max="15371" width="9" style="251"/>
    <col min="15372" max="15372" width="9.75" style="251" customWidth="1"/>
    <col min="15373" max="15373" width="4.5" style="251" customWidth="1"/>
    <col min="15374" max="15422" width="0" style="251" hidden="1" customWidth="1"/>
    <col min="15423" max="15616" width="9" style="251"/>
    <col min="15617" max="15617" width="24" style="251" customWidth="1"/>
    <col min="15618" max="15618" width="20.25" style="251" customWidth="1"/>
    <col min="15619" max="15619" width="6" style="251" customWidth="1"/>
    <col min="15620" max="15620" width="3.75" style="251" customWidth="1"/>
    <col min="15621" max="15621" width="8.25" style="251" customWidth="1"/>
    <col min="15622" max="15622" width="9" style="251"/>
    <col min="15623" max="15623" width="8.25" style="251" customWidth="1"/>
    <col min="15624" max="15624" width="9" style="251"/>
    <col min="15625" max="15625" width="8.25" style="251" customWidth="1"/>
    <col min="15626" max="15627" width="9" style="251"/>
    <col min="15628" max="15628" width="9.75" style="251" customWidth="1"/>
    <col min="15629" max="15629" width="4.5" style="251" customWidth="1"/>
    <col min="15630" max="15678" width="0" style="251" hidden="1" customWidth="1"/>
    <col min="15679" max="15872" width="9" style="251"/>
    <col min="15873" max="15873" width="24" style="251" customWidth="1"/>
    <col min="15874" max="15874" width="20.25" style="251" customWidth="1"/>
    <col min="15875" max="15875" width="6" style="251" customWidth="1"/>
    <col min="15876" max="15876" width="3.75" style="251" customWidth="1"/>
    <col min="15877" max="15877" width="8.25" style="251" customWidth="1"/>
    <col min="15878" max="15878" width="9" style="251"/>
    <col min="15879" max="15879" width="8.25" style="251" customWidth="1"/>
    <col min="15880" max="15880" width="9" style="251"/>
    <col min="15881" max="15881" width="8.25" style="251" customWidth="1"/>
    <col min="15882" max="15883" width="9" style="251"/>
    <col min="15884" max="15884" width="9.75" style="251" customWidth="1"/>
    <col min="15885" max="15885" width="4.5" style="251" customWidth="1"/>
    <col min="15886" max="15934" width="0" style="251" hidden="1" customWidth="1"/>
    <col min="15935" max="16128" width="9" style="251"/>
    <col min="16129" max="16129" width="24" style="251" customWidth="1"/>
    <col min="16130" max="16130" width="20.25" style="251" customWidth="1"/>
    <col min="16131" max="16131" width="6" style="251" customWidth="1"/>
    <col min="16132" max="16132" width="3.75" style="251" customWidth="1"/>
    <col min="16133" max="16133" width="8.25" style="251" customWidth="1"/>
    <col min="16134" max="16134" width="9" style="251"/>
    <col min="16135" max="16135" width="8.25" style="251" customWidth="1"/>
    <col min="16136" max="16136" width="9" style="251"/>
    <col min="16137" max="16137" width="8.25" style="251" customWidth="1"/>
    <col min="16138" max="16139" width="9" style="251"/>
    <col min="16140" max="16140" width="9.75" style="251" customWidth="1"/>
    <col min="16141" max="16141" width="4.5" style="251" customWidth="1"/>
    <col min="16142" max="16190" width="0" style="251" hidden="1" customWidth="1"/>
    <col min="16191" max="16384" width="9" style="251"/>
  </cols>
  <sheetData>
    <row r="1" spans="1:62" ht="24" customHeight="1">
      <c r="A1" s="247" t="s">
        <v>1125</v>
      </c>
    </row>
    <row r="2" spans="1:62" ht="24" customHeight="1">
      <c r="A2" s="355" t="s">
        <v>1077</v>
      </c>
      <c r="B2" s="355" t="s">
        <v>13</v>
      </c>
      <c r="C2" s="354" t="s">
        <v>4</v>
      </c>
      <c r="D2" s="354" t="s">
        <v>2</v>
      </c>
      <c r="E2" s="354" t="s">
        <v>1078</v>
      </c>
      <c r="F2" s="354" t="s">
        <v>68</v>
      </c>
      <c r="G2" s="354" t="s">
        <v>1079</v>
      </c>
      <c r="H2" s="354" t="s">
        <v>68</v>
      </c>
      <c r="I2" s="354" t="s">
        <v>1080</v>
      </c>
      <c r="J2" s="354" t="s">
        <v>68</v>
      </c>
      <c r="K2" s="354" t="s">
        <v>1081</v>
      </c>
      <c r="L2" s="354" t="s">
        <v>68</v>
      </c>
      <c r="M2" s="355" t="s">
        <v>7</v>
      </c>
      <c r="N2" s="253"/>
      <c r="O2" s="253"/>
      <c r="P2" s="253"/>
      <c r="Q2" s="253"/>
      <c r="R2" s="253"/>
      <c r="S2" s="253"/>
      <c r="T2" s="253"/>
      <c r="U2" s="253"/>
      <c r="V2" s="253"/>
      <c r="W2" s="253"/>
      <c r="X2" s="253"/>
      <c r="Y2" s="253"/>
      <c r="Z2" s="253"/>
      <c r="AA2" s="253"/>
      <c r="AB2" s="253"/>
      <c r="AC2" s="253"/>
      <c r="AD2" s="253"/>
      <c r="AE2" s="253"/>
      <c r="AF2" s="253"/>
      <c r="AG2" s="253"/>
      <c r="AH2" s="253"/>
      <c r="AI2" s="253"/>
      <c r="AJ2" s="253"/>
      <c r="AK2" s="253"/>
      <c r="AL2" s="253"/>
      <c r="AM2" s="253"/>
      <c r="AN2" s="253"/>
      <c r="AO2" s="253"/>
      <c r="AP2" s="253"/>
      <c r="AQ2" s="253"/>
      <c r="AR2" s="253"/>
      <c r="AS2" s="253"/>
      <c r="AT2" s="253"/>
      <c r="AU2" s="253"/>
      <c r="AV2" s="253"/>
      <c r="AW2" s="253"/>
      <c r="AX2" s="253"/>
      <c r="AY2" s="253"/>
      <c r="AZ2" s="253"/>
      <c r="BA2" s="253"/>
      <c r="BB2" s="253"/>
      <c r="BC2" s="253"/>
      <c r="BD2" s="253"/>
      <c r="BE2" s="253"/>
      <c r="BF2" s="253"/>
      <c r="BG2" s="253"/>
      <c r="BH2" s="253"/>
      <c r="BI2" s="253"/>
      <c r="BJ2" s="253"/>
    </row>
    <row r="3" spans="1:62" ht="24" customHeight="1">
      <c r="A3" s="355" t="s">
        <v>68</v>
      </c>
      <c r="B3" s="355" t="s">
        <v>68</v>
      </c>
      <c r="C3" s="354" t="s">
        <v>68</v>
      </c>
      <c r="D3" s="354" t="s">
        <v>68</v>
      </c>
      <c r="E3" s="252" t="s">
        <v>1083</v>
      </c>
      <c r="F3" s="252" t="s">
        <v>1084</v>
      </c>
      <c r="G3" s="252" t="s">
        <v>1083</v>
      </c>
      <c r="H3" s="252" t="s">
        <v>1084</v>
      </c>
      <c r="I3" s="252" t="s">
        <v>1083</v>
      </c>
      <c r="J3" s="252" t="s">
        <v>1084</v>
      </c>
      <c r="K3" s="252" t="s">
        <v>1083</v>
      </c>
      <c r="L3" s="252" t="s">
        <v>1084</v>
      </c>
      <c r="M3" s="355"/>
      <c r="N3" s="253"/>
      <c r="O3" s="253"/>
      <c r="P3" s="253"/>
      <c r="Q3" s="253"/>
      <c r="R3" s="253"/>
      <c r="S3" s="254" t="s">
        <v>1085</v>
      </c>
      <c r="T3" s="254" t="s">
        <v>1086</v>
      </c>
      <c r="U3" s="254" t="s">
        <v>1087</v>
      </c>
      <c r="V3" s="254" t="s">
        <v>1088</v>
      </c>
      <c r="W3" s="254" t="s">
        <v>1089</v>
      </c>
      <c r="X3" s="254" t="s">
        <v>1090</v>
      </c>
      <c r="Y3" s="254" t="s">
        <v>1091</v>
      </c>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row>
    <row r="4" spans="1:62" ht="24" hidden="1" customHeight="1" outlineLevel="1">
      <c r="A4" s="255" t="s">
        <v>1092</v>
      </c>
      <c r="B4" s="256"/>
      <c r="C4" s="257"/>
      <c r="D4" s="254"/>
      <c r="E4" s="253"/>
      <c r="F4" s="258"/>
      <c r="G4" s="253"/>
      <c r="H4" s="258"/>
      <c r="I4" s="253"/>
      <c r="J4" s="258"/>
      <c r="K4" s="253"/>
      <c r="L4" s="258"/>
      <c r="M4" s="256"/>
      <c r="N4" s="253"/>
      <c r="O4" s="253"/>
      <c r="P4" s="253"/>
      <c r="Q4" s="253"/>
      <c r="R4" s="253"/>
      <c r="S4" s="253"/>
      <c r="T4" s="253"/>
      <c r="U4" s="253"/>
      <c r="V4" s="253"/>
      <c r="W4" s="253"/>
      <c r="X4" s="253"/>
      <c r="Y4" s="253"/>
      <c r="Z4" s="253"/>
      <c r="AA4" s="253"/>
      <c r="AB4" s="253"/>
      <c r="AC4" s="253"/>
      <c r="AD4" s="253"/>
      <c r="AE4" s="253"/>
      <c r="AF4" s="253"/>
      <c r="AG4" s="253"/>
      <c r="AH4" s="253"/>
      <c r="AI4" s="253"/>
      <c r="AJ4" s="253"/>
      <c r="AK4" s="253"/>
      <c r="AL4" s="253"/>
      <c r="AM4" s="253"/>
      <c r="AN4" s="253"/>
      <c r="AO4" s="253"/>
      <c r="AP4" s="253"/>
      <c r="AQ4" s="253"/>
      <c r="AR4" s="253"/>
      <c r="AS4" s="253"/>
      <c r="AT4" s="253"/>
      <c r="AU4" s="253"/>
      <c r="AV4" s="253"/>
      <c r="AW4" s="253"/>
      <c r="AX4" s="253"/>
      <c r="AY4" s="253"/>
      <c r="AZ4" s="253"/>
      <c r="BA4" s="253"/>
      <c r="BB4" s="253"/>
      <c r="BC4" s="253"/>
      <c r="BD4" s="253"/>
      <c r="BE4" s="253"/>
      <c r="BF4" s="253"/>
      <c r="BG4" s="253"/>
      <c r="BH4" s="253"/>
      <c r="BI4" s="253"/>
      <c r="BJ4" s="253"/>
    </row>
    <row r="5" spans="1:62" ht="24" hidden="1" customHeight="1" outlineLevel="1">
      <c r="A5" s="259" t="s">
        <v>1093</v>
      </c>
      <c r="B5" s="259" t="s">
        <v>68</v>
      </c>
      <c r="C5" s="260">
        <v>1</v>
      </c>
      <c r="D5" s="261" t="s">
        <v>1094</v>
      </c>
      <c r="E5" s="262">
        <f>F20</f>
        <v>0</v>
      </c>
      <c r="F5" s="262">
        <f>TRUNC(E5*C5,0)</f>
        <v>0</v>
      </c>
      <c r="G5" s="262">
        <f>H20</f>
        <v>0</v>
      </c>
      <c r="H5" s="262">
        <f>TRUNC(G5*C5,0)</f>
        <v>0</v>
      </c>
      <c r="I5" s="262">
        <f>J20</f>
        <v>0</v>
      </c>
      <c r="J5" s="262">
        <f>TRUNC(I5*C5,0)</f>
        <v>0</v>
      </c>
      <c r="K5" s="262">
        <f t="shared" ref="K5:L20" si="0">E5+G5+I5</f>
        <v>0</v>
      </c>
      <c r="L5" s="262">
        <f t="shared" si="0"/>
        <v>0</v>
      </c>
      <c r="M5" s="259"/>
      <c r="N5" s="253" t="s">
        <v>68</v>
      </c>
      <c r="O5" s="253"/>
      <c r="P5" s="253" t="s">
        <v>1095</v>
      </c>
      <c r="Q5" s="253" t="s">
        <v>68</v>
      </c>
      <c r="R5" s="253" t="s">
        <v>1096</v>
      </c>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63" t="str">
        <f>HYPERLINK("#내역서!A43","A01 →")</f>
        <v>A01 →</v>
      </c>
    </row>
    <row r="6" spans="1:62" ht="24" hidden="1" customHeight="1" outlineLevel="1">
      <c r="A6" s="259" t="s">
        <v>1097</v>
      </c>
      <c r="B6" s="259" t="s">
        <v>68</v>
      </c>
      <c r="C6" s="260">
        <v>1</v>
      </c>
      <c r="D6" s="261" t="s">
        <v>1094</v>
      </c>
      <c r="E6" s="262">
        <f>F36</f>
        <v>0</v>
      </c>
      <c r="F6" s="262">
        <f>TRUNC(E6*C6,0)</f>
        <v>0</v>
      </c>
      <c r="G6" s="262">
        <f>H36</f>
        <v>0</v>
      </c>
      <c r="H6" s="262">
        <f>TRUNC(G6*C6,0)</f>
        <v>0</v>
      </c>
      <c r="I6" s="262">
        <f>J36</f>
        <v>0</v>
      </c>
      <c r="J6" s="262">
        <f>TRUNC(I6*C6,0)</f>
        <v>0</v>
      </c>
      <c r="K6" s="262">
        <f t="shared" si="0"/>
        <v>0</v>
      </c>
      <c r="L6" s="262">
        <f t="shared" si="0"/>
        <v>0</v>
      </c>
      <c r="M6" s="259"/>
      <c r="N6" s="253" t="s">
        <v>68</v>
      </c>
      <c r="O6" s="253"/>
      <c r="P6" s="253" t="s">
        <v>1098</v>
      </c>
      <c r="Q6" s="253" t="s">
        <v>68</v>
      </c>
      <c r="R6" s="253" t="s">
        <v>1099</v>
      </c>
      <c r="S6" s="253"/>
      <c r="T6" s="253"/>
      <c r="U6" s="253"/>
      <c r="V6" s="253"/>
      <c r="W6" s="253"/>
      <c r="X6" s="253"/>
      <c r="Y6" s="253"/>
      <c r="Z6" s="253"/>
      <c r="AA6" s="253"/>
      <c r="AB6" s="253"/>
      <c r="AC6" s="253"/>
      <c r="AD6" s="253"/>
      <c r="AE6" s="253"/>
      <c r="AF6" s="253"/>
      <c r="AG6" s="253"/>
      <c r="AH6" s="253"/>
      <c r="AI6" s="253"/>
      <c r="AJ6" s="253"/>
      <c r="AK6" s="253"/>
      <c r="AL6" s="253"/>
      <c r="AM6" s="253"/>
      <c r="AN6" s="253"/>
      <c r="AO6" s="253"/>
      <c r="AP6" s="253"/>
      <c r="AQ6" s="253"/>
      <c r="AR6" s="253"/>
      <c r="AS6" s="253"/>
      <c r="AT6" s="253"/>
      <c r="AU6" s="253"/>
      <c r="AV6" s="253"/>
      <c r="AW6" s="253"/>
      <c r="AX6" s="253"/>
      <c r="AY6" s="253"/>
      <c r="AZ6" s="253"/>
      <c r="BA6" s="253"/>
      <c r="BB6" s="253"/>
      <c r="BC6" s="253"/>
      <c r="BD6" s="253"/>
      <c r="BE6" s="253"/>
      <c r="BF6" s="253"/>
      <c r="BG6" s="253"/>
      <c r="BH6" s="253"/>
      <c r="BI6" s="253"/>
      <c r="BJ6" s="263" t="str">
        <f>HYPERLINK("#내역서!A49","A02 →")</f>
        <v>A02 →</v>
      </c>
    </row>
    <row r="7" spans="1:62" ht="24" hidden="1" customHeight="1" outlineLevel="1">
      <c r="A7" s="259" t="s">
        <v>1100</v>
      </c>
      <c r="B7" s="259" t="s">
        <v>68</v>
      </c>
      <c r="C7" s="260">
        <v>1</v>
      </c>
      <c r="D7" s="261" t="s">
        <v>1094</v>
      </c>
      <c r="E7" s="262">
        <f>F116</f>
        <v>0</v>
      </c>
      <c r="F7" s="262">
        <f>TRUNC(E7*C7,0)</f>
        <v>0</v>
      </c>
      <c r="G7" s="262">
        <f>H116</f>
        <v>0</v>
      </c>
      <c r="H7" s="262">
        <f>TRUNC(G7*C7,0)</f>
        <v>0</v>
      </c>
      <c r="I7" s="262">
        <f>J116</f>
        <v>0</v>
      </c>
      <c r="J7" s="262">
        <f>TRUNC(I7*C7,0)</f>
        <v>0</v>
      </c>
      <c r="K7" s="262">
        <f t="shared" si="0"/>
        <v>0</v>
      </c>
      <c r="L7" s="262">
        <f t="shared" si="0"/>
        <v>0</v>
      </c>
      <c r="M7" s="259"/>
      <c r="N7" s="253" t="s">
        <v>68</v>
      </c>
      <c r="O7" s="253"/>
      <c r="P7" s="253" t="s">
        <v>1101</v>
      </c>
      <c r="Q7" s="253" t="s">
        <v>68</v>
      </c>
      <c r="R7" s="253" t="s">
        <v>1102</v>
      </c>
      <c r="S7" s="253"/>
      <c r="T7" s="253"/>
      <c r="U7" s="253"/>
      <c r="V7" s="253"/>
      <c r="W7" s="253"/>
      <c r="X7" s="253"/>
      <c r="Y7" s="253"/>
      <c r="Z7" s="253"/>
      <c r="AA7" s="253"/>
      <c r="AB7" s="253"/>
      <c r="AC7" s="253"/>
      <c r="AD7" s="253"/>
      <c r="AE7" s="253"/>
      <c r="AF7" s="253"/>
      <c r="AG7" s="253"/>
      <c r="AH7" s="253"/>
      <c r="AI7" s="253"/>
      <c r="AJ7" s="253"/>
      <c r="AK7" s="253"/>
      <c r="AL7" s="253"/>
      <c r="AM7" s="253"/>
      <c r="AN7" s="253"/>
      <c r="AO7" s="253"/>
      <c r="AP7" s="253"/>
      <c r="AQ7" s="253"/>
      <c r="AR7" s="253"/>
      <c r="AS7" s="253"/>
      <c r="AT7" s="253"/>
      <c r="AU7" s="253"/>
      <c r="AV7" s="253"/>
      <c r="AW7" s="253"/>
      <c r="AX7" s="253"/>
      <c r="AY7" s="253"/>
      <c r="AZ7" s="253"/>
      <c r="BA7" s="253"/>
      <c r="BB7" s="253"/>
      <c r="BC7" s="253"/>
      <c r="BD7" s="253"/>
      <c r="BE7" s="253"/>
      <c r="BF7" s="253"/>
      <c r="BG7" s="253"/>
      <c r="BH7" s="253"/>
      <c r="BI7" s="253"/>
      <c r="BJ7" s="263" t="str">
        <f>HYPERLINK("#내역서!A108","A03 →")</f>
        <v>A03 →</v>
      </c>
    </row>
    <row r="8" spans="1:62" ht="24" hidden="1" customHeight="1" outlineLevel="1">
      <c r="A8" s="259" t="s">
        <v>1103</v>
      </c>
      <c r="B8" s="259" t="s">
        <v>68</v>
      </c>
      <c r="C8" s="260">
        <v>1</v>
      </c>
      <c r="D8" s="261" t="s">
        <v>1094</v>
      </c>
      <c r="E8" s="262">
        <f>F372</f>
        <v>0</v>
      </c>
      <c r="F8" s="262">
        <f>TRUNC(E8*C8,0)</f>
        <v>0</v>
      </c>
      <c r="G8" s="262">
        <f>H372</f>
        <v>0</v>
      </c>
      <c r="H8" s="262">
        <f>TRUNC(G8*C8,0)</f>
        <v>0</v>
      </c>
      <c r="I8" s="262">
        <f>J372</f>
        <v>0</v>
      </c>
      <c r="J8" s="262">
        <f>TRUNC(I8*C8,0)</f>
        <v>0</v>
      </c>
      <c r="K8" s="262">
        <f t="shared" si="0"/>
        <v>0</v>
      </c>
      <c r="L8" s="262">
        <f t="shared" si="0"/>
        <v>0</v>
      </c>
      <c r="M8" s="259"/>
      <c r="N8" s="253" t="s">
        <v>68</v>
      </c>
      <c r="O8" s="253"/>
      <c r="P8" s="253" t="s">
        <v>1104</v>
      </c>
      <c r="Q8" s="253" t="s">
        <v>1105</v>
      </c>
      <c r="R8" s="253" t="s">
        <v>1106</v>
      </c>
      <c r="S8" s="253"/>
      <c r="T8" s="253"/>
      <c r="U8" s="253"/>
      <c r="V8" s="253"/>
      <c r="W8" s="253"/>
      <c r="X8" s="253"/>
      <c r="Y8" s="253"/>
      <c r="Z8" s="253"/>
      <c r="AA8" s="253"/>
      <c r="AB8" s="253"/>
      <c r="AC8" s="253"/>
      <c r="AD8" s="253"/>
      <c r="AE8" s="253"/>
      <c r="AF8" s="253"/>
      <c r="AG8" s="253"/>
      <c r="AH8" s="253"/>
      <c r="AI8" s="253"/>
      <c r="AJ8" s="253"/>
      <c r="AK8" s="253"/>
      <c r="AL8" s="253"/>
      <c r="AM8" s="253"/>
      <c r="AN8" s="253"/>
      <c r="AO8" s="253"/>
      <c r="AP8" s="253"/>
      <c r="AQ8" s="253"/>
      <c r="AR8" s="253"/>
      <c r="AS8" s="253"/>
      <c r="AT8" s="253"/>
      <c r="AU8" s="253"/>
      <c r="AV8" s="253"/>
      <c r="AW8" s="253"/>
      <c r="AX8" s="253"/>
      <c r="AY8" s="253"/>
      <c r="AZ8" s="253"/>
      <c r="BA8" s="253"/>
      <c r="BB8" s="253"/>
      <c r="BC8" s="253"/>
      <c r="BD8" s="253"/>
      <c r="BE8" s="253"/>
      <c r="BF8" s="253"/>
      <c r="BG8" s="253"/>
      <c r="BH8" s="253"/>
      <c r="BI8" s="253"/>
      <c r="BJ8" s="263" t="str">
        <f>HYPERLINK("#내역서!A328","A04 →")</f>
        <v>A04 →</v>
      </c>
    </row>
    <row r="9" spans="1:62" ht="24" hidden="1" customHeight="1" outlineLevel="1">
      <c r="A9" s="256" t="s">
        <v>68</v>
      </c>
      <c r="B9" s="256" t="s">
        <v>68</v>
      </c>
      <c r="C9" s="264"/>
      <c r="D9" s="254" t="s">
        <v>68</v>
      </c>
      <c r="E9" s="254"/>
      <c r="F9" s="258">
        <v>0</v>
      </c>
      <c r="G9" s="254"/>
      <c r="H9" s="258">
        <v>0</v>
      </c>
      <c r="I9" s="254"/>
      <c r="J9" s="258">
        <v>0</v>
      </c>
      <c r="K9" s="258">
        <f t="shared" si="0"/>
        <v>0</v>
      </c>
      <c r="L9" s="258">
        <f t="shared" si="0"/>
        <v>0</v>
      </c>
      <c r="M9" s="256"/>
      <c r="N9" s="253" t="s">
        <v>68</v>
      </c>
      <c r="O9" s="253"/>
      <c r="P9" s="253" t="s">
        <v>1107</v>
      </c>
      <c r="Q9" s="253" t="s">
        <v>68</v>
      </c>
      <c r="R9" s="253" t="s">
        <v>68</v>
      </c>
      <c r="S9" s="253"/>
      <c r="T9" s="253"/>
      <c r="U9" s="253"/>
      <c r="V9" s="253"/>
      <c r="W9" s="253"/>
      <c r="X9" s="253"/>
      <c r="Y9" s="253"/>
      <c r="Z9" s="253"/>
      <c r="AA9" s="253"/>
      <c r="AB9" s="253"/>
      <c r="AC9" s="253"/>
      <c r="AD9" s="253"/>
      <c r="AE9" s="253"/>
      <c r="AF9" s="253"/>
      <c r="AG9" s="253"/>
      <c r="AH9" s="253"/>
      <c r="AI9" s="253"/>
      <c r="AJ9" s="253"/>
      <c r="AK9" s="253"/>
      <c r="AL9" s="253"/>
      <c r="AM9" s="253"/>
      <c r="AN9" s="253"/>
      <c r="AO9" s="253"/>
      <c r="AP9" s="253"/>
      <c r="AQ9" s="253"/>
      <c r="AR9" s="253"/>
      <c r="AS9" s="253"/>
      <c r="AT9" s="253"/>
      <c r="AU9" s="253"/>
      <c r="AV9" s="253"/>
      <c r="AW9" s="253"/>
      <c r="AX9" s="253"/>
      <c r="AY9" s="253"/>
      <c r="AZ9" s="253"/>
      <c r="BA9" s="253"/>
      <c r="BB9" s="253"/>
      <c r="BC9" s="253"/>
      <c r="BD9" s="253"/>
      <c r="BE9" s="253"/>
      <c r="BF9" s="253"/>
      <c r="BG9" s="253"/>
      <c r="BH9" s="253"/>
      <c r="BI9" s="253"/>
      <c r="BJ9" s="253"/>
    </row>
    <row r="10" spans="1:62" ht="24" hidden="1" customHeight="1" outlineLevel="1">
      <c r="A10" s="256" t="s">
        <v>68</v>
      </c>
      <c r="B10" s="256" t="s">
        <v>68</v>
      </c>
      <c r="C10" s="264"/>
      <c r="D10" s="254" t="s">
        <v>68</v>
      </c>
      <c r="E10" s="254"/>
      <c r="F10" s="258">
        <v>0</v>
      </c>
      <c r="G10" s="254"/>
      <c r="H10" s="258">
        <v>0</v>
      </c>
      <c r="I10" s="254"/>
      <c r="J10" s="258">
        <v>0</v>
      </c>
      <c r="K10" s="258">
        <f t="shared" si="0"/>
        <v>0</v>
      </c>
      <c r="L10" s="258">
        <f t="shared" si="0"/>
        <v>0</v>
      </c>
      <c r="M10" s="256"/>
      <c r="N10" s="253" t="s">
        <v>68</v>
      </c>
      <c r="O10" s="253"/>
      <c r="P10" s="253" t="s">
        <v>1108</v>
      </c>
      <c r="Q10" s="253" t="s">
        <v>68</v>
      </c>
      <c r="R10" s="253" t="s">
        <v>68</v>
      </c>
      <c r="S10" s="253"/>
      <c r="T10" s="253"/>
      <c r="U10" s="253"/>
      <c r="V10" s="253"/>
      <c r="W10" s="253"/>
      <c r="X10" s="253"/>
      <c r="Y10" s="253"/>
      <c r="Z10" s="253"/>
      <c r="AA10" s="253"/>
      <c r="AB10" s="253"/>
      <c r="AC10" s="253"/>
      <c r="AD10" s="253"/>
      <c r="AE10" s="253"/>
      <c r="AF10" s="253"/>
      <c r="AG10" s="253"/>
      <c r="AH10" s="253"/>
      <c r="AI10" s="253"/>
      <c r="AJ10" s="253"/>
      <c r="AK10" s="253"/>
      <c r="AL10" s="253"/>
      <c r="AM10" s="253"/>
      <c r="AN10" s="253"/>
      <c r="AO10" s="253"/>
      <c r="AP10" s="253"/>
      <c r="AQ10" s="253"/>
      <c r="AR10" s="253"/>
      <c r="AS10" s="253"/>
      <c r="AT10" s="253"/>
      <c r="AU10" s="253"/>
      <c r="AV10" s="253"/>
      <c r="AW10" s="253"/>
      <c r="AX10" s="253"/>
      <c r="AY10" s="253"/>
      <c r="AZ10" s="253"/>
      <c r="BA10" s="253"/>
      <c r="BB10" s="253"/>
      <c r="BC10" s="253"/>
      <c r="BD10" s="253"/>
      <c r="BE10" s="253"/>
      <c r="BF10" s="253"/>
      <c r="BG10" s="253"/>
      <c r="BH10" s="253"/>
      <c r="BI10" s="253"/>
      <c r="BJ10" s="253"/>
    </row>
    <row r="11" spans="1:62" ht="24" hidden="1" customHeight="1" outlineLevel="1">
      <c r="A11" s="256" t="s">
        <v>68</v>
      </c>
      <c r="B11" s="256" t="s">
        <v>68</v>
      </c>
      <c r="C11" s="264"/>
      <c r="D11" s="254" t="s">
        <v>68</v>
      </c>
      <c r="E11" s="254"/>
      <c r="F11" s="258">
        <v>0</v>
      </c>
      <c r="G11" s="254"/>
      <c r="H11" s="258">
        <v>0</v>
      </c>
      <c r="I11" s="254"/>
      <c r="J11" s="258">
        <v>0</v>
      </c>
      <c r="K11" s="258">
        <f t="shared" si="0"/>
        <v>0</v>
      </c>
      <c r="L11" s="258">
        <f t="shared" si="0"/>
        <v>0</v>
      </c>
      <c r="M11" s="256"/>
      <c r="N11" s="253" t="s">
        <v>68</v>
      </c>
      <c r="O11" s="253"/>
      <c r="P11" s="253" t="s">
        <v>1109</v>
      </c>
      <c r="Q11" s="253" t="s">
        <v>68</v>
      </c>
      <c r="R11" s="253" t="s">
        <v>68</v>
      </c>
      <c r="S11" s="253"/>
      <c r="T11" s="253"/>
      <c r="U11" s="253"/>
      <c r="V11" s="253"/>
      <c r="W11" s="253"/>
      <c r="X11" s="253"/>
      <c r="Y11" s="253"/>
      <c r="Z11" s="253"/>
      <c r="AA11" s="253"/>
      <c r="AB11" s="253"/>
      <c r="AC11" s="253"/>
      <c r="AD11" s="253"/>
      <c r="AE11" s="253"/>
      <c r="AF11" s="253"/>
      <c r="AG11" s="253"/>
      <c r="AH11" s="253"/>
      <c r="AI11" s="253"/>
      <c r="AJ11" s="253"/>
      <c r="AK11" s="253"/>
      <c r="AL11" s="253"/>
      <c r="AM11" s="253"/>
      <c r="AN11" s="253"/>
      <c r="AO11" s="253"/>
      <c r="AP11" s="253"/>
      <c r="AQ11" s="253"/>
      <c r="AR11" s="253"/>
      <c r="AS11" s="253"/>
      <c r="AT11" s="253"/>
      <c r="AU11" s="253"/>
      <c r="AV11" s="253"/>
      <c r="AW11" s="253"/>
      <c r="AX11" s="253"/>
      <c r="AY11" s="253"/>
      <c r="AZ11" s="253"/>
      <c r="BA11" s="253"/>
      <c r="BB11" s="253"/>
      <c r="BC11" s="253"/>
      <c r="BD11" s="253"/>
      <c r="BE11" s="253"/>
      <c r="BF11" s="253"/>
      <c r="BG11" s="253"/>
      <c r="BH11" s="253"/>
      <c r="BI11" s="253"/>
      <c r="BJ11" s="253"/>
    </row>
    <row r="12" spans="1:62" ht="24" hidden="1" customHeight="1" outlineLevel="1">
      <c r="A12" s="256" t="s">
        <v>68</v>
      </c>
      <c r="B12" s="256" t="s">
        <v>68</v>
      </c>
      <c r="C12" s="264"/>
      <c r="D12" s="254" t="s">
        <v>68</v>
      </c>
      <c r="E12" s="254"/>
      <c r="F12" s="258">
        <v>0</v>
      </c>
      <c r="G12" s="254"/>
      <c r="H12" s="258">
        <v>0</v>
      </c>
      <c r="I12" s="254"/>
      <c r="J12" s="258">
        <v>0</v>
      </c>
      <c r="K12" s="258">
        <f t="shared" si="0"/>
        <v>0</v>
      </c>
      <c r="L12" s="258">
        <f t="shared" si="0"/>
        <v>0</v>
      </c>
      <c r="M12" s="256"/>
      <c r="N12" s="253" t="s">
        <v>68</v>
      </c>
      <c r="O12" s="253"/>
      <c r="P12" s="253" t="s">
        <v>1110</v>
      </c>
      <c r="Q12" s="253" t="s">
        <v>68</v>
      </c>
      <c r="R12" s="253" t="s">
        <v>68</v>
      </c>
      <c r="S12" s="253"/>
      <c r="T12" s="253"/>
      <c r="U12" s="253"/>
      <c r="V12" s="253"/>
      <c r="W12" s="253"/>
      <c r="X12" s="253"/>
      <c r="Y12" s="253"/>
      <c r="Z12" s="253"/>
      <c r="AA12" s="253"/>
      <c r="AB12" s="253"/>
      <c r="AC12" s="253"/>
      <c r="AD12" s="253"/>
      <c r="AE12" s="253"/>
      <c r="AF12" s="253"/>
      <c r="AG12" s="253"/>
      <c r="AH12" s="253"/>
      <c r="AI12" s="253"/>
      <c r="AJ12" s="253"/>
      <c r="AK12" s="253"/>
      <c r="AL12" s="253"/>
      <c r="AM12" s="253"/>
      <c r="AN12" s="253"/>
      <c r="AO12" s="253"/>
      <c r="AP12" s="253"/>
      <c r="AQ12" s="253"/>
      <c r="AR12" s="253"/>
      <c r="AS12" s="253"/>
      <c r="AT12" s="253"/>
      <c r="AU12" s="253"/>
      <c r="AV12" s="253"/>
      <c r="AW12" s="253"/>
      <c r="AX12" s="253"/>
      <c r="AY12" s="253"/>
      <c r="AZ12" s="253"/>
      <c r="BA12" s="253"/>
      <c r="BB12" s="253"/>
      <c r="BC12" s="253"/>
      <c r="BD12" s="253"/>
      <c r="BE12" s="253"/>
      <c r="BF12" s="253"/>
      <c r="BG12" s="253"/>
      <c r="BH12" s="253"/>
      <c r="BI12" s="253"/>
      <c r="BJ12" s="253"/>
    </row>
    <row r="13" spans="1:62" ht="24" hidden="1" customHeight="1" outlineLevel="1">
      <c r="A13" s="256" t="s">
        <v>68</v>
      </c>
      <c r="B13" s="256" t="s">
        <v>68</v>
      </c>
      <c r="C13" s="264"/>
      <c r="D13" s="254" t="s">
        <v>68</v>
      </c>
      <c r="E13" s="254"/>
      <c r="F13" s="258">
        <v>0</v>
      </c>
      <c r="G13" s="254"/>
      <c r="H13" s="258">
        <v>0</v>
      </c>
      <c r="I13" s="254"/>
      <c r="J13" s="258">
        <v>0</v>
      </c>
      <c r="K13" s="258">
        <f t="shared" si="0"/>
        <v>0</v>
      </c>
      <c r="L13" s="258">
        <f t="shared" si="0"/>
        <v>0</v>
      </c>
      <c r="M13" s="256"/>
      <c r="N13" s="253" t="s">
        <v>68</v>
      </c>
      <c r="O13" s="253"/>
      <c r="P13" s="253" t="s">
        <v>1111</v>
      </c>
      <c r="Q13" s="253" t="s">
        <v>68</v>
      </c>
      <c r="R13" s="253" t="s">
        <v>68</v>
      </c>
      <c r="S13" s="253"/>
      <c r="T13" s="253"/>
      <c r="U13" s="253"/>
      <c r="V13" s="253"/>
      <c r="W13" s="253"/>
      <c r="X13" s="253"/>
      <c r="Y13" s="253"/>
      <c r="Z13" s="253"/>
      <c r="AA13" s="253"/>
      <c r="AB13" s="253"/>
      <c r="AC13" s="253"/>
      <c r="AD13" s="253"/>
      <c r="AE13" s="253"/>
      <c r="AF13" s="253"/>
      <c r="AG13" s="253"/>
      <c r="AH13" s="253"/>
      <c r="AI13" s="253"/>
      <c r="AJ13" s="253"/>
      <c r="AK13" s="253"/>
      <c r="AL13" s="253"/>
      <c r="AM13" s="253"/>
      <c r="AN13" s="253"/>
      <c r="AO13" s="253"/>
      <c r="AP13" s="253"/>
      <c r="AQ13" s="253"/>
      <c r="AR13" s="253"/>
      <c r="AS13" s="253"/>
      <c r="AT13" s="253"/>
      <c r="AU13" s="253"/>
      <c r="AV13" s="253"/>
      <c r="AW13" s="253"/>
      <c r="AX13" s="253"/>
      <c r="AY13" s="253"/>
      <c r="AZ13" s="253"/>
      <c r="BA13" s="253"/>
      <c r="BB13" s="253"/>
      <c r="BC13" s="253"/>
      <c r="BD13" s="253"/>
      <c r="BE13" s="253"/>
      <c r="BF13" s="253"/>
      <c r="BG13" s="253"/>
      <c r="BH13" s="253"/>
      <c r="BI13" s="253"/>
      <c r="BJ13" s="253"/>
    </row>
    <row r="14" spans="1:62" ht="24" hidden="1" customHeight="1" outlineLevel="1">
      <c r="A14" s="256" t="s">
        <v>68</v>
      </c>
      <c r="B14" s="256" t="s">
        <v>68</v>
      </c>
      <c r="C14" s="264"/>
      <c r="D14" s="254" t="s">
        <v>68</v>
      </c>
      <c r="E14" s="254"/>
      <c r="F14" s="258">
        <v>0</v>
      </c>
      <c r="G14" s="254"/>
      <c r="H14" s="258">
        <v>0</v>
      </c>
      <c r="I14" s="254"/>
      <c r="J14" s="258">
        <v>0</v>
      </c>
      <c r="K14" s="258">
        <f t="shared" si="0"/>
        <v>0</v>
      </c>
      <c r="L14" s="258">
        <f t="shared" si="0"/>
        <v>0</v>
      </c>
      <c r="M14" s="256"/>
      <c r="N14" s="253" t="s">
        <v>68</v>
      </c>
      <c r="O14" s="253"/>
      <c r="P14" s="253" t="s">
        <v>1112</v>
      </c>
      <c r="Q14" s="253" t="s">
        <v>68</v>
      </c>
      <c r="R14" s="253" t="s">
        <v>68</v>
      </c>
      <c r="S14" s="253"/>
      <c r="T14" s="253"/>
      <c r="U14" s="253"/>
      <c r="V14" s="253"/>
      <c r="W14" s="253"/>
      <c r="X14" s="253"/>
      <c r="Y14" s="253"/>
      <c r="Z14" s="253"/>
      <c r="AA14" s="253"/>
      <c r="AB14" s="253"/>
      <c r="AC14" s="253"/>
      <c r="AD14" s="253"/>
      <c r="AE14" s="253"/>
      <c r="AF14" s="253"/>
      <c r="AG14" s="253"/>
      <c r="AH14" s="253"/>
      <c r="AI14" s="253"/>
      <c r="AJ14" s="253"/>
      <c r="AK14" s="253"/>
      <c r="AL14" s="253"/>
      <c r="AM14" s="253"/>
      <c r="AN14" s="253"/>
      <c r="AO14" s="253"/>
      <c r="AP14" s="253"/>
      <c r="AQ14" s="253"/>
      <c r="AR14" s="253"/>
      <c r="AS14" s="253"/>
      <c r="AT14" s="253"/>
      <c r="AU14" s="253"/>
      <c r="AV14" s="253"/>
      <c r="AW14" s="253"/>
      <c r="AX14" s="253"/>
      <c r="AY14" s="253"/>
      <c r="AZ14" s="253"/>
      <c r="BA14" s="253"/>
      <c r="BB14" s="253"/>
      <c r="BC14" s="253"/>
      <c r="BD14" s="253"/>
      <c r="BE14" s="253"/>
      <c r="BF14" s="253"/>
      <c r="BG14" s="253"/>
      <c r="BH14" s="253"/>
      <c r="BI14" s="253"/>
      <c r="BJ14" s="253"/>
    </row>
    <row r="15" spans="1:62" ht="24" hidden="1" customHeight="1" outlineLevel="1">
      <c r="A15" s="256" t="s">
        <v>68</v>
      </c>
      <c r="B15" s="256" t="s">
        <v>68</v>
      </c>
      <c r="C15" s="264"/>
      <c r="D15" s="254" t="s">
        <v>68</v>
      </c>
      <c r="E15" s="254"/>
      <c r="F15" s="258">
        <v>0</v>
      </c>
      <c r="G15" s="254"/>
      <c r="H15" s="258">
        <v>0</v>
      </c>
      <c r="I15" s="254"/>
      <c r="J15" s="258">
        <v>0</v>
      </c>
      <c r="K15" s="258">
        <f t="shared" si="0"/>
        <v>0</v>
      </c>
      <c r="L15" s="258">
        <f t="shared" si="0"/>
        <v>0</v>
      </c>
      <c r="M15" s="256"/>
      <c r="N15" s="253" t="s">
        <v>68</v>
      </c>
      <c r="O15" s="253"/>
      <c r="P15" s="253" t="s">
        <v>1113</v>
      </c>
      <c r="Q15" s="253" t="s">
        <v>68</v>
      </c>
      <c r="R15" s="253" t="s">
        <v>68</v>
      </c>
      <c r="S15" s="253"/>
      <c r="T15" s="253"/>
      <c r="U15" s="253"/>
      <c r="V15" s="253"/>
      <c r="W15" s="253"/>
      <c r="X15" s="253"/>
      <c r="Y15" s="253"/>
      <c r="Z15" s="253"/>
      <c r="AA15" s="253"/>
      <c r="AB15" s="253"/>
      <c r="AC15" s="253"/>
      <c r="AD15" s="253"/>
      <c r="AE15" s="253"/>
      <c r="AF15" s="253"/>
      <c r="AG15" s="253"/>
      <c r="AH15" s="253"/>
      <c r="AI15" s="253"/>
      <c r="AJ15" s="253"/>
      <c r="AK15" s="253"/>
      <c r="AL15" s="253"/>
      <c r="AM15" s="253"/>
      <c r="AN15" s="253"/>
      <c r="AO15" s="253"/>
      <c r="AP15" s="253"/>
      <c r="AQ15" s="253"/>
      <c r="AR15" s="253"/>
      <c r="AS15" s="253"/>
      <c r="AT15" s="253"/>
      <c r="AU15" s="253"/>
      <c r="AV15" s="253"/>
      <c r="AW15" s="253"/>
      <c r="AX15" s="253"/>
      <c r="AY15" s="253"/>
      <c r="AZ15" s="253"/>
      <c r="BA15" s="253"/>
      <c r="BB15" s="253"/>
      <c r="BC15" s="253"/>
      <c r="BD15" s="253"/>
      <c r="BE15" s="253"/>
      <c r="BF15" s="253"/>
      <c r="BG15" s="253"/>
      <c r="BH15" s="253"/>
      <c r="BI15" s="253"/>
      <c r="BJ15" s="253"/>
    </row>
    <row r="16" spans="1:62" ht="24" hidden="1" customHeight="1" outlineLevel="1">
      <c r="A16" s="256" t="s">
        <v>68</v>
      </c>
      <c r="B16" s="256" t="s">
        <v>68</v>
      </c>
      <c r="C16" s="264"/>
      <c r="D16" s="254" t="s">
        <v>68</v>
      </c>
      <c r="E16" s="254"/>
      <c r="F16" s="258">
        <v>0</v>
      </c>
      <c r="G16" s="254"/>
      <c r="H16" s="258">
        <v>0</v>
      </c>
      <c r="I16" s="254"/>
      <c r="J16" s="258">
        <v>0</v>
      </c>
      <c r="K16" s="258">
        <f t="shared" si="0"/>
        <v>0</v>
      </c>
      <c r="L16" s="258">
        <f t="shared" si="0"/>
        <v>0</v>
      </c>
      <c r="M16" s="256"/>
      <c r="N16" s="253" t="s">
        <v>68</v>
      </c>
      <c r="O16" s="253"/>
      <c r="P16" s="253" t="s">
        <v>1114</v>
      </c>
      <c r="Q16" s="253" t="s">
        <v>68</v>
      </c>
      <c r="R16" s="253" t="s">
        <v>68</v>
      </c>
      <c r="S16" s="253"/>
      <c r="T16" s="253"/>
      <c r="U16" s="253"/>
      <c r="V16" s="253"/>
      <c r="W16" s="253"/>
      <c r="X16" s="253"/>
      <c r="Y16" s="253"/>
      <c r="Z16" s="253"/>
      <c r="AA16" s="253"/>
      <c r="AB16" s="253"/>
      <c r="AC16" s="253"/>
      <c r="AD16" s="253"/>
      <c r="AE16" s="253"/>
      <c r="AF16" s="253"/>
      <c r="AG16" s="253"/>
      <c r="AH16" s="253"/>
      <c r="AI16" s="253"/>
      <c r="AJ16" s="253"/>
      <c r="AK16" s="253"/>
      <c r="AL16" s="253"/>
      <c r="AM16" s="253"/>
      <c r="AN16" s="253"/>
      <c r="AO16" s="253"/>
      <c r="AP16" s="253"/>
      <c r="AQ16" s="253"/>
      <c r="AR16" s="253"/>
      <c r="AS16" s="253"/>
      <c r="AT16" s="253"/>
      <c r="AU16" s="253"/>
      <c r="AV16" s="253"/>
      <c r="AW16" s="253"/>
      <c r="AX16" s="253"/>
      <c r="AY16" s="253"/>
      <c r="AZ16" s="253"/>
      <c r="BA16" s="253"/>
      <c r="BB16" s="253"/>
      <c r="BC16" s="253"/>
      <c r="BD16" s="253"/>
      <c r="BE16" s="253"/>
      <c r="BF16" s="253"/>
      <c r="BG16" s="253"/>
      <c r="BH16" s="253"/>
      <c r="BI16" s="253"/>
      <c r="BJ16" s="253"/>
    </row>
    <row r="17" spans="1:62" ht="24" hidden="1" customHeight="1" outlineLevel="1">
      <c r="A17" s="256" t="s">
        <v>68</v>
      </c>
      <c r="B17" s="256" t="s">
        <v>68</v>
      </c>
      <c r="C17" s="264"/>
      <c r="D17" s="254" t="s">
        <v>68</v>
      </c>
      <c r="E17" s="254"/>
      <c r="F17" s="258">
        <v>0</v>
      </c>
      <c r="G17" s="254"/>
      <c r="H17" s="258">
        <v>0</v>
      </c>
      <c r="I17" s="254"/>
      <c r="J17" s="258">
        <v>0</v>
      </c>
      <c r="K17" s="258">
        <f t="shared" si="0"/>
        <v>0</v>
      </c>
      <c r="L17" s="258">
        <f t="shared" si="0"/>
        <v>0</v>
      </c>
      <c r="M17" s="256"/>
      <c r="N17" s="253" t="s">
        <v>68</v>
      </c>
      <c r="O17" s="253"/>
      <c r="P17" s="253" t="s">
        <v>1115</v>
      </c>
      <c r="Q17" s="253" t="s">
        <v>68</v>
      </c>
      <c r="R17" s="253" t="s">
        <v>68</v>
      </c>
      <c r="S17" s="253"/>
      <c r="T17" s="253"/>
      <c r="U17" s="253"/>
      <c r="V17" s="253"/>
      <c r="W17" s="253"/>
      <c r="X17" s="253"/>
      <c r="Y17" s="253"/>
      <c r="Z17" s="253"/>
      <c r="AA17" s="253"/>
      <c r="AB17" s="253"/>
      <c r="AC17" s="253"/>
      <c r="AD17" s="253"/>
      <c r="AE17" s="253"/>
      <c r="AF17" s="253"/>
      <c r="AG17" s="253"/>
      <c r="AH17" s="253"/>
      <c r="AI17" s="253"/>
      <c r="AJ17" s="253"/>
      <c r="AK17" s="253"/>
      <c r="AL17" s="253"/>
      <c r="AM17" s="253"/>
      <c r="AN17" s="253"/>
      <c r="AO17" s="253"/>
      <c r="AP17" s="253"/>
      <c r="AQ17" s="253"/>
      <c r="AR17" s="253"/>
      <c r="AS17" s="253"/>
      <c r="AT17" s="253"/>
      <c r="AU17" s="253"/>
      <c r="AV17" s="253"/>
      <c r="AW17" s="253"/>
      <c r="AX17" s="253"/>
      <c r="AY17" s="253"/>
      <c r="AZ17" s="253"/>
      <c r="BA17" s="253"/>
      <c r="BB17" s="253"/>
      <c r="BC17" s="253"/>
      <c r="BD17" s="253"/>
      <c r="BE17" s="253"/>
      <c r="BF17" s="253"/>
      <c r="BG17" s="253"/>
      <c r="BH17" s="253"/>
      <c r="BI17" s="253"/>
      <c r="BJ17" s="253"/>
    </row>
    <row r="18" spans="1:62" ht="24" hidden="1" customHeight="1" outlineLevel="1">
      <c r="A18" s="256" t="s">
        <v>68</v>
      </c>
      <c r="B18" s="256" t="s">
        <v>68</v>
      </c>
      <c r="C18" s="264"/>
      <c r="D18" s="254" t="s">
        <v>68</v>
      </c>
      <c r="E18" s="254"/>
      <c r="F18" s="258">
        <v>0</v>
      </c>
      <c r="G18" s="254"/>
      <c r="H18" s="258">
        <v>0</v>
      </c>
      <c r="I18" s="254"/>
      <c r="J18" s="258">
        <v>0</v>
      </c>
      <c r="K18" s="258">
        <f t="shared" si="0"/>
        <v>0</v>
      </c>
      <c r="L18" s="258">
        <f t="shared" si="0"/>
        <v>0</v>
      </c>
      <c r="M18" s="256"/>
      <c r="N18" s="253" t="s">
        <v>68</v>
      </c>
      <c r="O18" s="253"/>
      <c r="P18" s="253" t="s">
        <v>1116</v>
      </c>
      <c r="Q18" s="253" t="s">
        <v>68</v>
      </c>
      <c r="R18" s="253" t="s">
        <v>68</v>
      </c>
      <c r="S18" s="253"/>
      <c r="T18" s="253"/>
      <c r="U18" s="253"/>
      <c r="V18" s="253"/>
      <c r="W18" s="253"/>
      <c r="X18" s="253"/>
      <c r="Y18" s="253"/>
      <c r="Z18" s="253"/>
      <c r="AA18" s="253" t="s">
        <v>1117</v>
      </c>
      <c r="AB18" s="253">
        <f>(내역!F5+내역!F6+내역!F7)</f>
        <v>0</v>
      </c>
      <c r="AC18" s="253" t="s">
        <v>1118</v>
      </c>
      <c r="AD18" s="253">
        <f t="shared" ref="AD18:AD19" si="1">$AB18</f>
        <v>0</v>
      </c>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row>
    <row r="19" spans="1:62" ht="24" hidden="1" customHeight="1" outlineLevel="1">
      <c r="A19" s="256" t="s">
        <v>1119</v>
      </c>
      <c r="B19" s="256" t="s">
        <v>68</v>
      </c>
      <c r="C19" s="257">
        <v>1</v>
      </c>
      <c r="D19" s="254" t="s">
        <v>1094</v>
      </c>
      <c r="E19" s="254"/>
      <c r="F19" s="258">
        <f>TRUNC((F5+F6+F7),0)</f>
        <v>0</v>
      </c>
      <c r="G19" s="254"/>
      <c r="H19" s="258">
        <f>TRUNC((H5+H6+H7),0)</f>
        <v>0</v>
      </c>
      <c r="I19" s="254"/>
      <c r="J19" s="258">
        <f>TRUNC((J5+J6+J7),0)</f>
        <v>0</v>
      </c>
      <c r="K19" s="258">
        <f t="shared" si="0"/>
        <v>0</v>
      </c>
      <c r="L19" s="258">
        <f t="shared" si="0"/>
        <v>0</v>
      </c>
      <c r="M19" s="256"/>
      <c r="N19" s="253" t="s">
        <v>68</v>
      </c>
      <c r="O19" s="253"/>
      <c r="P19" s="253" t="s">
        <v>1120</v>
      </c>
      <c r="Q19" s="253" t="s">
        <v>1105</v>
      </c>
      <c r="R19" s="253" t="s">
        <v>1121</v>
      </c>
      <c r="S19" s="253"/>
      <c r="T19" s="253"/>
      <c r="U19" s="253"/>
      <c r="V19" s="253"/>
      <c r="W19" s="253"/>
      <c r="X19" s="253" t="s">
        <v>1122</v>
      </c>
      <c r="Y19" s="253"/>
      <c r="Z19" s="253"/>
      <c r="AA19" s="253" t="s">
        <v>1123</v>
      </c>
      <c r="AB19" s="253">
        <f>내역!H19*17.5/100</f>
        <v>0</v>
      </c>
      <c r="AC19" s="253" t="s">
        <v>1124</v>
      </c>
      <c r="AD19" s="253">
        <f t="shared" si="1"/>
        <v>0</v>
      </c>
      <c r="AE19" s="253"/>
      <c r="AF19" s="253"/>
      <c r="AG19" s="253"/>
      <c r="AH19" s="253"/>
      <c r="AI19" s="253"/>
      <c r="AJ19" s="253"/>
      <c r="AK19" s="253"/>
      <c r="AL19" s="253"/>
      <c r="AM19" s="253"/>
      <c r="AN19" s="253"/>
      <c r="AO19" s="253"/>
      <c r="AP19" s="253"/>
      <c r="AQ19" s="253"/>
      <c r="AR19" s="253"/>
      <c r="AS19" s="253"/>
      <c r="AT19" s="253"/>
      <c r="AU19" s="253"/>
      <c r="AV19" s="253"/>
      <c r="AW19" s="253"/>
      <c r="AX19" s="253"/>
      <c r="AY19" s="253"/>
      <c r="AZ19" s="253"/>
      <c r="BA19" s="253"/>
      <c r="BB19" s="253"/>
      <c r="BC19" s="253"/>
      <c r="BD19" s="253"/>
      <c r="BE19" s="253"/>
      <c r="BF19" s="253"/>
      <c r="BG19" s="253"/>
      <c r="BH19" s="253"/>
      <c r="BI19" s="253"/>
      <c r="BJ19" s="253"/>
    </row>
    <row r="20" spans="1:62" ht="24" customHeight="1" collapsed="1">
      <c r="A20" s="265" t="s">
        <v>1093</v>
      </c>
      <c r="B20" s="265" t="s">
        <v>68</v>
      </c>
      <c r="C20" s="266">
        <v>1</v>
      </c>
      <c r="D20" s="267" t="s">
        <v>1094</v>
      </c>
      <c r="E20" s="267"/>
      <c r="F20" s="268">
        <f>TRUNC(F21+F22+F23+F24,0)</f>
        <v>0</v>
      </c>
      <c r="G20" s="267"/>
      <c r="H20" s="268">
        <f>TRUNC(H21+H22+H23+H24,0)</f>
        <v>0</v>
      </c>
      <c r="I20" s="267"/>
      <c r="J20" s="268">
        <f>TRUNC(J21+J22+J23+J24,0)</f>
        <v>0</v>
      </c>
      <c r="K20" s="267"/>
      <c r="L20" s="268">
        <f t="shared" si="0"/>
        <v>0</v>
      </c>
      <c r="M20" s="265"/>
      <c r="N20" s="253" t="s">
        <v>68</v>
      </c>
      <c r="O20" s="253" t="s">
        <v>1096</v>
      </c>
      <c r="P20" s="253"/>
      <c r="Q20" s="253"/>
      <c r="R20" s="253"/>
      <c r="S20" s="253"/>
      <c r="T20" s="253"/>
      <c r="U20" s="253"/>
      <c r="V20" s="253"/>
      <c r="W20" s="253"/>
      <c r="X20" s="253"/>
      <c r="Y20" s="253"/>
      <c r="Z20" s="253"/>
      <c r="AA20" s="253"/>
      <c r="AB20" s="253"/>
      <c r="AC20" s="253"/>
      <c r="AD20" s="253"/>
      <c r="AE20" s="253"/>
      <c r="AF20" s="253"/>
      <c r="AG20" s="253"/>
      <c r="AH20" s="253"/>
      <c r="AI20" s="253"/>
      <c r="AJ20" s="253"/>
      <c r="AK20" s="253"/>
      <c r="AL20" s="253"/>
      <c r="AM20" s="253"/>
      <c r="AN20" s="253"/>
      <c r="AO20" s="253"/>
      <c r="AP20" s="253"/>
      <c r="AQ20" s="253"/>
      <c r="AR20" s="253"/>
      <c r="AS20" s="253"/>
      <c r="AT20" s="253"/>
      <c r="AU20" s="253"/>
      <c r="AV20" s="253"/>
      <c r="AW20" s="253"/>
      <c r="AX20" s="253"/>
      <c r="AY20" s="253"/>
      <c r="AZ20" s="253"/>
      <c r="BA20" s="253"/>
      <c r="BB20" s="253"/>
      <c r="BC20" s="253"/>
      <c r="BD20" s="253"/>
      <c r="BE20" s="253"/>
      <c r="BF20" s="253"/>
      <c r="BG20" s="253"/>
      <c r="BH20" s="253"/>
      <c r="BI20" s="253"/>
      <c r="BJ20" s="253"/>
    </row>
    <row r="21" spans="1:62" ht="24" customHeight="1">
      <c r="A21" s="256" t="s">
        <v>1126</v>
      </c>
      <c r="B21" s="256" t="s">
        <v>1127</v>
      </c>
      <c r="C21" s="264">
        <v>4.7300000000000004</v>
      </c>
      <c r="D21" s="254" t="s">
        <v>1033</v>
      </c>
      <c r="E21" s="258">
        <f>일위목록!E3</f>
        <v>0</v>
      </c>
      <c r="F21" s="258">
        <f>TRUNC(E21*C21,0)</f>
        <v>0</v>
      </c>
      <c r="G21" s="258">
        <f>일위목록!F3</f>
        <v>0</v>
      </c>
      <c r="H21" s="258">
        <f>TRUNC(G21*C21,0)</f>
        <v>0</v>
      </c>
      <c r="I21" s="258">
        <f>일위목록!G3</f>
        <v>0</v>
      </c>
      <c r="J21" s="258">
        <f>TRUNC(I21*C21,0)</f>
        <v>0</v>
      </c>
      <c r="K21" s="258">
        <f>E21+G21+I21</f>
        <v>0</v>
      </c>
      <c r="L21" s="258">
        <f t="shared" ref="L21:L103" si="2">F21+H21+J21</f>
        <v>0</v>
      </c>
      <c r="M21" s="256"/>
      <c r="N21" s="253" t="s">
        <v>68</v>
      </c>
      <c r="O21" s="253"/>
      <c r="P21" s="253" t="s">
        <v>1095</v>
      </c>
      <c r="Q21" s="253" t="s">
        <v>68</v>
      </c>
      <c r="R21" s="253" t="s">
        <v>1128</v>
      </c>
      <c r="S21" s="253"/>
      <c r="T21" s="253" t="s">
        <v>1129</v>
      </c>
      <c r="U21" s="253"/>
      <c r="V21" s="253"/>
      <c r="W21" s="253"/>
      <c r="X21" s="253"/>
      <c r="Y21" s="253"/>
      <c r="Z21" s="253"/>
      <c r="AA21" s="253"/>
      <c r="AB21" s="253"/>
      <c r="AC21" s="253"/>
      <c r="AD21" s="253"/>
      <c r="AE21" s="253"/>
      <c r="AF21" s="253"/>
      <c r="AG21" s="253"/>
      <c r="AH21" s="253"/>
      <c r="AI21" s="253"/>
      <c r="AJ21" s="253"/>
      <c r="AK21" s="253"/>
      <c r="AL21" s="253"/>
      <c r="AM21" s="253"/>
      <c r="AN21" s="253"/>
      <c r="AO21" s="253"/>
      <c r="AP21" s="253"/>
      <c r="AQ21" s="253"/>
      <c r="AR21" s="253"/>
      <c r="AS21" s="253"/>
      <c r="AT21" s="253"/>
      <c r="AU21" s="253"/>
      <c r="AV21" s="253"/>
      <c r="AW21" s="253"/>
      <c r="AX21" s="253"/>
      <c r="AY21" s="253"/>
      <c r="AZ21" s="253"/>
      <c r="BA21" s="253"/>
      <c r="BB21" s="253"/>
      <c r="BC21" s="253"/>
      <c r="BD21" s="253"/>
      <c r="BE21" s="253"/>
      <c r="BF21" s="253"/>
      <c r="BG21" s="253"/>
      <c r="BH21" s="253"/>
      <c r="BI21" s="253"/>
      <c r="BJ21" s="263" t="str">
        <f>HYPERLINK("#일위대가목록!A3","_0001 →")</f>
        <v>_0001 →</v>
      </c>
    </row>
    <row r="22" spans="1:62" ht="24" customHeight="1">
      <c r="A22" s="256" t="s">
        <v>1130</v>
      </c>
      <c r="B22" s="256" t="s">
        <v>1131</v>
      </c>
      <c r="C22" s="264">
        <v>7.36</v>
      </c>
      <c r="D22" s="254" t="s">
        <v>1033</v>
      </c>
      <c r="E22" s="258">
        <f>일위목록!E4</f>
        <v>0</v>
      </c>
      <c r="F22" s="258">
        <f>TRUNC(E22*C22,0)</f>
        <v>0</v>
      </c>
      <c r="G22" s="258">
        <f>일위목록!F4</f>
        <v>0</v>
      </c>
      <c r="H22" s="258">
        <f>TRUNC(G22*C22,0)</f>
        <v>0</v>
      </c>
      <c r="I22" s="258">
        <f>일위목록!G4</f>
        <v>0</v>
      </c>
      <c r="J22" s="258">
        <f>TRUNC(I22*C22,0)</f>
        <v>0</v>
      </c>
      <c r="K22" s="258">
        <f>E22+G22+I22</f>
        <v>0</v>
      </c>
      <c r="L22" s="258">
        <f t="shared" si="2"/>
        <v>0</v>
      </c>
      <c r="M22" s="256"/>
      <c r="N22" s="253" t="s">
        <v>68</v>
      </c>
      <c r="O22" s="253"/>
      <c r="P22" s="253" t="s">
        <v>1098</v>
      </c>
      <c r="Q22" s="253" t="s">
        <v>68</v>
      </c>
      <c r="R22" s="253" t="s">
        <v>1132</v>
      </c>
      <c r="S22" s="253"/>
      <c r="T22" s="253" t="s">
        <v>1129</v>
      </c>
      <c r="U22" s="253"/>
      <c r="V22" s="253"/>
      <c r="W22" s="253"/>
      <c r="X22" s="253"/>
      <c r="Y22" s="253"/>
      <c r="Z22" s="253"/>
      <c r="AA22" s="253"/>
      <c r="AB22" s="253"/>
      <c r="AC22" s="253"/>
      <c r="AD22" s="253"/>
      <c r="AE22" s="253"/>
      <c r="AF22" s="253"/>
      <c r="AG22" s="253"/>
      <c r="AH22" s="253"/>
      <c r="AI22" s="253"/>
      <c r="AJ22" s="253"/>
      <c r="AK22" s="253"/>
      <c r="AL22" s="253"/>
      <c r="AM22" s="253"/>
      <c r="AN22" s="253"/>
      <c r="AO22" s="253"/>
      <c r="AP22" s="253"/>
      <c r="AQ22" s="253"/>
      <c r="AR22" s="253"/>
      <c r="AS22" s="253"/>
      <c r="AT22" s="253"/>
      <c r="AU22" s="253"/>
      <c r="AV22" s="253"/>
      <c r="AW22" s="253"/>
      <c r="AX22" s="253"/>
      <c r="AY22" s="253"/>
      <c r="AZ22" s="253"/>
      <c r="BA22" s="253"/>
      <c r="BB22" s="253"/>
      <c r="BC22" s="253"/>
      <c r="BD22" s="253"/>
      <c r="BE22" s="253"/>
      <c r="BF22" s="253"/>
      <c r="BG22" s="253"/>
      <c r="BH22" s="253"/>
      <c r="BI22" s="253"/>
      <c r="BJ22" s="263" t="str">
        <f>HYPERLINK("#일위대가목록!A4","_0002 →")</f>
        <v>_0002 →</v>
      </c>
    </row>
    <row r="23" spans="1:62" ht="24" customHeight="1">
      <c r="A23" s="256" t="s">
        <v>1126</v>
      </c>
      <c r="B23" s="256" t="s">
        <v>1133</v>
      </c>
      <c r="C23" s="264">
        <v>7.09</v>
      </c>
      <c r="D23" s="254" t="s">
        <v>1033</v>
      </c>
      <c r="E23" s="258">
        <f>일위목록!E5</f>
        <v>0</v>
      </c>
      <c r="F23" s="258">
        <f>TRUNC(E23*C23,0)</f>
        <v>0</v>
      </c>
      <c r="G23" s="258">
        <f>일위목록!F5</f>
        <v>0</v>
      </c>
      <c r="H23" s="258">
        <f>TRUNC(G23*C23,0)</f>
        <v>0</v>
      </c>
      <c r="I23" s="258">
        <f>일위목록!G5</f>
        <v>0</v>
      </c>
      <c r="J23" s="258">
        <f>TRUNC(I23*C23,0)</f>
        <v>0</v>
      </c>
      <c r="K23" s="258">
        <f>E23+G23+I23</f>
        <v>0</v>
      </c>
      <c r="L23" s="258">
        <f t="shared" si="2"/>
        <v>0</v>
      </c>
      <c r="M23" s="256"/>
      <c r="N23" s="253" t="s">
        <v>68</v>
      </c>
      <c r="O23" s="253"/>
      <c r="P23" s="253" t="s">
        <v>1101</v>
      </c>
      <c r="Q23" s="253" t="s">
        <v>68</v>
      </c>
      <c r="R23" s="253" t="s">
        <v>1134</v>
      </c>
      <c r="S23" s="253"/>
      <c r="T23" s="253" t="s">
        <v>1129</v>
      </c>
      <c r="U23" s="253"/>
      <c r="V23" s="253"/>
      <c r="W23" s="253"/>
      <c r="X23" s="253"/>
      <c r="Y23" s="253"/>
      <c r="Z23" s="253"/>
      <c r="AA23" s="253"/>
      <c r="AB23" s="253"/>
      <c r="AC23" s="253"/>
      <c r="AD23" s="253"/>
      <c r="AE23" s="253"/>
      <c r="AF23" s="253"/>
      <c r="AG23" s="253"/>
      <c r="AH23" s="253"/>
      <c r="AI23" s="253"/>
      <c r="AJ23" s="253"/>
      <c r="AK23" s="253"/>
      <c r="AL23" s="253"/>
      <c r="AM23" s="253"/>
      <c r="AN23" s="253"/>
      <c r="AO23" s="253"/>
      <c r="AP23" s="253"/>
      <c r="AQ23" s="253"/>
      <c r="AR23" s="253"/>
      <c r="AS23" s="253"/>
      <c r="AT23" s="253"/>
      <c r="AU23" s="253"/>
      <c r="AV23" s="253"/>
      <c r="AW23" s="253"/>
      <c r="AX23" s="253"/>
      <c r="AY23" s="253"/>
      <c r="AZ23" s="253"/>
      <c r="BA23" s="253"/>
      <c r="BB23" s="253"/>
      <c r="BC23" s="253"/>
      <c r="BD23" s="253"/>
      <c r="BE23" s="253"/>
      <c r="BF23" s="253"/>
      <c r="BG23" s="253"/>
      <c r="BH23" s="253"/>
      <c r="BI23" s="253"/>
      <c r="BJ23" s="263" t="str">
        <f>HYPERLINK("#일위대가목록!A5","_0003 →")</f>
        <v>_0003 →</v>
      </c>
    </row>
    <row r="24" spans="1:62" ht="24" customHeight="1">
      <c r="A24" s="256" t="s">
        <v>1126</v>
      </c>
      <c r="B24" s="256" t="s">
        <v>1135</v>
      </c>
      <c r="C24" s="264">
        <v>2.8</v>
      </c>
      <c r="D24" s="254" t="s">
        <v>1033</v>
      </c>
      <c r="E24" s="258">
        <f>일위목록!E6</f>
        <v>0</v>
      </c>
      <c r="F24" s="258">
        <f>TRUNC(E24*C24,0)</f>
        <v>0</v>
      </c>
      <c r="G24" s="258">
        <f>일위목록!F6</f>
        <v>0</v>
      </c>
      <c r="H24" s="258">
        <f>TRUNC(G24*C24,0)</f>
        <v>0</v>
      </c>
      <c r="I24" s="258">
        <f>일위목록!G6</f>
        <v>0</v>
      </c>
      <c r="J24" s="258">
        <f>TRUNC(I24*C24,0)</f>
        <v>0</v>
      </c>
      <c r="K24" s="258">
        <f>E24+G24+I24</f>
        <v>0</v>
      </c>
      <c r="L24" s="258">
        <f t="shared" si="2"/>
        <v>0</v>
      </c>
      <c r="M24" s="256"/>
      <c r="N24" s="253" t="s">
        <v>68</v>
      </c>
      <c r="O24" s="253"/>
      <c r="P24" s="253" t="s">
        <v>1104</v>
      </c>
      <c r="Q24" s="253" t="s">
        <v>68</v>
      </c>
      <c r="R24" s="253" t="s">
        <v>1136</v>
      </c>
      <c r="S24" s="253"/>
      <c r="T24" s="253" t="s">
        <v>1129</v>
      </c>
      <c r="U24" s="253"/>
      <c r="V24" s="253"/>
      <c r="W24" s="253"/>
      <c r="X24" s="253"/>
      <c r="Y24" s="253"/>
      <c r="Z24" s="253"/>
      <c r="AA24" s="253"/>
      <c r="AB24" s="253"/>
      <c r="AC24" s="253"/>
      <c r="AD24" s="253"/>
      <c r="AE24" s="253"/>
      <c r="AF24" s="253"/>
      <c r="AG24" s="253"/>
      <c r="AH24" s="253"/>
      <c r="AI24" s="253"/>
      <c r="AJ24" s="253"/>
      <c r="AK24" s="253"/>
      <c r="AL24" s="253"/>
      <c r="AM24" s="253"/>
      <c r="AN24" s="253"/>
      <c r="AO24" s="253"/>
      <c r="AP24" s="253"/>
      <c r="AQ24" s="253"/>
      <c r="AR24" s="253"/>
      <c r="AS24" s="253"/>
      <c r="AT24" s="253"/>
      <c r="AU24" s="253"/>
      <c r="AV24" s="253"/>
      <c r="AW24" s="253"/>
      <c r="AX24" s="253"/>
      <c r="AY24" s="253"/>
      <c r="AZ24" s="253"/>
      <c r="BA24" s="253"/>
      <c r="BB24" s="253"/>
      <c r="BC24" s="253"/>
      <c r="BD24" s="253"/>
      <c r="BE24" s="253"/>
      <c r="BF24" s="253"/>
      <c r="BG24" s="253"/>
      <c r="BH24" s="253"/>
      <c r="BI24" s="253"/>
      <c r="BJ24" s="263" t="str">
        <f>HYPERLINK("#일위대가목록!A6","_0004 →")</f>
        <v>_0004 →</v>
      </c>
    </row>
    <row r="25" spans="1:62" ht="24" customHeight="1">
      <c r="A25" s="256" t="s">
        <v>68</v>
      </c>
      <c r="B25" s="256" t="s">
        <v>68</v>
      </c>
      <c r="C25" s="264"/>
      <c r="D25" s="254" t="s">
        <v>68</v>
      </c>
      <c r="E25" s="254"/>
      <c r="F25" s="258">
        <v>0</v>
      </c>
      <c r="G25" s="254"/>
      <c r="H25" s="258">
        <v>0</v>
      </c>
      <c r="I25" s="254"/>
      <c r="J25" s="258">
        <v>0</v>
      </c>
      <c r="K25" s="258">
        <f>E25+G25+I25</f>
        <v>0</v>
      </c>
      <c r="L25" s="258">
        <f t="shared" si="2"/>
        <v>0</v>
      </c>
      <c r="M25" s="256"/>
      <c r="N25" s="253" t="s">
        <v>68</v>
      </c>
      <c r="O25" s="253"/>
      <c r="P25" s="253" t="s">
        <v>1107</v>
      </c>
      <c r="Q25" s="253" t="s">
        <v>68</v>
      </c>
      <c r="R25" s="253" t="s">
        <v>68</v>
      </c>
      <c r="S25" s="253"/>
      <c r="T25" s="253"/>
      <c r="U25" s="253"/>
      <c r="V25" s="253"/>
      <c r="W25" s="253"/>
      <c r="X25" s="253"/>
      <c r="Y25" s="253"/>
      <c r="Z25" s="253"/>
      <c r="AA25" s="253"/>
      <c r="AB25" s="253"/>
      <c r="AC25" s="253"/>
      <c r="AD25" s="253"/>
      <c r="AE25" s="253"/>
      <c r="AF25" s="253"/>
      <c r="AG25" s="253"/>
      <c r="AH25" s="253"/>
      <c r="AI25" s="253"/>
      <c r="AJ25" s="253"/>
      <c r="AK25" s="253"/>
      <c r="AL25" s="253"/>
      <c r="AM25" s="253"/>
      <c r="AN25" s="253"/>
      <c r="AO25" s="253"/>
      <c r="AP25" s="253"/>
      <c r="AQ25" s="253"/>
      <c r="AR25" s="253"/>
      <c r="AS25" s="253"/>
      <c r="AT25" s="253"/>
      <c r="AU25" s="253"/>
      <c r="AV25" s="253"/>
      <c r="AW25" s="253"/>
      <c r="AX25" s="253"/>
      <c r="AY25" s="253"/>
      <c r="AZ25" s="253"/>
      <c r="BA25" s="253"/>
      <c r="BB25" s="253"/>
      <c r="BC25" s="253"/>
      <c r="BD25" s="253"/>
      <c r="BE25" s="253"/>
      <c r="BF25" s="253"/>
      <c r="BG25" s="253"/>
      <c r="BH25" s="253"/>
      <c r="BI25" s="253"/>
      <c r="BJ25" s="253"/>
    </row>
    <row r="26" spans="1:62" ht="24" customHeight="1">
      <c r="A26" s="256"/>
      <c r="B26" s="256"/>
      <c r="C26" s="264"/>
      <c r="D26" s="254"/>
      <c r="E26" s="254"/>
      <c r="F26" s="258"/>
      <c r="G26" s="254"/>
      <c r="H26" s="258"/>
      <c r="I26" s="254"/>
      <c r="J26" s="258"/>
      <c r="K26" s="258"/>
      <c r="L26" s="258"/>
      <c r="M26" s="256"/>
      <c r="N26" s="253"/>
      <c r="O26" s="253"/>
      <c r="P26" s="253"/>
      <c r="Q26" s="253"/>
      <c r="R26" s="253"/>
      <c r="S26" s="253"/>
      <c r="T26" s="253"/>
      <c r="U26" s="253"/>
      <c r="V26" s="253"/>
      <c r="W26" s="253"/>
      <c r="X26" s="253"/>
      <c r="Y26" s="253"/>
      <c r="Z26" s="253"/>
      <c r="AA26" s="253"/>
      <c r="AB26" s="253"/>
      <c r="AC26" s="253"/>
      <c r="AD26" s="253"/>
      <c r="AE26" s="253"/>
      <c r="AF26" s="253"/>
      <c r="AG26" s="253"/>
      <c r="AH26" s="253"/>
      <c r="AI26" s="253"/>
      <c r="AJ26" s="253"/>
      <c r="AK26" s="253"/>
      <c r="AL26" s="253"/>
      <c r="AM26" s="253"/>
      <c r="AN26" s="253"/>
      <c r="AO26" s="253"/>
      <c r="AP26" s="253"/>
      <c r="AQ26" s="253"/>
      <c r="AR26" s="253"/>
      <c r="AS26" s="253"/>
      <c r="AT26" s="253"/>
      <c r="AU26" s="253"/>
      <c r="AV26" s="253"/>
      <c r="AW26" s="253"/>
      <c r="AX26" s="253"/>
      <c r="AY26" s="253"/>
      <c r="AZ26" s="253"/>
      <c r="BA26" s="253"/>
      <c r="BB26" s="253"/>
      <c r="BC26" s="253"/>
      <c r="BD26" s="253"/>
      <c r="BE26" s="253"/>
      <c r="BF26" s="253"/>
      <c r="BG26" s="253"/>
      <c r="BH26" s="253"/>
      <c r="BI26" s="253"/>
      <c r="BJ26" s="253"/>
    </row>
    <row r="27" spans="1:62" ht="24" customHeight="1">
      <c r="A27" s="256"/>
      <c r="B27" s="256"/>
      <c r="C27" s="264"/>
      <c r="D27" s="254"/>
      <c r="E27" s="254"/>
      <c r="F27" s="258"/>
      <c r="G27" s="254"/>
      <c r="H27" s="258"/>
      <c r="I27" s="254"/>
      <c r="J27" s="258"/>
      <c r="K27" s="258"/>
      <c r="L27" s="258"/>
      <c r="M27" s="256"/>
      <c r="N27" s="253"/>
      <c r="O27" s="253"/>
      <c r="P27" s="253"/>
      <c r="Q27" s="253"/>
      <c r="R27" s="253"/>
      <c r="S27" s="253"/>
      <c r="T27" s="253"/>
      <c r="U27" s="253"/>
      <c r="V27" s="253"/>
      <c r="W27" s="253"/>
      <c r="X27" s="253"/>
      <c r="Y27" s="253"/>
      <c r="Z27" s="253"/>
      <c r="AA27" s="253"/>
      <c r="AB27" s="253"/>
      <c r="AC27" s="253"/>
      <c r="AD27" s="253"/>
      <c r="AE27" s="253"/>
      <c r="AF27" s="253"/>
      <c r="AG27" s="253"/>
      <c r="AH27" s="253"/>
      <c r="AI27" s="253"/>
      <c r="AJ27" s="253"/>
      <c r="AK27" s="253"/>
      <c r="AL27" s="253"/>
      <c r="AM27" s="253"/>
      <c r="AN27" s="253"/>
      <c r="AO27" s="253"/>
      <c r="AP27" s="253"/>
      <c r="AQ27" s="253"/>
      <c r="AR27" s="253"/>
      <c r="AS27" s="253"/>
      <c r="AT27" s="253"/>
      <c r="AU27" s="253"/>
      <c r="AV27" s="253"/>
      <c r="AW27" s="253"/>
      <c r="AX27" s="253"/>
      <c r="AY27" s="253"/>
      <c r="AZ27" s="253"/>
      <c r="BA27" s="253"/>
      <c r="BB27" s="253"/>
      <c r="BC27" s="253"/>
      <c r="BD27" s="253"/>
      <c r="BE27" s="253"/>
      <c r="BF27" s="253"/>
      <c r="BG27" s="253"/>
      <c r="BH27" s="253"/>
      <c r="BI27" s="253"/>
      <c r="BJ27" s="253"/>
    </row>
    <row r="28" spans="1:62" ht="24" customHeight="1">
      <c r="A28" s="256"/>
      <c r="B28" s="256"/>
      <c r="C28" s="264"/>
      <c r="D28" s="254"/>
      <c r="E28" s="254"/>
      <c r="F28" s="258"/>
      <c r="G28" s="254"/>
      <c r="H28" s="258"/>
      <c r="I28" s="254"/>
      <c r="J28" s="258"/>
      <c r="K28" s="258"/>
      <c r="L28" s="258"/>
      <c r="M28" s="256"/>
      <c r="N28" s="253"/>
      <c r="O28" s="253"/>
      <c r="P28" s="253"/>
      <c r="Q28" s="253"/>
      <c r="R28" s="253"/>
      <c r="S28" s="253"/>
      <c r="T28" s="253"/>
      <c r="U28" s="253"/>
      <c r="V28" s="253"/>
      <c r="W28" s="253"/>
      <c r="X28" s="253"/>
      <c r="Y28" s="253"/>
      <c r="Z28" s="253"/>
      <c r="AA28" s="253"/>
      <c r="AB28" s="253"/>
      <c r="AC28" s="253"/>
      <c r="AD28" s="253"/>
      <c r="AE28" s="253"/>
      <c r="AF28" s="253"/>
      <c r="AG28" s="253"/>
      <c r="AH28" s="253"/>
      <c r="AI28" s="253"/>
      <c r="AJ28" s="253"/>
      <c r="AK28" s="253"/>
      <c r="AL28" s="253"/>
      <c r="AM28" s="253"/>
      <c r="AN28" s="253"/>
      <c r="AO28" s="253"/>
      <c r="AP28" s="253"/>
      <c r="AQ28" s="253"/>
      <c r="AR28" s="253"/>
      <c r="AS28" s="253"/>
      <c r="AT28" s="253"/>
      <c r="AU28" s="253"/>
      <c r="AV28" s="253"/>
      <c r="AW28" s="253"/>
      <c r="AX28" s="253"/>
      <c r="AY28" s="253"/>
      <c r="AZ28" s="253"/>
      <c r="BA28" s="253"/>
      <c r="BB28" s="253"/>
      <c r="BC28" s="253"/>
      <c r="BD28" s="253"/>
      <c r="BE28" s="253"/>
      <c r="BF28" s="253"/>
      <c r="BG28" s="253"/>
      <c r="BH28" s="253"/>
      <c r="BI28" s="253"/>
      <c r="BJ28" s="253"/>
    </row>
    <row r="29" spans="1:62" ht="24" customHeight="1">
      <c r="A29" s="256"/>
      <c r="B29" s="256"/>
      <c r="C29" s="264"/>
      <c r="D29" s="254"/>
      <c r="E29" s="254"/>
      <c r="F29" s="258"/>
      <c r="G29" s="254"/>
      <c r="H29" s="258"/>
      <c r="I29" s="254"/>
      <c r="J29" s="258"/>
      <c r="K29" s="258"/>
      <c r="L29" s="258"/>
      <c r="M29" s="256"/>
      <c r="N29" s="253"/>
      <c r="O29" s="253"/>
      <c r="P29" s="253"/>
      <c r="Q29" s="253"/>
      <c r="R29" s="253"/>
      <c r="S29" s="253"/>
      <c r="T29" s="253"/>
      <c r="U29" s="253"/>
      <c r="V29" s="253"/>
      <c r="W29" s="253"/>
      <c r="X29" s="253"/>
      <c r="Y29" s="253"/>
      <c r="Z29" s="253"/>
      <c r="AA29" s="253"/>
      <c r="AB29" s="253"/>
      <c r="AC29" s="253"/>
      <c r="AD29" s="253"/>
      <c r="AE29" s="253"/>
      <c r="AF29" s="253"/>
      <c r="AG29" s="253"/>
      <c r="AH29" s="253"/>
      <c r="AI29" s="253"/>
      <c r="AJ29" s="253"/>
      <c r="AK29" s="253"/>
      <c r="AL29" s="253"/>
      <c r="AM29" s="253"/>
      <c r="AN29" s="253"/>
      <c r="AO29" s="253"/>
      <c r="AP29" s="253"/>
      <c r="AQ29" s="253"/>
      <c r="AR29" s="253"/>
      <c r="AS29" s="253"/>
      <c r="AT29" s="253"/>
      <c r="AU29" s="253"/>
      <c r="AV29" s="253"/>
      <c r="AW29" s="253"/>
      <c r="AX29" s="253"/>
      <c r="AY29" s="253"/>
      <c r="AZ29" s="253"/>
      <c r="BA29" s="253"/>
      <c r="BB29" s="253"/>
      <c r="BC29" s="253"/>
      <c r="BD29" s="253"/>
      <c r="BE29" s="253"/>
      <c r="BF29" s="253"/>
      <c r="BG29" s="253"/>
      <c r="BH29" s="253"/>
      <c r="BI29" s="253"/>
      <c r="BJ29" s="253"/>
    </row>
    <row r="30" spans="1:62" ht="24" customHeight="1">
      <c r="A30" s="256"/>
      <c r="B30" s="256"/>
      <c r="C30" s="264"/>
      <c r="D30" s="254"/>
      <c r="E30" s="254"/>
      <c r="F30" s="258"/>
      <c r="G30" s="254"/>
      <c r="H30" s="258"/>
      <c r="I30" s="254"/>
      <c r="J30" s="258"/>
      <c r="K30" s="258"/>
      <c r="L30" s="258"/>
      <c r="M30" s="256"/>
      <c r="N30" s="253"/>
      <c r="O30" s="253"/>
      <c r="P30" s="253"/>
      <c r="Q30" s="253"/>
      <c r="R30" s="253"/>
      <c r="S30" s="253"/>
      <c r="T30" s="253"/>
      <c r="U30" s="253"/>
      <c r="V30" s="253"/>
      <c r="W30" s="253"/>
      <c r="X30" s="253"/>
      <c r="Y30" s="253"/>
      <c r="Z30" s="253"/>
      <c r="AA30" s="253"/>
      <c r="AB30" s="253"/>
      <c r="AC30" s="253"/>
      <c r="AD30" s="253"/>
      <c r="AE30" s="253"/>
      <c r="AF30" s="253"/>
      <c r="AG30" s="253"/>
      <c r="AH30" s="253"/>
      <c r="AI30" s="253"/>
      <c r="AJ30" s="253"/>
      <c r="AK30" s="253"/>
      <c r="AL30" s="253"/>
      <c r="AM30" s="253"/>
      <c r="AN30" s="253"/>
      <c r="AO30" s="253"/>
      <c r="AP30" s="253"/>
      <c r="AQ30" s="253"/>
      <c r="AR30" s="253"/>
      <c r="AS30" s="253"/>
      <c r="AT30" s="253"/>
      <c r="AU30" s="253"/>
      <c r="AV30" s="253"/>
      <c r="AW30" s="253"/>
      <c r="AX30" s="253"/>
      <c r="AY30" s="253"/>
      <c r="AZ30" s="253"/>
      <c r="BA30" s="253"/>
      <c r="BB30" s="253"/>
      <c r="BC30" s="253"/>
      <c r="BD30" s="253"/>
      <c r="BE30" s="253"/>
      <c r="BF30" s="253"/>
      <c r="BG30" s="253"/>
      <c r="BH30" s="253"/>
      <c r="BI30" s="253"/>
      <c r="BJ30" s="253"/>
    </row>
    <row r="31" spans="1:62" ht="24" customHeight="1">
      <c r="A31" s="256"/>
      <c r="B31" s="256"/>
      <c r="C31" s="264"/>
      <c r="D31" s="254"/>
      <c r="E31" s="254"/>
      <c r="F31" s="258"/>
      <c r="G31" s="254"/>
      <c r="H31" s="258"/>
      <c r="I31" s="254"/>
      <c r="J31" s="258"/>
      <c r="K31" s="258"/>
      <c r="L31" s="258"/>
      <c r="M31" s="256"/>
      <c r="N31" s="253"/>
      <c r="O31" s="253"/>
      <c r="P31" s="253"/>
      <c r="Q31" s="253"/>
      <c r="R31" s="253"/>
      <c r="S31" s="253"/>
      <c r="T31" s="253"/>
      <c r="U31" s="253"/>
      <c r="V31" s="253"/>
      <c r="W31" s="253"/>
      <c r="X31" s="253"/>
      <c r="Y31" s="253"/>
      <c r="Z31" s="253"/>
      <c r="AA31" s="253"/>
      <c r="AB31" s="253"/>
      <c r="AC31" s="253"/>
      <c r="AD31" s="253"/>
      <c r="AE31" s="253"/>
      <c r="AF31" s="253"/>
      <c r="AG31" s="253"/>
      <c r="AH31" s="253"/>
      <c r="AI31" s="253"/>
      <c r="AJ31" s="253"/>
      <c r="AK31" s="253"/>
      <c r="AL31" s="253"/>
      <c r="AM31" s="253"/>
      <c r="AN31" s="253"/>
      <c r="AO31" s="253"/>
      <c r="AP31" s="253"/>
      <c r="AQ31" s="253"/>
      <c r="AR31" s="253"/>
      <c r="AS31" s="253"/>
      <c r="AT31" s="253"/>
      <c r="AU31" s="253"/>
      <c r="AV31" s="253"/>
      <c r="AW31" s="253"/>
      <c r="AX31" s="253"/>
      <c r="AY31" s="253"/>
      <c r="AZ31" s="253"/>
      <c r="BA31" s="253"/>
      <c r="BB31" s="253"/>
      <c r="BC31" s="253"/>
      <c r="BD31" s="253"/>
      <c r="BE31" s="253"/>
      <c r="BF31" s="253"/>
      <c r="BG31" s="253"/>
      <c r="BH31" s="253"/>
      <c r="BI31" s="253"/>
      <c r="BJ31" s="253"/>
    </row>
    <row r="32" spans="1:62" ht="24" customHeight="1">
      <c r="A32" s="256"/>
      <c r="B32" s="256"/>
      <c r="C32" s="264"/>
      <c r="D32" s="254"/>
      <c r="E32" s="254"/>
      <c r="F32" s="258"/>
      <c r="G32" s="254"/>
      <c r="H32" s="258"/>
      <c r="I32" s="254"/>
      <c r="J32" s="258"/>
      <c r="K32" s="258"/>
      <c r="L32" s="258"/>
      <c r="M32" s="256"/>
      <c r="N32" s="253"/>
      <c r="O32" s="253"/>
      <c r="P32" s="253"/>
      <c r="Q32" s="253"/>
      <c r="R32" s="253"/>
      <c r="S32" s="253"/>
      <c r="T32" s="253"/>
      <c r="U32" s="253"/>
      <c r="V32" s="253"/>
      <c r="W32" s="253"/>
      <c r="X32" s="253"/>
      <c r="Y32" s="253"/>
      <c r="Z32" s="253"/>
      <c r="AA32" s="253"/>
      <c r="AB32" s="253"/>
      <c r="AC32" s="253"/>
      <c r="AD32" s="253"/>
      <c r="AE32" s="253"/>
      <c r="AF32" s="253"/>
      <c r="AG32" s="253"/>
      <c r="AH32" s="253"/>
      <c r="AI32" s="253"/>
      <c r="AJ32" s="253"/>
      <c r="AK32" s="253"/>
      <c r="AL32" s="253"/>
      <c r="AM32" s="253"/>
      <c r="AN32" s="253"/>
      <c r="AO32" s="253"/>
      <c r="AP32" s="253"/>
      <c r="AQ32" s="253"/>
      <c r="AR32" s="253"/>
      <c r="AS32" s="253"/>
      <c r="AT32" s="253"/>
      <c r="AU32" s="253"/>
      <c r="AV32" s="253"/>
      <c r="AW32" s="253"/>
      <c r="AX32" s="253"/>
      <c r="AY32" s="253"/>
      <c r="AZ32" s="253"/>
      <c r="BA32" s="253"/>
      <c r="BB32" s="253"/>
      <c r="BC32" s="253"/>
      <c r="BD32" s="253"/>
      <c r="BE32" s="253"/>
      <c r="BF32" s="253"/>
      <c r="BG32" s="253"/>
      <c r="BH32" s="253"/>
      <c r="BI32" s="253"/>
      <c r="BJ32" s="253"/>
    </row>
    <row r="33" spans="1:62" ht="24" customHeight="1">
      <c r="A33" s="256"/>
      <c r="B33" s="256"/>
      <c r="C33" s="264"/>
      <c r="D33" s="254"/>
      <c r="E33" s="254"/>
      <c r="F33" s="258"/>
      <c r="G33" s="254"/>
      <c r="H33" s="258"/>
      <c r="I33" s="254"/>
      <c r="J33" s="258"/>
      <c r="K33" s="258"/>
      <c r="L33" s="258"/>
      <c r="M33" s="256"/>
      <c r="N33" s="253"/>
      <c r="O33" s="253"/>
      <c r="P33" s="253"/>
      <c r="Q33" s="253"/>
      <c r="R33" s="253"/>
      <c r="S33" s="253"/>
      <c r="T33" s="253"/>
      <c r="U33" s="253"/>
      <c r="V33" s="253"/>
      <c r="W33" s="253"/>
      <c r="X33" s="253"/>
      <c r="Y33" s="253"/>
      <c r="Z33" s="253"/>
      <c r="AA33" s="253"/>
      <c r="AB33" s="253"/>
      <c r="AC33" s="253"/>
      <c r="AD33" s="253"/>
      <c r="AE33" s="253"/>
      <c r="AF33" s="253"/>
      <c r="AG33" s="253"/>
      <c r="AH33" s="253"/>
      <c r="AI33" s="253"/>
      <c r="AJ33" s="253"/>
      <c r="AK33" s="253"/>
      <c r="AL33" s="253"/>
      <c r="AM33" s="253"/>
      <c r="AN33" s="253"/>
      <c r="AO33" s="253"/>
      <c r="AP33" s="253"/>
      <c r="AQ33" s="253"/>
      <c r="AR33" s="253"/>
      <c r="AS33" s="253"/>
      <c r="AT33" s="253"/>
      <c r="AU33" s="253"/>
      <c r="AV33" s="253"/>
      <c r="AW33" s="253"/>
      <c r="AX33" s="253"/>
      <c r="AY33" s="253"/>
      <c r="AZ33" s="253"/>
      <c r="BA33" s="253"/>
      <c r="BB33" s="253"/>
      <c r="BC33" s="253"/>
      <c r="BD33" s="253"/>
      <c r="BE33" s="253"/>
      <c r="BF33" s="253"/>
      <c r="BG33" s="253"/>
      <c r="BH33" s="253"/>
      <c r="BI33" s="253"/>
      <c r="BJ33" s="253"/>
    </row>
    <row r="34" spans="1:62" ht="24" customHeight="1">
      <c r="A34" s="256"/>
      <c r="B34" s="256"/>
      <c r="C34" s="264"/>
      <c r="D34" s="254"/>
      <c r="E34" s="254"/>
      <c r="F34" s="258"/>
      <c r="G34" s="254"/>
      <c r="H34" s="258"/>
      <c r="I34" s="254"/>
      <c r="J34" s="258"/>
      <c r="K34" s="258"/>
      <c r="L34" s="258"/>
      <c r="M34" s="256"/>
      <c r="N34" s="253"/>
      <c r="O34" s="253"/>
      <c r="P34" s="253"/>
      <c r="Q34" s="253"/>
      <c r="R34" s="253"/>
      <c r="S34" s="253"/>
      <c r="T34" s="253"/>
      <c r="U34" s="253"/>
      <c r="V34" s="253"/>
      <c r="W34" s="253"/>
      <c r="X34" s="253"/>
      <c r="Y34" s="253"/>
      <c r="Z34" s="253"/>
      <c r="AA34" s="253"/>
      <c r="AB34" s="253"/>
      <c r="AC34" s="253"/>
      <c r="AD34" s="253"/>
      <c r="AE34" s="253"/>
      <c r="AF34" s="253"/>
      <c r="AG34" s="253"/>
      <c r="AH34" s="253"/>
      <c r="AI34" s="253"/>
      <c r="AJ34" s="253"/>
      <c r="AK34" s="253"/>
      <c r="AL34" s="253"/>
      <c r="AM34" s="253"/>
      <c r="AN34" s="253"/>
      <c r="AO34" s="253"/>
      <c r="AP34" s="253"/>
      <c r="AQ34" s="253"/>
      <c r="AR34" s="253"/>
      <c r="AS34" s="253"/>
      <c r="AT34" s="253"/>
      <c r="AU34" s="253"/>
      <c r="AV34" s="253"/>
      <c r="AW34" s="253"/>
      <c r="AX34" s="253"/>
      <c r="AY34" s="253"/>
      <c r="AZ34" s="253"/>
      <c r="BA34" s="253"/>
      <c r="BB34" s="253"/>
      <c r="BC34" s="253"/>
      <c r="BD34" s="253"/>
      <c r="BE34" s="253"/>
      <c r="BF34" s="253"/>
      <c r="BG34" s="253"/>
      <c r="BH34" s="253"/>
      <c r="BI34" s="253"/>
      <c r="BJ34" s="253"/>
    </row>
    <row r="35" spans="1:62" ht="24" customHeight="1">
      <c r="A35" s="256"/>
      <c r="B35" s="256"/>
      <c r="C35" s="264"/>
      <c r="D35" s="254"/>
      <c r="E35" s="254"/>
      <c r="F35" s="258"/>
      <c r="G35" s="254"/>
      <c r="H35" s="258"/>
      <c r="I35" s="254"/>
      <c r="J35" s="258"/>
      <c r="K35" s="258"/>
      <c r="L35" s="258"/>
      <c r="M35" s="256"/>
      <c r="N35" s="253"/>
      <c r="O35" s="253"/>
      <c r="P35" s="253"/>
      <c r="Q35" s="253"/>
      <c r="R35" s="253"/>
      <c r="S35" s="253"/>
      <c r="T35" s="253"/>
      <c r="U35" s="253"/>
      <c r="V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row>
    <row r="36" spans="1:62" ht="24" customHeight="1">
      <c r="A36" s="265" t="s">
        <v>1097</v>
      </c>
      <c r="B36" s="265" t="s">
        <v>68</v>
      </c>
      <c r="C36" s="266">
        <v>1</v>
      </c>
      <c r="D36" s="267" t="s">
        <v>1094</v>
      </c>
      <c r="E36" s="267"/>
      <c r="F36" s="268">
        <f>TRUNC(F37+F38+F39+F40,0)</f>
        <v>0</v>
      </c>
      <c r="G36" s="267"/>
      <c r="H36" s="268">
        <f>TRUNC(H37+H38+H39+H40,0)</f>
        <v>0</v>
      </c>
      <c r="I36" s="267"/>
      <c r="J36" s="268"/>
      <c r="K36" s="267"/>
      <c r="L36" s="268"/>
      <c r="M36" s="265"/>
      <c r="N36" s="253" t="s">
        <v>68</v>
      </c>
      <c r="O36" s="253" t="s">
        <v>1099</v>
      </c>
      <c r="P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row>
    <row r="37" spans="1:62" ht="24" customHeight="1">
      <c r="A37" s="269" t="s">
        <v>1137</v>
      </c>
      <c r="B37" s="269" t="s">
        <v>68</v>
      </c>
      <c r="C37" s="270">
        <v>1</v>
      </c>
      <c r="D37" s="271" t="s">
        <v>1094</v>
      </c>
      <c r="E37" s="272">
        <f>F52</f>
        <v>0</v>
      </c>
      <c r="F37" s="272">
        <f>TRUNC(E37*C37,0)</f>
        <v>0</v>
      </c>
      <c r="G37" s="272">
        <f>H52</f>
        <v>0</v>
      </c>
      <c r="H37" s="272">
        <f>TRUNC(G37*C37,0)</f>
        <v>0</v>
      </c>
      <c r="I37" s="272"/>
      <c r="J37" s="272"/>
      <c r="K37" s="272"/>
      <c r="L37" s="272"/>
      <c r="M37" s="269"/>
      <c r="N37" s="253" t="s">
        <v>68</v>
      </c>
      <c r="O37" s="253"/>
      <c r="P37" s="253" t="s">
        <v>1095</v>
      </c>
      <c r="Q37" s="253" t="s">
        <v>68</v>
      </c>
      <c r="R37" s="253" t="s">
        <v>1138</v>
      </c>
      <c r="S37" s="253"/>
      <c r="T37" s="253"/>
      <c r="U37" s="253"/>
      <c r="V37" s="253"/>
      <c r="W37" s="253"/>
      <c r="X37" s="253"/>
      <c r="Y37" s="253"/>
      <c r="Z37" s="253"/>
      <c r="AA37" s="253"/>
      <c r="AB37" s="253"/>
      <c r="AC37" s="253"/>
      <c r="AD37" s="253"/>
      <c r="AE37" s="253"/>
      <c r="AF37" s="253"/>
      <c r="AG37" s="253"/>
      <c r="AH37" s="253"/>
      <c r="AI37" s="253"/>
      <c r="AJ37" s="253"/>
      <c r="AK37" s="253"/>
      <c r="AL37" s="253"/>
      <c r="AM37" s="253"/>
      <c r="AN37" s="253"/>
      <c r="AO37" s="253"/>
      <c r="AP37" s="253"/>
      <c r="AQ37" s="253"/>
      <c r="AR37" s="253"/>
      <c r="AS37" s="253"/>
      <c r="AT37" s="253"/>
      <c r="AU37" s="253"/>
      <c r="AV37" s="253"/>
      <c r="AW37" s="253"/>
      <c r="AX37" s="253"/>
      <c r="AY37" s="253"/>
      <c r="AZ37" s="253"/>
      <c r="BA37" s="253"/>
      <c r="BB37" s="253"/>
      <c r="BC37" s="253"/>
      <c r="BD37" s="253"/>
      <c r="BE37" s="253"/>
      <c r="BF37" s="253"/>
      <c r="BG37" s="253"/>
      <c r="BH37" s="253"/>
      <c r="BI37" s="253"/>
      <c r="BJ37" s="263" t="str">
        <f>HYPERLINK("#내역서!A56","A02-01 →")</f>
        <v>A02-01 →</v>
      </c>
    </row>
    <row r="38" spans="1:62" ht="24" customHeight="1">
      <c r="A38" s="269" t="s">
        <v>1139</v>
      </c>
      <c r="B38" s="269" t="s">
        <v>68</v>
      </c>
      <c r="C38" s="270">
        <v>1</v>
      </c>
      <c r="D38" s="271" t="s">
        <v>1094</v>
      </c>
      <c r="E38" s="272">
        <f>F55</f>
        <v>0</v>
      </c>
      <c r="F38" s="272">
        <f>TRUNC(E38*C38,0)</f>
        <v>0</v>
      </c>
      <c r="G38" s="272">
        <f>H55</f>
        <v>0</v>
      </c>
      <c r="H38" s="272">
        <f>TRUNC(G38*C38,0)</f>
        <v>0</v>
      </c>
      <c r="I38" s="272"/>
      <c r="J38" s="272"/>
      <c r="K38" s="272"/>
      <c r="L38" s="272"/>
      <c r="M38" s="269"/>
      <c r="N38" s="253" t="s">
        <v>68</v>
      </c>
      <c r="O38" s="253"/>
      <c r="P38" s="253" t="s">
        <v>1098</v>
      </c>
      <c r="Q38" s="253" t="s">
        <v>68</v>
      </c>
      <c r="R38" s="253" t="s">
        <v>1140</v>
      </c>
      <c r="S38" s="253"/>
      <c r="T38" s="253"/>
      <c r="U38" s="253"/>
      <c r="V38" s="253"/>
      <c r="W38" s="253"/>
      <c r="X38" s="253"/>
      <c r="Y38" s="253"/>
      <c r="Z38" s="253"/>
      <c r="AA38" s="253"/>
      <c r="AB38" s="253"/>
      <c r="AC38" s="253"/>
      <c r="AD38" s="253"/>
      <c r="AE38" s="253"/>
      <c r="AF38" s="253"/>
      <c r="AG38" s="253"/>
      <c r="AH38" s="253"/>
      <c r="AI38" s="253"/>
      <c r="AJ38" s="253"/>
      <c r="AK38" s="253"/>
      <c r="AL38" s="253"/>
      <c r="AM38" s="253"/>
      <c r="AN38" s="253"/>
      <c r="AO38" s="253"/>
      <c r="AP38" s="253"/>
      <c r="AQ38" s="253"/>
      <c r="AR38" s="253"/>
      <c r="AS38" s="253"/>
      <c r="AT38" s="253"/>
      <c r="AU38" s="253"/>
      <c r="AV38" s="253"/>
      <c r="AW38" s="253"/>
      <c r="AX38" s="253"/>
      <c r="AY38" s="253"/>
      <c r="AZ38" s="253"/>
      <c r="BA38" s="253"/>
      <c r="BB38" s="253"/>
      <c r="BC38" s="253"/>
      <c r="BD38" s="253"/>
      <c r="BE38" s="253"/>
      <c r="BF38" s="253"/>
      <c r="BG38" s="253"/>
      <c r="BH38" s="253"/>
      <c r="BI38" s="253"/>
      <c r="BJ38" s="263" t="str">
        <f>HYPERLINK("#내역서!A59","A02-02 →")</f>
        <v>A02-02 →</v>
      </c>
    </row>
    <row r="39" spans="1:62" ht="24" customHeight="1">
      <c r="A39" s="269" t="s">
        <v>1141</v>
      </c>
      <c r="B39" s="269" t="s">
        <v>68</v>
      </c>
      <c r="C39" s="270">
        <v>1</v>
      </c>
      <c r="D39" s="271" t="s">
        <v>1094</v>
      </c>
      <c r="E39" s="272">
        <f>F73</f>
        <v>0</v>
      </c>
      <c r="F39" s="272">
        <f>TRUNC(E39*C39,0)</f>
        <v>0</v>
      </c>
      <c r="G39" s="272">
        <f>H73</f>
        <v>0</v>
      </c>
      <c r="H39" s="272">
        <f>TRUNC(G39*C39,0)</f>
        <v>0</v>
      </c>
      <c r="I39" s="272"/>
      <c r="J39" s="272"/>
      <c r="K39" s="272"/>
      <c r="L39" s="272"/>
      <c r="M39" s="269"/>
      <c r="N39" s="253" t="s">
        <v>68</v>
      </c>
      <c r="O39" s="253"/>
      <c r="P39" s="253" t="s">
        <v>1101</v>
      </c>
      <c r="Q39" s="253" t="s">
        <v>68</v>
      </c>
      <c r="R39" s="253" t="s">
        <v>1142</v>
      </c>
      <c r="S39" s="253"/>
      <c r="T39" s="253"/>
      <c r="U39" s="253"/>
      <c r="V39" s="253"/>
      <c r="W39" s="253"/>
      <c r="X39" s="253"/>
      <c r="Y39" s="253"/>
      <c r="Z39" s="253"/>
      <c r="AA39" s="253"/>
      <c r="AB39" s="253"/>
      <c r="AC39" s="253"/>
      <c r="AD39" s="253"/>
      <c r="AE39" s="253"/>
      <c r="AF39" s="253"/>
      <c r="AG39" s="253"/>
      <c r="AH39" s="253"/>
      <c r="AI39" s="253"/>
      <c r="AJ39" s="253"/>
      <c r="AK39" s="253"/>
      <c r="AL39" s="253"/>
      <c r="AM39" s="253"/>
      <c r="AN39" s="253"/>
      <c r="AO39" s="253"/>
      <c r="AP39" s="253"/>
      <c r="AQ39" s="253"/>
      <c r="AR39" s="253"/>
      <c r="AS39" s="253"/>
      <c r="AT39" s="253"/>
      <c r="AU39" s="253"/>
      <c r="AV39" s="253"/>
      <c r="AW39" s="253"/>
      <c r="AX39" s="253"/>
      <c r="AY39" s="253"/>
      <c r="AZ39" s="253"/>
      <c r="BA39" s="253"/>
      <c r="BB39" s="253"/>
      <c r="BC39" s="253"/>
      <c r="BD39" s="253"/>
      <c r="BE39" s="253"/>
      <c r="BF39" s="253"/>
      <c r="BG39" s="253"/>
      <c r="BH39" s="253"/>
      <c r="BI39" s="253"/>
      <c r="BJ39" s="263" t="str">
        <f>HYPERLINK("#내역서!A77","A02-03 →")</f>
        <v>A02-03 →</v>
      </c>
    </row>
    <row r="40" spans="1:62" ht="24" customHeight="1">
      <c r="A40" s="269" t="s">
        <v>1143</v>
      </c>
      <c r="B40" s="269" t="s">
        <v>68</v>
      </c>
      <c r="C40" s="270">
        <v>1</v>
      </c>
      <c r="D40" s="271" t="s">
        <v>1094</v>
      </c>
      <c r="E40" s="272">
        <f>F78</f>
        <v>0</v>
      </c>
      <c r="F40" s="272">
        <f>TRUNC(E40*C40,0)</f>
        <v>0</v>
      </c>
      <c r="G40" s="272">
        <f>H78</f>
        <v>0</v>
      </c>
      <c r="H40" s="272">
        <f>TRUNC(G40*C40,0)</f>
        <v>0</v>
      </c>
      <c r="I40" s="272"/>
      <c r="J40" s="272"/>
      <c r="K40" s="272"/>
      <c r="L40" s="272"/>
      <c r="M40" s="269"/>
      <c r="N40" s="253" t="s">
        <v>68</v>
      </c>
      <c r="O40" s="253"/>
      <c r="P40" s="253" t="s">
        <v>1104</v>
      </c>
      <c r="Q40" s="253" t="s">
        <v>68</v>
      </c>
      <c r="R40" s="253" t="s">
        <v>1144</v>
      </c>
      <c r="S40" s="253"/>
      <c r="T40" s="253"/>
      <c r="U40" s="253"/>
      <c r="V40" s="253"/>
      <c r="W40" s="253"/>
      <c r="X40" s="253"/>
      <c r="Y40" s="253"/>
      <c r="Z40" s="253"/>
      <c r="AA40" s="253"/>
      <c r="AB40" s="253"/>
      <c r="AC40" s="253"/>
      <c r="AD40" s="253"/>
      <c r="AE40" s="253"/>
      <c r="AF40" s="253"/>
      <c r="AG40" s="253"/>
      <c r="AH40" s="253"/>
      <c r="AI40" s="253"/>
      <c r="AJ40" s="253"/>
      <c r="AK40" s="253"/>
      <c r="AL40" s="253"/>
      <c r="AM40" s="253"/>
      <c r="AN40" s="253"/>
      <c r="AO40" s="253"/>
      <c r="AP40" s="253"/>
      <c r="AQ40" s="253"/>
      <c r="AR40" s="253"/>
      <c r="AS40" s="253"/>
      <c r="AT40" s="253"/>
      <c r="AU40" s="253"/>
      <c r="AV40" s="253"/>
      <c r="AW40" s="253"/>
      <c r="AX40" s="253"/>
      <c r="AY40" s="253"/>
      <c r="AZ40" s="253"/>
      <c r="BA40" s="253"/>
      <c r="BB40" s="253"/>
      <c r="BC40" s="253"/>
      <c r="BD40" s="253"/>
      <c r="BE40" s="253"/>
      <c r="BF40" s="253"/>
      <c r="BG40" s="253"/>
      <c r="BH40" s="253"/>
      <c r="BI40" s="253"/>
      <c r="BJ40" s="263" t="str">
        <f>HYPERLINK("#내역서!A82","A02-04 →")</f>
        <v>A02-04 →</v>
      </c>
    </row>
    <row r="41" spans="1:62" ht="24" customHeight="1">
      <c r="A41" s="269" t="s">
        <v>1145</v>
      </c>
      <c r="B41" s="269" t="s">
        <v>1146</v>
      </c>
      <c r="C41" s="270">
        <v>1</v>
      </c>
      <c r="D41" s="271" t="s">
        <v>1094</v>
      </c>
      <c r="E41" s="272">
        <f>F98</f>
        <v>0</v>
      </c>
      <c r="F41" s="272">
        <f>TRUNC(E41*C41,0)</f>
        <v>0</v>
      </c>
      <c r="G41" s="272">
        <f>H98</f>
        <v>0</v>
      </c>
      <c r="H41" s="272">
        <f>TRUNC(G41*C41,0)</f>
        <v>0</v>
      </c>
      <c r="I41" s="272"/>
      <c r="J41" s="272"/>
      <c r="K41" s="272"/>
      <c r="L41" s="272"/>
      <c r="M41" s="269"/>
      <c r="N41" s="253" t="s">
        <v>68</v>
      </c>
      <c r="O41" s="253"/>
      <c r="P41" s="253" t="s">
        <v>1107</v>
      </c>
      <c r="Q41" s="253" t="s">
        <v>1105</v>
      </c>
      <c r="R41" s="253" t="s">
        <v>1147</v>
      </c>
      <c r="S41" s="253"/>
      <c r="T41" s="253"/>
      <c r="U41" s="253"/>
      <c r="V41" s="253"/>
      <c r="W41" s="253"/>
      <c r="X41" s="253"/>
      <c r="Y41" s="253"/>
      <c r="Z41" s="253"/>
      <c r="AA41" s="253"/>
      <c r="AB41" s="253"/>
      <c r="AC41" s="253"/>
      <c r="AD41" s="253"/>
      <c r="AE41" s="253"/>
      <c r="AF41" s="253"/>
      <c r="AG41" s="253"/>
      <c r="AH41" s="253"/>
      <c r="AI41" s="253"/>
      <c r="AJ41" s="253"/>
      <c r="AK41" s="253"/>
      <c r="AL41" s="253"/>
      <c r="AM41" s="253"/>
      <c r="AN41" s="253"/>
      <c r="AO41" s="253"/>
      <c r="AP41" s="253"/>
      <c r="AQ41" s="253"/>
      <c r="AR41" s="253"/>
      <c r="AS41" s="253"/>
      <c r="AT41" s="253"/>
      <c r="AU41" s="253"/>
      <c r="AV41" s="253"/>
      <c r="AW41" s="253"/>
      <c r="AX41" s="253"/>
      <c r="AY41" s="253"/>
      <c r="AZ41" s="253"/>
      <c r="BA41" s="253"/>
      <c r="BB41" s="253"/>
      <c r="BC41" s="253"/>
      <c r="BD41" s="253"/>
      <c r="BE41" s="253"/>
      <c r="BF41" s="253"/>
      <c r="BG41" s="253"/>
      <c r="BH41" s="253"/>
      <c r="BI41" s="253"/>
      <c r="BJ41" s="263" t="str">
        <f>HYPERLINK("#내역서!A102","A02-05 →")</f>
        <v>A02-05 →</v>
      </c>
    </row>
    <row r="42" spans="1:62" ht="24" customHeight="1">
      <c r="A42" s="256" t="s">
        <v>68</v>
      </c>
      <c r="B42" s="256" t="s">
        <v>68</v>
      </c>
      <c r="C42" s="264"/>
      <c r="D42" s="254" t="s">
        <v>68</v>
      </c>
      <c r="E42" s="254"/>
      <c r="F42" s="258">
        <v>0</v>
      </c>
      <c r="G42" s="254"/>
      <c r="H42" s="258">
        <v>0</v>
      </c>
      <c r="I42" s="254"/>
      <c r="J42" s="258"/>
      <c r="K42" s="258"/>
      <c r="L42" s="258"/>
      <c r="M42" s="256"/>
      <c r="N42" s="253" t="s">
        <v>68</v>
      </c>
      <c r="O42" s="253"/>
      <c r="P42" s="253" t="s">
        <v>1108</v>
      </c>
      <c r="Q42" s="253" t="s">
        <v>68</v>
      </c>
      <c r="R42" s="253" t="s">
        <v>68</v>
      </c>
      <c r="S42" s="253"/>
      <c r="T42" s="253"/>
      <c r="U42" s="253"/>
      <c r="V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row>
    <row r="43" spans="1:62" ht="24" customHeight="1">
      <c r="A43" s="256"/>
      <c r="B43" s="256"/>
      <c r="C43" s="264"/>
      <c r="D43" s="254"/>
      <c r="E43" s="254"/>
      <c r="F43" s="258"/>
      <c r="G43" s="254"/>
      <c r="H43" s="258"/>
      <c r="I43" s="254"/>
      <c r="J43" s="258"/>
      <c r="K43" s="258"/>
      <c r="L43" s="258"/>
      <c r="M43" s="256"/>
      <c r="N43" s="253"/>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row>
    <row r="44" spans="1:62" ht="24" customHeight="1">
      <c r="A44" s="256"/>
      <c r="B44" s="256"/>
      <c r="C44" s="264"/>
      <c r="D44" s="254"/>
      <c r="E44" s="254"/>
      <c r="F44" s="258"/>
      <c r="G44" s="254"/>
      <c r="H44" s="258"/>
      <c r="I44" s="254"/>
      <c r="J44" s="258"/>
      <c r="K44" s="258"/>
      <c r="L44" s="258"/>
      <c r="M44" s="256"/>
      <c r="N44" s="253"/>
      <c r="O44" s="253"/>
      <c r="P44" s="253"/>
      <c r="Q44" s="253"/>
      <c r="R44" s="253"/>
      <c r="S44" s="253"/>
      <c r="T44" s="253"/>
      <c r="U44" s="253"/>
      <c r="V44" s="253"/>
      <c r="W44" s="253"/>
      <c r="X44" s="253"/>
      <c r="Y44" s="253"/>
      <c r="Z44" s="253"/>
      <c r="AA44" s="253"/>
      <c r="AB44" s="253"/>
      <c r="AC44" s="253"/>
      <c r="AD44" s="253"/>
      <c r="AE44" s="253"/>
      <c r="AF44" s="253"/>
      <c r="AG44" s="253"/>
      <c r="AH44" s="253"/>
      <c r="AI44" s="253"/>
      <c r="AJ44" s="253"/>
      <c r="AK44" s="253"/>
      <c r="AL44" s="253"/>
      <c r="AM44" s="253"/>
      <c r="AN44" s="253"/>
      <c r="AO44" s="253"/>
      <c r="AP44" s="253"/>
      <c r="AQ44" s="253"/>
      <c r="AR44" s="253"/>
      <c r="AS44" s="253"/>
      <c r="AT44" s="253"/>
      <c r="AU44" s="253"/>
      <c r="AV44" s="253"/>
      <c r="AW44" s="253"/>
      <c r="AX44" s="253"/>
      <c r="AY44" s="253"/>
      <c r="AZ44" s="253"/>
      <c r="BA44" s="253"/>
      <c r="BB44" s="253"/>
      <c r="BC44" s="253"/>
      <c r="BD44" s="253"/>
      <c r="BE44" s="253"/>
      <c r="BF44" s="253"/>
      <c r="BG44" s="253"/>
      <c r="BH44" s="253"/>
      <c r="BI44" s="253"/>
      <c r="BJ44" s="253"/>
    </row>
    <row r="45" spans="1:62" ht="24" customHeight="1">
      <c r="A45" s="256"/>
      <c r="B45" s="256"/>
      <c r="C45" s="264"/>
      <c r="D45" s="254"/>
      <c r="E45" s="254"/>
      <c r="F45" s="258"/>
      <c r="G45" s="254"/>
      <c r="H45" s="258"/>
      <c r="I45" s="254"/>
      <c r="J45" s="258"/>
      <c r="K45" s="258"/>
      <c r="L45" s="258"/>
      <c r="M45" s="256"/>
      <c r="N45" s="253"/>
      <c r="O45" s="253"/>
      <c r="P45" s="253"/>
      <c r="Q45" s="253"/>
      <c r="R45" s="253"/>
      <c r="S45" s="253"/>
      <c r="T45" s="253"/>
      <c r="U45" s="253"/>
      <c r="V45" s="253"/>
      <c r="W45" s="253"/>
      <c r="X45" s="253"/>
      <c r="Y45" s="253"/>
      <c r="Z45" s="253"/>
      <c r="AA45" s="253"/>
      <c r="AB45" s="253"/>
      <c r="AC45" s="253"/>
      <c r="AD45" s="253"/>
      <c r="AE45" s="253"/>
      <c r="AF45" s="253"/>
      <c r="AG45" s="253"/>
      <c r="AH45" s="253"/>
      <c r="AI45" s="253"/>
      <c r="AJ45" s="253"/>
      <c r="AK45" s="253"/>
      <c r="AL45" s="253"/>
      <c r="AM45" s="253"/>
      <c r="AN45" s="253"/>
      <c r="AO45" s="253"/>
      <c r="AP45" s="253"/>
      <c r="AQ45" s="253"/>
      <c r="AR45" s="253"/>
      <c r="AS45" s="253"/>
      <c r="AT45" s="253"/>
      <c r="AU45" s="253"/>
      <c r="AV45" s="253"/>
      <c r="AW45" s="253"/>
      <c r="AX45" s="253"/>
      <c r="AY45" s="253"/>
      <c r="AZ45" s="253"/>
      <c r="BA45" s="253"/>
      <c r="BB45" s="253"/>
      <c r="BC45" s="253"/>
      <c r="BD45" s="253"/>
      <c r="BE45" s="253"/>
      <c r="BF45" s="253"/>
      <c r="BG45" s="253"/>
      <c r="BH45" s="253"/>
      <c r="BI45" s="253"/>
      <c r="BJ45" s="253"/>
    </row>
    <row r="46" spans="1:62" ht="24" customHeight="1">
      <c r="A46" s="256"/>
      <c r="B46" s="256"/>
      <c r="C46" s="264"/>
      <c r="D46" s="254"/>
      <c r="E46" s="254"/>
      <c r="F46" s="258"/>
      <c r="G46" s="254"/>
      <c r="H46" s="258"/>
      <c r="I46" s="254"/>
      <c r="J46" s="258"/>
      <c r="K46" s="258"/>
      <c r="L46" s="258"/>
      <c r="M46" s="256"/>
      <c r="N46" s="253"/>
      <c r="O46" s="253"/>
      <c r="P46" s="253"/>
      <c r="Q46" s="253"/>
      <c r="R46" s="253"/>
      <c r="S46" s="253"/>
      <c r="T46" s="253"/>
      <c r="U46" s="253"/>
      <c r="V46" s="253"/>
      <c r="W46" s="253"/>
      <c r="X46" s="253"/>
      <c r="Y46" s="253"/>
      <c r="Z46" s="253"/>
      <c r="AA46" s="253"/>
      <c r="AB46" s="253"/>
      <c r="AC46" s="253"/>
      <c r="AD46" s="253"/>
      <c r="AE46" s="253"/>
      <c r="AF46" s="253"/>
      <c r="AG46" s="253"/>
      <c r="AH46" s="253"/>
      <c r="AI46" s="253"/>
      <c r="AJ46" s="253"/>
      <c r="AK46" s="253"/>
      <c r="AL46" s="253"/>
      <c r="AM46" s="253"/>
      <c r="AN46" s="253"/>
      <c r="AO46" s="253"/>
      <c r="AP46" s="253"/>
      <c r="AQ46" s="253"/>
      <c r="AR46" s="253"/>
      <c r="AS46" s="253"/>
      <c r="AT46" s="253"/>
      <c r="AU46" s="253"/>
      <c r="AV46" s="253"/>
      <c r="AW46" s="253"/>
      <c r="AX46" s="253"/>
      <c r="AY46" s="253"/>
      <c r="AZ46" s="253"/>
      <c r="BA46" s="253"/>
      <c r="BB46" s="253"/>
      <c r="BC46" s="253"/>
      <c r="BD46" s="253"/>
      <c r="BE46" s="253"/>
      <c r="BF46" s="253"/>
      <c r="BG46" s="253"/>
      <c r="BH46" s="253"/>
      <c r="BI46" s="253"/>
      <c r="BJ46" s="253"/>
    </row>
    <row r="47" spans="1:62" ht="24" customHeight="1">
      <c r="A47" s="256"/>
      <c r="B47" s="256"/>
      <c r="C47" s="264"/>
      <c r="D47" s="254"/>
      <c r="E47" s="254"/>
      <c r="F47" s="258"/>
      <c r="G47" s="254"/>
      <c r="H47" s="258"/>
      <c r="I47" s="254"/>
      <c r="J47" s="258"/>
      <c r="K47" s="258"/>
      <c r="L47" s="258"/>
      <c r="M47" s="256"/>
      <c r="N47" s="253"/>
      <c r="O47" s="253"/>
      <c r="P47" s="253"/>
      <c r="Q47" s="253"/>
      <c r="R47" s="253"/>
      <c r="S47" s="253"/>
      <c r="T47" s="253"/>
      <c r="U47" s="253"/>
      <c r="V47" s="253"/>
      <c r="W47" s="253"/>
      <c r="X47" s="253"/>
      <c r="Y47" s="253"/>
      <c r="Z47" s="253"/>
      <c r="AA47" s="253"/>
      <c r="AB47" s="253"/>
      <c r="AC47" s="253"/>
      <c r="AD47" s="253"/>
      <c r="AE47" s="253"/>
      <c r="AF47" s="253"/>
      <c r="AG47" s="253"/>
      <c r="AH47" s="253"/>
      <c r="AI47" s="253"/>
      <c r="AJ47" s="253"/>
      <c r="AK47" s="253"/>
      <c r="AL47" s="253"/>
      <c r="AM47" s="253"/>
      <c r="AN47" s="253"/>
      <c r="AO47" s="253"/>
      <c r="AP47" s="253"/>
      <c r="AQ47" s="253"/>
      <c r="AR47" s="253"/>
      <c r="AS47" s="253"/>
      <c r="AT47" s="253"/>
      <c r="AU47" s="253"/>
      <c r="AV47" s="253"/>
      <c r="AW47" s="253"/>
      <c r="AX47" s="253"/>
      <c r="AY47" s="253"/>
      <c r="AZ47" s="253"/>
      <c r="BA47" s="253"/>
      <c r="BB47" s="253"/>
      <c r="BC47" s="253"/>
      <c r="BD47" s="253"/>
      <c r="BE47" s="253"/>
      <c r="BF47" s="253"/>
      <c r="BG47" s="253"/>
      <c r="BH47" s="253"/>
      <c r="BI47" s="253"/>
      <c r="BJ47" s="253"/>
    </row>
    <row r="48" spans="1:62" ht="24" customHeight="1">
      <c r="A48" s="256"/>
      <c r="B48" s="256"/>
      <c r="C48" s="264"/>
      <c r="D48" s="254"/>
      <c r="E48" s="254"/>
      <c r="F48" s="258"/>
      <c r="G48" s="254"/>
      <c r="H48" s="258"/>
      <c r="I48" s="254"/>
      <c r="J48" s="258"/>
      <c r="K48" s="258"/>
      <c r="L48" s="258"/>
      <c r="M48" s="256"/>
      <c r="N48" s="253"/>
      <c r="O48" s="253"/>
      <c r="P48" s="253"/>
      <c r="Q48" s="253"/>
      <c r="R48" s="253"/>
      <c r="S48" s="253"/>
      <c r="T48" s="253"/>
      <c r="U48" s="253"/>
      <c r="V48" s="253"/>
      <c r="W48" s="253"/>
      <c r="X48" s="253"/>
      <c r="Y48" s="253"/>
      <c r="Z48" s="253"/>
      <c r="AA48" s="253"/>
      <c r="AB48" s="253"/>
      <c r="AC48" s="253"/>
      <c r="AD48" s="253"/>
      <c r="AE48" s="253"/>
      <c r="AF48" s="253"/>
      <c r="AG48" s="253"/>
      <c r="AH48" s="253"/>
      <c r="AI48" s="253"/>
      <c r="AJ48" s="253"/>
      <c r="AK48" s="253"/>
      <c r="AL48" s="253"/>
      <c r="AM48" s="253"/>
      <c r="AN48" s="253"/>
      <c r="AO48" s="253"/>
      <c r="AP48" s="253"/>
      <c r="AQ48" s="253"/>
      <c r="AR48" s="253"/>
      <c r="AS48" s="253"/>
      <c r="AT48" s="253"/>
      <c r="AU48" s="253"/>
      <c r="AV48" s="253"/>
      <c r="AW48" s="253"/>
      <c r="AX48" s="253"/>
      <c r="AY48" s="253"/>
      <c r="AZ48" s="253"/>
      <c r="BA48" s="253"/>
      <c r="BB48" s="253"/>
      <c r="BC48" s="253"/>
      <c r="BD48" s="253"/>
      <c r="BE48" s="253"/>
      <c r="BF48" s="253"/>
      <c r="BG48" s="253"/>
      <c r="BH48" s="253"/>
      <c r="BI48" s="253"/>
      <c r="BJ48" s="253"/>
    </row>
    <row r="49" spans="1:62" ht="24" customHeight="1">
      <c r="A49" s="256"/>
      <c r="B49" s="256"/>
      <c r="C49" s="264"/>
      <c r="D49" s="254"/>
      <c r="E49" s="254"/>
      <c r="F49" s="258"/>
      <c r="G49" s="254"/>
      <c r="H49" s="258"/>
      <c r="I49" s="254"/>
      <c r="J49" s="258"/>
      <c r="K49" s="258"/>
      <c r="L49" s="258"/>
      <c r="M49" s="256"/>
      <c r="N49" s="253"/>
      <c r="O49" s="253"/>
      <c r="P49" s="253"/>
      <c r="Q49" s="253"/>
      <c r="R49" s="253"/>
      <c r="S49" s="253"/>
      <c r="T49" s="253"/>
      <c r="U49" s="253"/>
      <c r="V49" s="253"/>
      <c r="W49" s="253"/>
      <c r="X49" s="253"/>
      <c r="Y49" s="253"/>
      <c r="Z49" s="253"/>
      <c r="AA49" s="253"/>
      <c r="AB49" s="253"/>
      <c r="AC49" s="253"/>
      <c r="AD49" s="253"/>
      <c r="AE49" s="253"/>
      <c r="AF49" s="253"/>
      <c r="AG49" s="253"/>
      <c r="AH49" s="253"/>
      <c r="AI49" s="253"/>
      <c r="AJ49" s="253"/>
      <c r="AK49" s="253"/>
      <c r="AL49" s="253"/>
      <c r="AM49" s="253"/>
      <c r="AN49" s="253"/>
      <c r="AO49" s="253"/>
      <c r="AP49" s="253"/>
      <c r="AQ49" s="253"/>
      <c r="AR49" s="253"/>
      <c r="AS49" s="253"/>
      <c r="AT49" s="253"/>
      <c r="AU49" s="253"/>
      <c r="AV49" s="253"/>
      <c r="AW49" s="253"/>
      <c r="AX49" s="253"/>
      <c r="AY49" s="253"/>
      <c r="AZ49" s="253"/>
      <c r="BA49" s="253"/>
      <c r="BB49" s="253"/>
      <c r="BC49" s="253"/>
      <c r="BD49" s="253"/>
      <c r="BE49" s="253"/>
      <c r="BF49" s="253"/>
      <c r="BG49" s="253"/>
      <c r="BH49" s="253"/>
      <c r="BI49" s="253"/>
      <c r="BJ49" s="253"/>
    </row>
    <row r="50" spans="1:62" ht="24" customHeight="1">
      <c r="A50" s="256"/>
      <c r="B50" s="256"/>
      <c r="C50" s="264"/>
      <c r="D50" s="254"/>
      <c r="E50" s="254"/>
      <c r="F50" s="258"/>
      <c r="G50" s="254"/>
      <c r="H50" s="258"/>
      <c r="I50" s="254"/>
      <c r="J50" s="258"/>
      <c r="K50" s="258"/>
      <c r="L50" s="258"/>
      <c r="M50" s="256"/>
      <c r="N50" s="253"/>
      <c r="O50" s="253"/>
      <c r="P50" s="253"/>
      <c r="Q50" s="253"/>
      <c r="R50" s="253"/>
      <c r="S50" s="253"/>
      <c r="T50" s="253"/>
      <c r="U50" s="253"/>
      <c r="V50" s="253"/>
      <c r="W50" s="253"/>
      <c r="X50" s="253"/>
      <c r="Y50" s="253"/>
      <c r="Z50" s="253"/>
      <c r="AA50" s="253"/>
      <c r="AB50" s="253"/>
      <c r="AC50" s="253"/>
      <c r="AD50" s="253"/>
      <c r="AE50" s="253"/>
      <c r="AF50" s="253"/>
      <c r="AG50" s="253"/>
      <c r="AH50" s="253"/>
      <c r="AI50" s="253"/>
      <c r="AJ50" s="253"/>
      <c r="AK50" s="253"/>
      <c r="AL50" s="253"/>
      <c r="AM50" s="253"/>
      <c r="AN50" s="253"/>
      <c r="AO50" s="253"/>
      <c r="AP50" s="253"/>
      <c r="AQ50" s="253"/>
      <c r="AR50" s="253"/>
      <c r="AS50" s="253"/>
      <c r="AT50" s="253"/>
      <c r="AU50" s="253"/>
      <c r="AV50" s="253"/>
      <c r="AW50" s="253"/>
      <c r="AX50" s="253"/>
      <c r="AY50" s="253"/>
      <c r="AZ50" s="253"/>
      <c r="BA50" s="253"/>
      <c r="BB50" s="253"/>
      <c r="BC50" s="253"/>
      <c r="BD50" s="253"/>
      <c r="BE50" s="253"/>
      <c r="BF50" s="253"/>
      <c r="BG50" s="253"/>
      <c r="BH50" s="253"/>
      <c r="BI50" s="253"/>
      <c r="BJ50" s="253"/>
    </row>
    <row r="51" spans="1:62" ht="24" customHeight="1">
      <c r="A51" s="256"/>
      <c r="B51" s="256"/>
      <c r="C51" s="264"/>
      <c r="D51" s="254"/>
      <c r="E51" s="254"/>
      <c r="F51" s="258"/>
      <c r="G51" s="254"/>
      <c r="H51" s="258"/>
      <c r="I51" s="254"/>
      <c r="J51" s="258"/>
      <c r="K51" s="258"/>
      <c r="L51" s="258"/>
      <c r="M51" s="256"/>
      <c r="N51" s="253"/>
      <c r="O51" s="253"/>
      <c r="P51" s="253"/>
      <c r="Q51" s="253"/>
      <c r="R51" s="253"/>
      <c r="S51" s="253"/>
      <c r="T51" s="253"/>
      <c r="U51" s="253"/>
      <c r="V51" s="253"/>
      <c r="W51" s="253"/>
      <c r="X51" s="253"/>
      <c r="Y51" s="253"/>
      <c r="Z51" s="253"/>
      <c r="AA51" s="253"/>
      <c r="AB51" s="253"/>
      <c r="AC51" s="253"/>
      <c r="AD51" s="253"/>
      <c r="AE51" s="253"/>
      <c r="AF51" s="253"/>
      <c r="AG51" s="253"/>
      <c r="AH51" s="253"/>
      <c r="AI51" s="253"/>
      <c r="AJ51" s="253"/>
      <c r="AK51" s="253"/>
      <c r="AL51" s="253"/>
      <c r="AM51" s="253"/>
      <c r="AN51" s="253"/>
      <c r="AO51" s="253"/>
      <c r="AP51" s="253"/>
      <c r="AQ51" s="253"/>
      <c r="AR51" s="253"/>
      <c r="AS51" s="253"/>
      <c r="AT51" s="253"/>
      <c r="AU51" s="253"/>
      <c r="AV51" s="253"/>
      <c r="AW51" s="253"/>
      <c r="AX51" s="253"/>
      <c r="AY51" s="253"/>
      <c r="AZ51" s="253"/>
      <c r="BA51" s="253"/>
      <c r="BB51" s="253"/>
      <c r="BC51" s="253"/>
      <c r="BD51" s="253"/>
      <c r="BE51" s="253"/>
      <c r="BF51" s="253"/>
      <c r="BG51" s="253"/>
      <c r="BH51" s="253"/>
      <c r="BI51" s="253"/>
      <c r="BJ51" s="253"/>
    </row>
    <row r="52" spans="1:62" ht="24" customHeight="1">
      <c r="A52" s="269" t="s">
        <v>1137</v>
      </c>
      <c r="B52" s="269" t="s">
        <v>68</v>
      </c>
      <c r="C52" s="270">
        <v>1</v>
      </c>
      <c r="D52" s="271" t="s">
        <v>1094</v>
      </c>
      <c r="E52" s="271"/>
      <c r="F52" s="272">
        <f>TRUNC(F53,0)</f>
        <v>0</v>
      </c>
      <c r="G52" s="271"/>
      <c r="H52" s="272">
        <f>TRUNC(H53,0)</f>
        <v>0</v>
      </c>
      <c r="I52" s="271"/>
      <c r="J52" s="272">
        <f>TRUNC(J53,0)</f>
        <v>0</v>
      </c>
      <c r="K52" s="271"/>
      <c r="L52" s="272">
        <f t="shared" si="2"/>
        <v>0</v>
      </c>
      <c r="M52" s="269"/>
      <c r="N52" s="253" t="s">
        <v>68</v>
      </c>
      <c r="O52" s="253" t="s">
        <v>1138</v>
      </c>
      <c r="P52" s="253"/>
      <c r="Q52" s="253"/>
      <c r="R52" s="253"/>
      <c r="S52" s="253"/>
      <c r="T52" s="253"/>
      <c r="U52" s="253"/>
      <c r="V52" s="253"/>
      <c r="W52" s="253"/>
      <c r="X52" s="253"/>
      <c r="Y52" s="253"/>
      <c r="Z52" s="253"/>
      <c r="AA52" s="253"/>
      <c r="AB52" s="253"/>
      <c r="AC52" s="253"/>
      <c r="AD52" s="253"/>
      <c r="AE52" s="253"/>
      <c r="AF52" s="253"/>
      <c r="AG52" s="253"/>
      <c r="AH52" s="253"/>
      <c r="AI52" s="253"/>
      <c r="AJ52" s="253"/>
      <c r="AK52" s="253"/>
      <c r="AL52" s="253"/>
      <c r="AM52" s="253"/>
      <c r="AN52" s="253"/>
      <c r="AO52" s="253"/>
      <c r="AP52" s="253"/>
      <c r="AQ52" s="253"/>
      <c r="AR52" s="253"/>
      <c r="AS52" s="253"/>
      <c r="AT52" s="253"/>
      <c r="AU52" s="253"/>
      <c r="AV52" s="253"/>
      <c r="AW52" s="253"/>
      <c r="AX52" s="253"/>
      <c r="AY52" s="253"/>
      <c r="AZ52" s="253"/>
      <c r="BA52" s="253"/>
      <c r="BB52" s="253"/>
      <c r="BC52" s="253"/>
      <c r="BD52" s="253"/>
      <c r="BE52" s="253"/>
      <c r="BF52" s="253"/>
      <c r="BG52" s="253"/>
      <c r="BH52" s="253"/>
      <c r="BI52" s="253"/>
      <c r="BJ52" s="253"/>
    </row>
    <row r="53" spans="1:62" ht="24" customHeight="1">
      <c r="A53" s="256" t="s">
        <v>1148</v>
      </c>
      <c r="B53" s="256" t="s">
        <v>1149</v>
      </c>
      <c r="C53" s="257">
        <v>1</v>
      </c>
      <c r="D53" s="254" t="s">
        <v>1094</v>
      </c>
      <c r="E53" s="258">
        <f>일위목록!E13</f>
        <v>0</v>
      </c>
      <c r="F53" s="258">
        <f>TRUNC(E53*C53,0)</f>
        <v>0</v>
      </c>
      <c r="G53" s="258">
        <f>일위목록!F13</f>
        <v>0</v>
      </c>
      <c r="H53" s="258">
        <f>TRUNC(G53*C53,0)</f>
        <v>0</v>
      </c>
      <c r="I53" s="258">
        <f>일위목록!G13</f>
        <v>0</v>
      </c>
      <c r="J53" s="258">
        <f>TRUNC(I53*C53,0)</f>
        <v>0</v>
      </c>
      <c r="K53" s="258">
        <f>E53+G53+I53</f>
        <v>0</v>
      </c>
      <c r="L53" s="258">
        <f t="shared" si="2"/>
        <v>0</v>
      </c>
      <c r="M53" s="256"/>
      <c r="N53" s="253" t="s">
        <v>68</v>
      </c>
      <c r="O53" s="253"/>
      <c r="P53" s="253" t="s">
        <v>1095</v>
      </c>
      <c r="Q53" s="253" t="s">
        <v>68</v>
      </c>
      <c r="R53" s="253" t="s">
        <v>1150</v>
      </c>
      <c r="S53" s="253"/>
      <c r="T53" s="253" t="s">
        <v>1129</v>
      </c>
      <c r="U53" s="253"/>
      <c r="V53" s="253"/>
      <c r="W53" s="253"/>
      <c r="X53" s="253"/>
      <c r="Y53" s="253"/>
      <c r="Z53" s="253"/>
      <c r="AA53" s="253"/>
      <c r="AB53" s="253"/>
      <c r="AC53" s="253"/>
      <c r="AD53" s="253"/>
      <c r="AE53" s="253"/>
      <c r="AF53" s="253"/>
      <c r="AG53" s="253"/>
      <c r="AH53" s="253"/>
      <c r="AI53" s="253"/>
      <c r="AJ53" s="253"/>
      <c r="AK53" s="253"/>
      <c r="AL53" s="253"/>
      <c r="AM53" s="253"/>
      <c r="AN53" s="253"/>
      <c r="AO53" s="253"/>
      <c r="AP53" s="253"/>
      <c r="AQ53" s="253"/>
      <c r="AR53" s="253"/>
      <c r="AS53" s="253"/>
      <c r="AT53" s="253"/>
      <c r="AU53" s="253"/>
      <c r="AV53" s="253"/>
      <c r="AW53" s="253"/>
      <c r="AX53" s="253"/>
      <c r="AY53" s="253"/>
      <c r="AZ53" s="253"/>
      <c r="BA53" s="253"/>
      <c r="BB53" s="253"/>
      <c r="BC53" s="253"/>
      <c r="BD53" s="253"/>
      <c r="BE53" s="253"/>
      <c r="BF53" s="253"/>
      <c r="BG53" s="253"/>
      <c r="BH53" s="253"/>
      <c r="BI53" s="253"/>
      <c r="BJ53" s="263" t="str">
        <f>HYPERLINK("#일위대가목록!A13","T1-1-1/1 →")</f>
        <v>T1-1-1/1 →</v>
      </c>
    </row>
    <row r="54" spans="1:62" ht="24" customHeight="1">
      <c r="A54" s="256" t="s">
        <v>68</v>
      </c>
      <c r="B54" s="256" t="s">
        <v>68</v>
      </c>
      <c r="C54" s="264"/>
      <c r="D54" s="254" t="s">
        <v>68</v>
      </c>
      <c r="E54" s="254"/>
      <c r="F54" s="258">
        <v>0</v>
      </c>
      <c r="G54" s="254"/>
      <c r="H54" s="258">
        <v>0</v>
      </c>
      <c r="I54" s="254"/>
      <c r="J54" s="258"/>
      <c r="K54" s="258"/>
      <c r="L54" s="258"/>
      <c r="M54" s="256"/>
      <c r="N54" s="253" t="s">
        <v>68</v>
      </c>
      <c r="O54" s="253"/>
      <c r="P54" s="253" t="s">
        <v>1098</v>
      </c>
      <c r="Q54" s="253" t="s">
        <v>68</v>
      </c>
      <c r="R54" s="253" t="s">
        <v>68</v>
      </c>
      <c r="S54" s="253"/>
      <c r="T54" s="253"/>
      <c r="U54" s="253"/>
      <c r="V54" s="253"/>
      <c r="W54" s="253"/>
      <c r="X54" s="253"/>
      <c r="Y54" s="253"/>
      <c r="Z54" s="253"/>
      <c r="AA54" s="253"/>
      <c r="AB54" s="253"/>
      <c r="AC54" s="253"/>
      <c r="AD54" s="253"/>
      <c r="AE54" s="253"/>
      <c r="AF54" s="253"/>
      <c r="AG54" s="253"/>
      <c r="AH54" s="253"/>
      <c r="AI54" s="253"/>
      <c r="AJ54" s="253"/>
      <c r="AK54" s="253"/>
      <c r="AL54" s="253"/>
      <c r="AM54" s="253"/>
      <c r="AN54" s="253"/>
      <c r="AO54" s="253"/>
      <c r="AP54" s="253"/>
      <c r="AQ54" s="253"/>
      <c r="AR54" s="253"/>
      <c r="AS54" s="253"/>
      <c r="AT54" s="253"/>
      <c r="AU54" s="253"/>
      <c r="AV54" s="253"/>
      <c r="AW54" s="253"/>
      <c r="AX54" s="253"/>
      <c r="AY54" s="253"/>
      <c r="AZ54" s="253"/>
      <c r="BA54" s="253"/>
      <c r="BB54" s="253"/>
      <c r="BC54" s="253"/>
      <c r="BD54" s="253"/>
      <c r="BE54" s="253"/>
      <c r="BF54" s="253"/>
      <c r="BG54" s="253"/>
      <c r="BH54" s="253"/>
      <c r="BI54" s="253"/>
      <c r="BJ54" s="253"/>
    </row>
    <row r="55" spans="1:62" ht="24" customHeight="1">
      <c r="A55" s="269" t="s">
        <v>1139</v>
      </c>
      <c r="B55" s="269" t="s">
        <v>68</v>
      </c>
      <c r="C55" s="270">
        <v>1</v>
      </c>
      <c r="D55" s="271" t="s">
        <v>1094</v>
      </c>
      <c r="E55" s="271"/>
      <c r="F55" s="272">
        <f>TRUNC(F56+F57+F58+F59+F60+F61+F62+F63+F64+F65+F66+F67+F68+F69+F70+F71,0)</f>
        <v>0</v>
      </c>
      <c r="G55" s="271"/>
      <c r="H55" s="272">
        <f>TRUNC(H56+H57+H58+H59+H60+H61+H62+H63+H64+H65+H66+H67+H68+H69+H70+H71,0)</f>
        <v>0</v>
      </c>
      <c r="I55" s="271"/>
      <c r="J55" s="272"/>
      <c r="K55" s="271"/>
      <c r="L55" s="272"/>
      <c r="M55" s="269"/>
      <c r="N55" s="253" t="s">
        <v>68</v>
      </c>
      <c r="O55" s="253" t="s">
        <v>1140</v>
      </c>
      <c r="P55" s="253"/>
      <c r="Q55" s="253"/>
      <c r="R55" s="253"/>
      <c r="S55" s="253"/>
      <c r="T55" s="253"/>
      <c r="U55" s="253"/>
      <c r="V55" s="253"/>
      <c r="W55" s="253"/>
      <c r="X55" s="253"/>
      <c r="Y55" s="253"/>
      <c r="Z55" s="253"/>
      <c r="AA55" s="253"/>
      <c r="AB55" s="253"/>
      <c r="AC55" s="253"/>
      <c r="AD55" s="253"/>
      <c r="AE55" s="253"/>
      <c r="AF55" s="253"/>
      <c r="AG55" s="253"/>
      <c r="AH55" s="253"/>
      <c r="AI55" s="253"/>
      <c r="AJ55" s="253"/>
      <c r="AK55" s="253"/>
      <c r="AL55" s="253"/>
      <c r="AM55" s="253"/>
      <c r="AN55" s="253"/>
      <c r="AO55" s="253"/>
      <c r="AP55" s="253"/>
      <c r="AQ55" s="253"/>
      <c r="AR55" s="253"/>
      <c r="AS55" s="253"/>
      <c r="AT55" s="253"/>
      <c r="AU55" s="253"/>
      <c r="AV55" s="253"/>
      <c r="AW55" s="253"/>
      <c r="AX55" s="253"/>
      <c r="AY55" s="253"/>
      <c r="AZ55" s="253"/>
      <c r="BA55" s="253"/>
      <c r="BB55" s="253"/>
      <c r="BC55" s="253"/>
      <c r="BD55" s="253"/>
      <c r="BE55" s="253"/>
      <c r="BF55" s="253"/>
      <c r="BG55" s="253"/>
      <c r="BH55" s="253"/>
      <c r="BI55" s="253"/>
      <c r="BJ55" s="253"/>
    </row>
    <row r="56" spans="1:62" ht="24" customHeight="1">
      <c r="A56" s="256" t="s">
        <v>431</v>
      </c>
      <c r="B56" s="256" t="s">
        <v>433</v>
      </c>
      <c r="C56" s="264">
        <v>3.65</v>
      </c>
      <c r="D56" s="254" t="s">
        <v>9</v>
      </c>
      <c r="E56" s="258">
        <f>일위목록!E14</f>
        <v>0</v>
      </c>
      <c r="F56" s="258">
        <f t="shared" ref="F56:F71" si="3">TRUNC(E56*C56,0)</f>
        <v>0</v>
      </c>
      <c r="G56" s="258">
        <f>일위목록!F14</f>
        <v>0</v>
      </c>
      <c r="H56" s="258">
        <f t="shared" ref="H56:H71" si="4">TRUNC(G56*C56,0)</f>
        <v>0</v>
      </c>
      <c r="I56" s="258"/>
      <c r="J56" s="258"/>
      <c r="K56" s="258"/>
      <c r="L56" s="258"/>
      <c r="M56" s="256"/>
      <c r="N56" s="253" t="s">
        <v>68</v>
      </c>
      <c r="O56" s="253"/>
      <c r="P56" s="253" t="s">
        <v>1095</v>
      </c>
      <c r="Q56" s="253" t="s">
        <v>68</v>
      </c>
      <c r="R56" s="253" t="s">
        <v>1151</v>
      </c>
      <c r="S56" s="253"/>
      <c r="T56" s="253" t="s">
        <v>1129</v>
      </c>
      <c r="U56" s="253"/>
      <c r="V56" s="253"/>
      <c r="W56" s="253"/>
      <c r="X56" s="253"/>
      <c r="Y56" s="253"/>
      <c r="Z56" s="253"/>
      <c r="AA56" s="253"/>
      <c r="AB56" s="253"/>
      <c r="AC56" s="253"/>
      <c r="AD56" s="253"/>
      <c r="AE56" s="253"/>
      <c r="AF56" s="253"/>
      <c r="AG56" s="253"/>
      <c r="AH56" s="253"/>
      <c r="AI56" s="253"/>
      <c r="AJ56" s="253"/>
      <c r="AK56" s="253"/>
      <c r="AL56" s="253"/>
      <c r="AM56" s="253"/>
      <c r="AN56" s="253"/>
      <c r="AO56" s="253"/>
      <c r="AP56" s="253"/>
      <c r="AQ56" s="253"/>
      <c r="AR56" s="253"/>
      <c r="AS56" s="253"/>
      <c r="AT56" s="253"/>
      <c r="AU56" s="253"/>
      <c r="AV56" s="253"/>
      <c r="AW56" s="253"/>
      <c r="AX56" s="253"/>
      <c r="AY56" s="253"/>
      <c r="AZ56" s="253"/>
      <c r="BA56" s="253"/>
      <c r="BB56" s="253"/>
      <c r="BC56" s="253"/>
      <c r="BD56" s="253"/>
      <c r="BE56" s="253"/>
      <c r="BF56" s="253"/>
      <c r="BG56" s="253"/>
      <c r="BH56" s="253"/>
      <c r="BI56" s="253"/>
      <c r="BJ56" s="263" t="str">
        <f>HYPERLINK("#일위대가목록!A14","_0011 →")</f>
        <v>_0011 →</v>
      </c>
    </row>
    <row r="57" spans="1:62" ht="24" customHeight="1">
      <c r="A57" s="256" t="s">
        <v>381</v>
      </c>
      <c r="B57" s="256" t="s">
        <v>383</v>
      </c>
      <c r="C57" s="257">
        <v>1</v>
      </c>
      <c r="D57" s="254" t="s">
        <v>378</v>
      </c>
      <c r="E57" s="258">
        <f>일위목록!E15</f>
        <v>0</v>
      </c>
      <c r="F57" s="258">
        <f t="shared" si="3"/>
        <v>0</v>
      </c>
      <c r="G57" s="258">
        <f>일위목록!F15</f>
        <v>0</v>
      </c>
      <c r="H57" s="258">
        <f t="shared" si="4"/>
        <v>0</v>
      </c>
      <c r="I57" s="258">
        <f>일위목록!G15</f>
        <v>0</v>
      </c>
      <c r="J57" s="258">
        <f t="shared" ref="J56:J71" si="5">TRUNC(I57*C57,0)</f>
        <v>0</v>
      </c>
      <c r="K57" s="258">
        <f t="shared" ref="K56:K72" si="6">E57+G57+I57</f>
        <v>0</v>
      </c>
      <c r="L57" s="258">
        <f t="shared" si="2"/>
        <v>0</v>
      </c>
      <c r="M57" s="256"/>
      <c r="N57" s="253" t="s">
        <v>68</v>
      </c>
      <c r="O57" s="253"/>
      <c r="P57" s="253" t="s">
        <v>1098</v>
      </c>
      <c r="Q57" s="253" t="s">
        <v>68</v>
      </c>
      <c r="R57" s="253" t="s">
        <v>1152</v>
      </c>
      <c r="S57" s="253"/>
      <c r="T57" s="253" t="s">
        <v>1129</v>
      </c>
      <c r="U57" s="253"/>
      <c r="V57" s="253"/>
      <c r="W57" s="253"/>
      <c r="X57" s="253"/>
      <c r="Y57" s="253"/>
      <c r="Z57" s="253"/>
      <c r="AA57" s="253"/>
      <c r="AB57" s="253"/>
      <c r="AC57" s="253"/>
      <c r="AD57" s="253"/>
      <c r="AE57" s="253"/>
      <c r="AF57" s="253"/>
      <c r="AG57" s="253"/>
      <c r="AH57" s="253"/>
      <c r="AI57" s="253"/>
      <c r="AJ57" s="253"/>
      <c r="AK57" s="253"/>
      <c r="AL57" s="253"/>
      <c r="AM57" s="253"/>
      <c r="AN57" s="253"/>
      <c r="AO57" s="253"/>
      <c r="AP57" s="253"/>
      <c r="AQ57" s="253"/>
      <c r="AR57" s="253"/>
      <c r="AS57" s="253"/>
      <c r="AT57" s="253"/>
      <c r="AU57" s="253"/>
      <c r="AV57" s="253"/>
      <c r="AW57" s="253"/>
      <c r="AX57" s="253"/>
      <c r="AY57" s="253"/>
      <c r="AZ57" s="253"/>
      <c r="BA57" s="253"/>
      <c r="BB57" s="253"/>
      <c r="BC57" s="253"/>
      <c r="BD57" s="253"/>
      <c r="BE57" s="253"/>
      <c r="BF57" s="253"/>
      <c r="BG57" s="253"/>
      <c r="BH57" s="253"/>
      <c r="BI57" s="253"/>
      <c r="BJ57" s="263" t="str">
        <f>HYPERLINK("#일위대가목록!A15","_0012 →")</f>
        <v>_0012 →</v>
      </c>
    </row>
    <row r="58" spans="1:62" ht="24" customHeight="1">
      <c r="A58" s="256" t="s">
        <v>381</v>
      </c>
      <c r="B58" s="256" t="s">
        <v>413</v>
      </c>
      <c r="C58" s="257">
        <v>1</v>
      </c>
      <c r="D58" s="254" t="s">
        <v>378</v>
      </c>
      <c r="E58" s="258">
        <f>일위목록!E16</f>
        <v>0</v>
      </c>
      <c r="F58" s="258">
        <f t="shared" si="3"/>
        <v>0</v>
      </c>
      <c r="G58" s="258">
        <f>일위목록!F16</f>
        <v>0</v>
      </c>
      <c r="H58" s="258">
        <f t="shared" si="4"/>
        <v>0</v>
      </c>
      <c r="I58" s="258">
        <f>일위목록!G16</f>
        <v>0</v>
      </c>
      <c r="J58" s="258">
        <f t="shared" si="5"/>
        <v>0</v>
      </c>
      <c r="K58" s="258">
        <f t="shared" si="6"/>
        <v>0</v>
      </c>
      <c r="L58" s="258">
        <f t="shared" si="2"/>
        <v>0</v>
      </c>
      <c r="M58" s="256"/>
      <c r="N58" s="253" t="s">
        <v>68</v>
      </c>
      <c r="O58" s="253"/>
      <c r="P58" s="253" t="s">
        <v>1101</v>
      </c>
      <c r="Q58" s="253" t="s">
        <v>68</v>
      </c>
      <c r="R58" s="253" t="s">
        <v>1153</v>
      </c>
      <c r="S58" s="253"/>
      <c r="T58" s="253" t="s">
        <v>1129</v>
      </c>
      <c r="U58" s="253"/>
      <c r="V58" s="253"/>
      <c r="W58" s="253"/>
      <c r="X58" s="253"/>
      <c r="Y58" s="253"/>
      <c r="Z58" s="253"/>
      <c r="AA58" s="253"/>
      <c r="AB58" s="253"/>
      <c r="AC58" s="253"/>
      <c r="AD58" s="253"/>
      <c r="AE58" s="253"/>
      <c r="AF58" s="253"/>
      <c r="AG58" s="253"/>
      <c r="AH58" s="253"/>
      <c r="AI58" s="253"/>
      <c r="AJ58" s="253"/>
      <c r="AK58" s="253"/>
      <c r="AL58" s="253"/>
      <c r="AM58" s="253"/>
      <c r="AN58" s="253"/>
      <c r="AO58" s="253"/>
      <c r="AP58" s="253"/>
      <c r="AQ58" s="253"/>
      <c r="AR58" s="253"/>
      <c r="AS58" s="253"/>
      <c r="AT58" s="253"/>
      <c r="AU58" s="253"/>
      <c r="AV58" s="253"/>
      <c r="AW58" s="253"/>
      <c r="AX58" s="253"/>
      <c r="AY58" s="253"/>
      <c r="AZ58" s="253"/>
      <c r="BA58" s="253"/>
      <c r="BB58" s="253"/>
      <c r="BC58" s="253"/>
      <c r="BD58" s="253"/>
      <c r="BE58" s="253"/>
      <c r="BF58" s="253"/>
      <c r="BG58" s="253"/>
      <c r="BH58" s="253"/>
      <c r="BI58" s="253"/>
      <c r="BJ58" s="263" t="str">
        <f>HYPERLINK("#일위대가목록!A16","_0013 →")</f>
        <v>_0013 →</v>
      </c>
    </row>
    <row r="59" spans="1:62" ht="24" customHeight="1">
      <c r="A59" s="256" t="s">
        <v>1154</v>
      </c>
      <c r="B59" s="256" t="s">
        <v>1155</v>
      </c>
      <c r="C59" s="257">
        <v>1</v>
      </c>
      <c r="D59" s="254" t="s">
        <v>378</v>
      </c>
      <c r="E59" s="258">
        <f>일위목록!E17</f>
        <v>0</v>
      </c>
      <c r="F59" s="258">
        <f t="shared" si="3"/>
        <v>0</v>
      </c>
      <c r="G59" s="258">
        <f>일위목록!F17</f>
        <v>0</v>
      </c>
      <c r="H59" s="258">
        <f t="shared" si="4"/>
        <v>0</v>
      </c>
      <c r="I59" s="258">
        <f>일위목록!G17</f>
        <v>0</v>
      </c>
      <c r="J59" s="258">
        <f t="shared" si="5"/>
        <v>0</v>
      </c>
      <c r="K59" s="258">
        <f t="shared" si="6"/>
        <v>0</v>
      </c>
      <c r="L59" s="258">
        <f t="shared" si="2"/>
        <v>0</v>
      </c>
      <c r="M59" s="256"/>
      <c r="N59" s="253" t="s">
        <v>68</v>
      </c>
      <c r="O59" s="253"/>
      <c r="P59" s="253" t="s">
        <v>1104</v>
      </c>
      <c r="Q59" s="253" t="s">
        <v>68</v>
      </c>
      <c r="R59" s="253" t="s">
        <v>1156</v>
      </c>
      <c r="S59" s="253"/>
      <c r="T59" s="253" t="s">
        <v>1129</v>
      </c>
      <c r="U59" s="253"/>
      <c r="V59" s="253"/>
      <c r="W59" s="253"/>
      <c r="X59" s="253"/>
      <c r="Y59" s="253"/>
      <c r="Z59" s="253"/>
      <c r="AA59" s="253"/>
      <c r="AB59" s="253"/>
      <c r="AC59" s="253"/>
      <c r="AD59" s="253"/>
      <c r="AE59" s="253"/>
      <c r="AF59" s="253"/>
      <c r="AG59" s="253"/>
      <c r="AH59" s="253"/>
      <c r="AI59" s="253"/>
      <c r="AJ59" s="253"/>
      <c r="AK59" s="253"/>
      <c r="AL59" s="253"/>
      <c r="AM59" s="253"/>
      <c r="AN59" s="253"/>
      <c r="AO59" s="253"/>
      <c r="AP59" s="253"/>
      <c r="AQ59" s="253"/>
      <c r="AR59" s="253"/>
      <c r="AS59" s="253"/>
      <c r="AT59" s="253"/>
      <c r="AU59" s="253"/>
      <c r="AV59" s="253"/>
      <c r="AW59" s="253"/>
      <c r="AX59" s="253"/>
      <c r="AY59" s="253"/>
      <c r="AZ59" s="253"/>
      <c r="BA59" s="253"/>
      <c r="BB59" s="253"/>
      <c r="BC59" s="253"/>
      <c r="BD59" s="253"/>
      <c r="BE59" s="253"/>
      <c r="BF59" s="253"/>
      <c r="BG59" s="253"/>
      <c r="BH59" s="253"/>
      <c r="BI59" s="253"/>
      <c r="BJ59" s="263" t="str">
        <f>HYPERLINK("#일위대가목록!A17","_0014 →")</f>
        <v>_0014 →</v>
      </c>
    </row>
    <row r="60" spans="1:62" ht="24" customHeight="1">
      <c r="A60" s="256" t="s">
        <v>403</v>
      </c>
      <c r="B60" s="256" t="s">
        <v>376</v>
      </c>
      <c r="C60" s="257">
        <v>4</v>
      </c>
      <c r="D60" s="254" t="s">
        <v>378</v>
      </c>
      <c r="E60" s="258">
        <f>일위목록!E18</f>
        <v>0</v>
      </c>
      <c r="F60" s="258">
        <f t="shared" si="3"/>
        <v>0</v>
      </c>
      <c r="G60" s="258">
        <f>일위목록!F18</f>
        <v>0</v>
      </c>
      <c r="H60" s="258">
        <f t="shared" si="4"/>
        <v>0</v>
      </c>
      <c r="I60" s="258">
        <f>일위목록!G18</f>
        <v>0</v>
      </c>
      <c r="J60" s="258">
        <f t="shared" si="5"/>
        <v>0</v>
      </c>
      <c r="K60" s="258">
        <f t="shared" si="6"/>
        <v>0</v>
      </c>
      <c r="L60" s="258">
        <f t="shared" si="2"/>
        <v>0</v>
      </c>
      <c r="M60" s="256"/>
      <c r="N60" s="253" t="s">
        <v>68</v>
      </c>
      <c r="O60" s="253"/>
      <c r="P60" s="253" t="s">
        <v>1107</v>
      </c>
      <c r="Q60" s="253" t="s">
        <v>68</v>
      </c>
      <c r="R60" s="253" t="s">
        <v>1157</v>
      </c>
      <c r="S60" s="253"/>
      <c r="T60" s="253" t="s">
        <v>1129</v>
      </c>
      <c r="U60" s="253"/>
      <c r="V60" s="253"/>
      <c r="W60" s="253"/>
      <c r="X60" s="253"/>
      <c r="Y60" s="253"/>
      <c r="Z60" s="253"/>
      <c r="AA60" s="253"/>
      <c r="AB60" s="253"/>
      <c r="AC60" s="253"/>
      <c r="AD60" s="253"/>
      <c r="AE60" s="253"/>
      <c r="AF60" s="253"/>
      <c r="AG60" s="253"/>
      <c r="AH60" s="253"/>
      <c r="AI60" s="253"/>
      <c r="AJ60" s="253"/>
      <c r="AK60" s="253"/>
      <c r="AL60" s="253"/>
      <c r="AM60" s="253"/>
      <c r="AN60" s="253"/>
      <c r="AO60" s="253"/>
      <c r="AP60" s="253"/>
      <c r="AQ60" s="253"/>
      <c r="AR60" s="253"/>
      <c r="AS60" s="253"/>
      <c r="AT60" s="253"/>
      <c r="AU60" s="253"/>
      <c r="AV60" s="253"/>
      <c r="AW60" s="253"/>
      <c r="AX60" s="253"/>
      <c r="AY60" s="253"/>
      <c r="AZ60" s="253"/>
      <c r="BA60" s="253"/>
      <c r="BB60" s="253"/>
      <c r="BC60" s="253"/>
      <c r="BD60" s="253"/>
      <c r="BE60" s="253"/>
      <c r="BF60" s="253"/>
      <c r="BG60" s="253"/>
      <c r="BH60" s="253"/>
      <c r="BI60" s="253"/>
      <c r="BJ60" s="263" t="str">
        <f>HYPERLINK("#일위대가목록!A18","_0015 →")</f>
        <v>_0015 →</v>
      </c>
    </row>
    <row r="61" spans="1:62" ht="24" customHeight="1">
      <c r="A61" s="256" t="s">
        <v>403</v>
      </c>
      <c r="B61" s="256" t="s">
        <v>415</v>
      </c>
      <c r="C61" s="257">
        <v>1</v>
      </c>
      <c r="D61" s="254" t="s">
        <v>378</v>
      </c>
      <c r="E61" s="258">
        <f>일위목록!E19</f>
        <v>0</v>
      </c>
      <c r="F61" s="258">
        <f t="shared" si="3"/>
        <v>0</v>
      </c>
      <c r="G61" s="258">
        <f>일위목록!F19</f>
        <v>0</v>
      </c>
      <c r="H61" s="258">
        <f t="shared" si="4"/>
        <v>0</v>
      </c>
      <c r="I61" s="258">
        <f>일위목록!G19</f>
        <v>0</v>
      </c>
      <c r="J61" s="258">
        <f t="shared" si="5"/>
        <v>0</v>
      </c>
      <c r="K61" s="258">
        <f t="shared" si="6"/>
        <v>0</v>
      </c>
      <c r="L61" s="258">
        <f t="shared" si="2"/>
        <v>0</v>
      </c>
      <c r="M61" s="256"/>
      <c r="N61" s="253" t="s">
        <v>68</v>
      </c>
      <c r="O61" s="253"/>
      <c r="P61" s="253" t="s">
        <v>1108</v>
      </c>
      <c r="Q61" s="253" t="s">
        <v>68</v>
      </c>
      <c r="R61" s="253" t="s">
        <v>1158</v>
      </c>
      <c r="S61" s="253"/>
      <c r="T61" s="253" t="s">
        <v>1129</v>
      </c>
      <c r="U61" s="253"/>
      <c r="V61" s="253"/>
      <c r="W61" s="253"/>
      <c r="X61" s="253"/>
      <c r="Y61" s="253"/>
      <c r="Z61" s="253"/>
      <c r="AA61" s="253"/>
      <c r="AB61" s="253"/>
      <c r="AC61" s="253"/>
      <c r="AD61" s="253"/>
      <c r="AE61" s="253"/>
      <c r="AF61" s="253"/>
      <c r="AG61" s="253"/>
      <c r="AH61" s="253"/>
      <c r="AI61" s="253"/>
      <c r="AJ61" s="253"/>
      <c r="AK61" s="253"/>
      <c r="AL61" s="253"/>
      <c r="AM61" s="253"/>
      <c r="AN61" s="253"/>
      <c r="AO61" s="253"/>
      <c r="AP61" s="253"/>
      <c r="AQ61" s="253"/>
      <c r="AR61" s="253"/>
      <c r="AS61" s="253"/>
      <c r="AT61" s="253"/>
      <c r="AU61" s="253"/>
      <c r="AV61" s="253"/>
      <c r="AW61" s="253"/>
      <c r="AX61" s="253"/>
      <c r="AY61" s="253"/>
      <c r="AZ61" s="253"/>
      <c r="BA61" s="253"/>
      <c r="BB61" s="253"/>
      <c r="BC61" s="253"/>
      <c r="BD61" s="253"/>
      <c r="BE61" s="253"/>
      <c r="BF61" s="253"/>
      <c r="BG61" s="253"/>
      <c r="BH61" s="253"/>
      <c r="BI61" s="253"/>
      <c r="BJ61" s="263" t="str">
        <f>HYPERLINK("#일위대가목록!A19","_0016 →")</f>
        <v>_0016 →</v>
      </c>
    </row>
    <row r="62" spans="1:62" ht="24" customHeight="1">
      <c r="A62" s="256" t="s">
        <v>405</v>
      </c>
      <c r="B62" s="256" t="s">
        <v>407</v>
      </c>
      <c r="C62" s="257">
        <v>1</v>
      </c>
      <c r="D62" s="254" t="s">
        <v>378</v>
      </c>
      <c r="E62" s="258">
        <f>일위목록!E20</f>
        <v>0</v>
      </c>
      <c r="F62" s="258">
        <f t="shared" si="3"/>
        <v>0</v>
      </c>
      <c r="G62" s="258">
        <f>일위목록!F20</f>
        <v>0</v>
      </c>
      <c r="H62" s="258">
        <f t="shared" si="4"/>
        <v>0</v>
      </c>
      <c r="I62" s="258">
        <f>일위목록!G20</f>
        <v>0</v>
      </c>
      <c r="J62" s="258">
        <f t="shared" si="5"/>
        <v>0</v>
      </c>
      <c r="K62" s="258">
        <f t="shared" si="6"/>
        <v>0</v>
      </c>
      <c r="L62" s="258">
        <f t="shared" si="2"/>
        <v>0</v>
      </c>
      <c r="M62" s="256"/>
      <c r="N62" s="253" t="s">
        <v>68</v>
      </c>
      <c r="O62" s="253"/>
      <c r="P62" s="253" t="s">
        <v>1109</v>
      </c>
      <c r="Q62" s="253" t="s">
        <v>68</v>
      </c>
      <c r="R62" s="253" t="s">
        <v>1159</v>
      </c>
      <c r="S62" s="253"/>
      <c r="T62" s="253" t="s">
        <v>1129</v>
      </c>
      <c r="U62" s="253"/>
      <c r="V62" s="253"/>
      <c r="W62" s="253"/>
      <c r="X62" s="253"/>
      <c r="Y62" s="253"/>
      <c r="Z62" s="253"/>
      <c r="AA62" s="253"/>
      <c r="AB62" s="253"/>
      <c r="AC62" s="253"/>
      <c r="AD62" s="253"/>
      <c r="AE62" s="253"/>
      <c r="AF62" s="253"/>
      <c r="AG62" s="253"/>
      <c r="AH62" s="253"/>
      <c r="AI62" s="253"/>
      <c r="AJ62" s="253"/>
      <c r="AK62" s="253"/>
      <c r="AL62" s="253"/>
      <c r="AM62" s="253"/>
      <c r="AN62" s="253"/>
      <c r="AO62" s="253"/>
      <c r="AP62" s="253"/>
      <c r="AQ62" s="253"/>
      <c r="AR62" s="253"/>
      <c r="AS62" s="253"/>
      <c r="AT62" s="253"/>
      <c r="AU62" s="253"/>
      <c r="AV62" s="253"/>
      <c r="AW62" s="253"/>
      <c r="AX62" s="253"/>
      <c r="AY62" s="253"/>
      <c r="AZ62" s="253"/>
      <c r="BA62" s="253"/>
      <c r="BB62" s="253"/>
      <c r="BC62" s="253"/>
      <c r="BD62" s="253"/>
      <c r="BE62" s="253"/>
      <c r="BF62" s="253"/>
      <c r="BG62" s="253"/>
      <c r="BH62" s="253"/>
      <c r="BI62" s="253"/>
      <c r="BJ62" s="263" t="str">
        <f>HYPERLINK("#일위대가목록!A20","_0017 →")</f>
        <v>_0017 →</v>
      </c>
    </row>
    <row r="63" spans="1:62" ht="24" customHeight="1">
      <c r="A63" s="256" t="s">
        <v>405</v>
      </c>
      <c r="B63" s="256" t="s">
        <v>409</v>
      </c>
      <c r="C63" s="257">
        <v>2</v>
      </c>
      <c r="D63" s="254" t="s">
        <v>378</v>
      </c>
      <c r="E63" s="258">
        <f>일위목록!E21</f>
        <v>0</v>
      </c>
      <c r="F63" s="258">
        <f t="shared" si="3"/>
        <v>0</v>
      </c>
      <c r="G63" s="258">
        <f>일위목록!F21</f>
        <v>0</v>
      </c>
      <c r="H63" s="258">
        <f t="shared" si="4"/>
        <v>0</v>
      </c>
      <c r="I63" s="258">
        <f>일위목록!G21</f>
        <v>0</v>
      </c>
      <c r="J63" s="258">
        <f t="shared" si="5"/>
        <v>0</v>
      </c>
      <c r="K63" s="258">
        <f t="shared" si="6"/>
        <v>0</v>
      </c>
      <c r="L63" s="258">
        <f t="shared" si="2"/>
        <v>0</v>
      </c>
      <c r="M63" s="256"/>
      <c r="N63" s="253" t="s">
        <v>68</v>
      </c>
      <c r="O63" s="253"/>
      <c r="P63" s="253" t="s">
        <v>1110</v>
      </c>
      <c r="Q63" s="253" t="s">
        <v>68</v>
      </c>
      <c r="R63" s="253" t="s">
        <v>1160</v>
      </c>
      <c r="S63" s="253"/>
      <c r="T63" s="253" t="s">
        <v>1129</v>
      </c>
      <c r="U63" s="253"/>
      <c r="V63" s="253"/>
      <c r="W63" s="253"/>
      <c r="X63" s="253"/>
      <c r="Y63" s="253"/>
      <c r="Z63" s="253"/>
      <c r="AA63" s="253"/>
      <c r="AB63" s="253"/>
      <c r="AC63" s="253"/>
      <c r="AD63" s="253"/>
      <c r="AE63" s="253"/>
      <c r="AF63" s="253"/>
      <c r="AG63" s="253"/>
      <c r="AH63" s="253"/>
      <c r="AI63" s="253"/>
      <c r="AJ63" s="253"/>
      <c r="AK63" s="253"/>
      <c r="AL63" s="253"/>
      <c r="AM63" s="253"/>
      <c r="AN63" s="253"/>
      <c r="AO63" s="253"/>
      <c r="AP63" s="253"/>
      <c r="AQ63" s="253"/>
      <c r="AR63" s="253"/>
      <c r="AS63" s="253"/>
      <c r="AT63" s="253"/>
      <c r="AU63" s="253"/>
      <c r="AV63" s="253"/>
      <c r="AW63" s="253"/>
      <c r="AX63" s="253"/>
      <c r="AY63" s="253"/>
      <c r="AZ63" s="253"/>
      <c r="BA63" s="253"/>
      <c r="BB63" s="253"/>
      <c r="BC63" s="253"/>
      <c r="BD63" s="253"/>
      <c r="BE63" s="253"/>
      <c r="BF63" s="253"/>
      <c r="BG63" s="253"/>
      <c r="BH63" s="253"/>
      <c r="BI63" s="253"/>
      <c r="BJ63" s="263" t="str">
        <f>HYPERLINK("#일위대가목록!A21","_0018 →")</f>
        <v>_0018 →</v>
      </c>
    </row>
    <row r="64" spans="1:62" ht="24" customHeight="1">
      <c r="A64" s="256" t="s">
        <v>405</v>
      </c>
      <c r="B64" s="256" t="s">
        <v>411</v>
      </c>
      <c r="C64" s="257">
        <v>1</v>
      </c>
      <c r="D64" s="254" t="s">
        <v>378</v>
      </c>
      <c r="E64" s="258">
        <f>일위목록!E22</f>
        <v>0</v>
      </c>
      <c r="F64" s="258">
        <f t="shared" si="3"/>
        <v>0</v>
      </c>
      <c r="G64" s="258">
        <f>일위목록!F22</f>
        <v>0</v>
      </c>
      <c r="H64" s="258">
        <f t="shared" si="4"/>
        <v>0</v>
      </c>
      <c r="I64" s="258">
        <f>일위목록!G22</f>
        <v>0</v>
      </c>
      <c r="J64" s="258">
        <f t="shared" si="5"/>
        <v>0</v>
      </c>
      <c r="K64" s="258">
        <f t="shared" si="6"/>
        <v>0</v>
      </c>
      <c r="L64" s="258">
        <f t="shared" si="2"/>
        <v>0</v>
      </c>
      <c r="M64" s="256"/>
      <c r="N64" s="253" t="s">
        <v>68</v>
      </c>
      <c r="O64" s="253"/>
      <c r="P64" s="253" t="s">
        <v>1111</v>
      </c>
      <c r="Q64" s="253" t="s">
        <v>68</v>
      </c>
      <c r="R64" s="253" t="s">
        <v>1161</v>
      </c>
      <c r="S64" s="253"/>
      <c r="T64" s="253" t="s">
        <v>1129</v>
      </c>
      <c r="U64" s="253"/>
      <c r="V64" s="253"/>
      <c r="W64" s="253"/>
      <c r="X64" s="253"/>
      <c r="Y64" s="253"/>
      <c r="Z64" s="253"/>
      <c r="AA64" s="253"/>
      <c r="AB64" s="253"/>
      <c r="AC64" s="253"/>
      <c r="AD64" s="253"/>
      <c r="AE64" s="253"/>
      <c r="AF64" s="253"/>
      <c r="AG64" s="253"/>
      <c r="AH64" s="253"/>
      <c r="AI64" s="253"/>
      <c r="AJ64" s="253"/>
      <c r="AK64" s="253"/>
      <c r="AL64" s="253"/>
      <c r="AM64" s="253"/>
      <c r="AN64" s="253"/>
      <c r="AO64" s="253"/>
      <c r="AP64" s="253"/>
      <c r="AQ64" s="253"/>
      <c r="AR64" s="253"/>
      <c r="AS64" s="253"/>
      <c r="AT64" s="253"/>
      <c r="AU64" s="253"/>
      <c r="AV64" s="253"/>
      <c r="AW64" s="253"/>
      <c r="AX64" s="253"/>
      <c r="AY64" s="253"/>
      <c r="AZ64" s="253"/>
      <c r="BA64" s="253"/>
      <c r="BB64" s="253"/>
      <c r="BC64" s="253"/>
      <c r="BD64" s="253"/>
      <c r="BE64" s="253"/>
      <c r="BF64" s="253"/>
      <c r="BG64" s="253"/>
      <c r="BH64" s="253"/>
      <c r="BI64" s="253"/>
      <c r="BJ64" s="263" t="str">
        <f>HYPERLINK("#일위대가목록!A22","_0019 →")</f>
        <v>_0019 →</v>
      </c>
    </row>
    <row r="65" spans="1:62" ht="24" customHeight="1">
      <c r="A65" s="256" t="s">
        <v>417</v>
      </c>
      <c r="B65" s="256" t="s">
        <v>419</v>
      </c>
      <c r="C65" s="257">
        <v>1</v>
      </c>
      <c r="D65" s="254" t="s">
        <v>378</v>
      </c>
      <c r="E65" s="258">
        <f>일위목록!E23</f>
        <v>0</v>
      </c>
      <c r="F65" s="258">
        <f t="shared" si="3"/>
        <v>0</v>
      </c>
      <c r="G65" s="258">
        <f>일위목록!F23</f>
        <v>0</v>
      </c>
      <c r="H65" s="258">
        <f t="shared" si="4"/>
        <v>0</v>
      </c>
      <c r="I65" s="258">
        <f>일위목록!G23</f>
        <v>0</v>
      </c>
      <c r="J65" s="258">
        <f t="shared" si="5"/>
        <v>0</v>
      </c>
      <c r="K65" s="258">
        <f t="shared" si="6"/>
        <v>0</v>
      </c>
      <c r="L65" s="258">
        <f t="shared" si="2"/>
        <v>0</v>
      </c>
      <c r="M65" s="256"/>
      <c r="N65" s="253" t="s">
        <v>68</v>
      </c>
      <c r="O65" s="253"/>
      <c r="P65" s="253" t="s">
        <v>1112</v>
      </c>
      <c r="Q65" s="253" t="s">
        <v>68</v>
      </c>
      <c r="R65" s="253" t="s">
        <v>1162</v>
      </c>
      <c r="S65" s="253"/>
      <c r="T65" s="253" t="s">
        <v>1129</v>
      </c>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53"/>
      <c r="BF65" s="253"/>
      <c r="BG65" s="253"/>
      <c r="BH65" s="253"/>
      <c r="BI65" s="253"/>
      <c r="BJ65" s="263" t="str">
        <f>HYPERLINK("#일위대가목록!A23","_0020 →")</f>
        <v>_0020 →</v>
      </c>
    </row>
    <row r="66" spans="1:62" ht="24" customHeight="1">
      <c r="A66" s="256" t="s">
        <v>417</v>
      </c>
      <c r="B66" s="256" t="s">
        <v>423</v>
      </c>
      <c r="C66" s="257">
        <v>1</v>
      </c>
      <c r="D66" s="254" t="s">
        <v>378</v>
      </c>
      <c r="E66" s="258">
        <f>일위목록!E24</f>
        <v>0</v>
      </c>
      <c r="F66" s="258">
        <f t="shared" si="3"/>
        <v>0</v>
      </c>
      <c r="G66" s="258">
        <f>일위목록!F24</f>
        <v>0</v>
      </c>
      <c r="H66" s="258">
        <f t="shared" si="4"/>
        <v>0</v>
      </c>
      <c r="I66" s="258">
        <f>일위목록!G24</f>
        <v>0</v>
      </c>
      <c r="J66" s="258">
        <f t="shared" si="5"/>
        <v>0</v>
      </c>
      <c r="K66" s="258">
        <f t="shared" si="6"/>
        <v>0</v>
      </c>
      <c r="L66" s="258">
        <f t="shared" si="2"/>
        <v>0</v>
      </c>
      <c r="M66" s="256"/>
      <c r="N66" s="253" t="s">
        <v>68</v>
      </c>
      <c r="O66" s="253"/>
      <c r="P66" s="253" t="s">
        <v>1113</v>
      </c>
      <c r="Q66" s="253" t="s">
        <v>68</v>
      </c>
      <c r="R66" s="253" t="s">
        <v>1163</v>
      </c>
      <c r="S66" s="253"/>
      <c r="T66" s="253" t="s">
        <v>1129</v>
      </c>
      <c r="U66" s="253"/>
      <c r="V66" s="253"/>
      <c r="W66" s="253"/>
      <c r="X66" s="253"/>
      <c r="Y66" s="253"/>
      <c r="Z66" s="253"/>
      <c r="AA66" s="253"/>
      <c r="AB66" s="253"/>
      <c r="AC66" s="253"/>
      <c r="AD66" s="253"/>
      <c r="AE66" s="253"/>
      <c r="AF66" s="253"/>
      <c r="AG66" s="253"/>
      <c r="AH66" s="253"/>
      <c r="AI66" s="253"/>
      <c r="AJ66" s="253"/>
      <c r="AK66" s="253"/>
      <c r="AL66" s="253"/>
      <c r="AM66" s="253"/>
      <c r="AN66" s="253"/>
      <c r="AO66" s="253"/>
      <c r="AP66" s="253"/>
      <c r="AQ66" s="253"/>
      <c r="AR66" s="253"/>
      <c r="AS66" s="253"/>
      <c r="AT66" s="253"/>
      <c r="AU66" s="253"/>
      <c r="AV66" s="253"/>
      <c r="AW66" s="253"/>
      <c r="AX66" s="253"/>
      <c r="AY66" s="253"/>
      <c r="AZ66" s="253"/>
      <c r="BA66" s="253"/>
      <c r="BB66" s="253"/>
      <c r="BC66" s="253"/>
      <c r="BD66" s="253"/>
      <c r="BE66" s="253"/>
      <c r="BF66" s="253"/>
      <c r="BG66" s="253"/>
      <c r="BH66" s="253"/>
      <c r="BI66" s="253"/>
      <c r="BJ66" s="263" t="str">
        <f>HYPERLINK("#일위대가목록!A24","_0021 →")</f>
        <v>_0021 →</v>
      </c>
    </row>
    <row r="67" spans="1:62" ht="24" customHeight="1">
      <c r="A67" s="256" t="s">
        <v>387</v>
      </c>
      <c r="B67" s="256" t="s">
        <v>389</v>
      </c>
      <c r="C67" s="264">
        <v>26.8</v>
      </c>
      <c r="D67" s="254" t="s">
        <v>9</v>
      </c>
      <c r="E67" s="258">
        <f>일위목록!E25</f>
        <v>0</v>
      </c>
      <c r="F67" s="258">
        <f t="shared" si="3"/>
        <v>0</v>
      </c>
      <c r="G67" s="258">
        <f>일위목록!F25</f>
        <v>0</v>
      </c>
      <c r="H67" s="258">
        <f t="shared" si="4"/>
        <v>0</v>
      </c>
      <c r="I67" s="258">
        <f>일위목록!G25</f>
        <v>0</v>
      </c>
      <c r="J67" s="258">
        <f t="shared" si="5"/>
        <v>0</v>
      </c>
      <c r="K67" s="258">
        <f t="shared" si="6"/>
        <v>0</v>
      </c>
      <c r="L67" s="258">
        <f t="shared" si="2"/>
        <v>0</v>
      </c>
      <c r="M67" s="256"/>
      <c r="N67" s="253" t="s">
        <v>68</v>
      </c>
      <c r="O67" s="253"/>
      <c r="P67" s="253" t="s">
        <v>1114</v>
      </c>
      <c r="Q67" s="253" t="s">
        <v>68</v>
      </c>
      <c r="R67" s="253" t="s">
        <v>1164</v>
      </c>
      <c r="S67" s="253"/>
      <c r="T67" s="253" t="s">
        <v>1129</v>
      </c>
      <c r="U67" s="253"/>
      <c r="V67" s="253"/>
      <c r="W67" s="253"/>
      <c r="X67" s="253"/>
      <c r="Y67" s="253"/>
      <c r="Z67" s="253"/>
      <c r="AA67" s="253"/>
      <c r="AB67" s="253"/>
      <c r="AC67" s="253"/>
      <c r="AD67" s="253"/>
      <c r="AE67" s="253"/>
      <c r="AF67" s="253"/>
      <c r="AG67" s="253"/>
      <c r="AH67" s="253"/>
      <c r="AI67" s="253"/>
      <c r="AJ67" s="253"/>
      <c r="AK67" s="253"/>
      <c r="AL67" s="253"/>
      <c r="AM67" s="253"/>
      <c r="AN67" s="253"/>
      <c r="AO67" s="253"/>
      <c r="AP67" s="253"/>
      <c r="AQ67" s="253"/>
      <c r="AR67" s="253"/>
      <c r="AS67" s="253"/>
      <c r="AT67" s="253"/>
      <c r="AU67" s="253"/>
      <c r="AV67" s="253"/>
      <c r="AW67" s="253"/>
      <c r="AX67" s="253"/>
      <c r="AY67" s="253"/>
      <c r="AZ67" s="253"/>
      <c r="BA67" s="253"/>
      <c r="BB67" s="253"/>
      <c r="BC67" s="253"/>
      <c r="BD67" s="253"/>
      <c r="BE67" s="253"/>
      <c r="BF67" s="253"/>
      <c r="BG67" s="253"/>
      <c r="BH67" s="253"/>
      <c r="BI67" s="253"/>
      <c r="BJ67" s="263" t="str">
        <f>HYPERLINK("#일위대가목록!A25","_0022 →")</f>
        <v>_0022 →</v>
      </c>
    </row>
    <row r="68" spans="1:62" ht="24" customHeight="1">
      <c r="A68" s="256" t="s">
        <v>393</v>
      </c>
      <c r="B68" s="256" t="s">
        <v>395</v>
      </c>
      <c r="C68" s="264">
        <v>0.4</v>
      </c>
      <c r="D68" s="254" t="s">
        <v>16</v>
      </c>
      <c r="E68" s="258">
        <f>일위목록!E26</f>
        <v>0</v>
      </c>
      <c r="F68" s="258">
        <f t="shared" si="3"/>
        <v>0</v>
      </c>
      <c r="G68" s="258">
        <f>일위목록!F26</f>
        <v>0</v>
      </c>
      <c r="H68" s="258"/>
      <c r="I68" s="258"/>
      <c r="J68" s="258"/>
      <c r="K68" s="258"/>
      <c r="L68" s="258"/>
      <c r="M68" s="256"/>
      <c r="N68" s="253" t="s">
        <v>68</v>
      </c>
      <c r="O68" s="253"/>
      <c r="P68" s="253" t="s">
        <v>1115</v>
      </c>
      <c r="Q68" s="253" t="s">
        <v>68</v>
      </c>
      <c r="R68" s="253" t="s">
        <v>1165</v>
      </c>
      <c r="S68" s="253"/>
      <c r="T68" s="253" t="s">
        <v>1129</v>
      </c>
      <c r="U68" s="253"/>
      <c r="V68" s="253"/>
      <c r="W68" s="253"/>
      <c r="X68" s="253"/>
      <c r="Y68" s="253"/>
      <c r="Z68" s="253"/>
      <c r="AA68" s="253"/>
      <c r="AB68" s="253"/>
      <c r="AC68" s="253"/>
      <c r="AD68" s="253"/>
      <c r="AE68" s="253"/>
      <c r="AF68" s="253"/>
      <c r="AG68" s="253"/>
      <c r="AH68" s="253"/>
      <c r="AI68" s="253"/>
      <c r="AJ68" s="253"/>
      <c r="AK68" s="253"/>
      <c r="AL68" s="253"/>
      <c r="AM68" s="253"/>
      <c r="AN68" s="253"/>
      <c r="AO68" s="253"/>
      <c r="AP68" s="253"/>
      <c r="AQ68" s="253"/>
      <c r="AR68" s="253"/>
      <c r="AS68" s="253"/>
      <c r="AT68" s="253"/>
      <c r="AU68" s="253"/>
      <c r="AV68" s="253"/>
      <c r="AW68" s="253"/>
      <c r="AX68" s="253"/>
      <c r="AY68" s="253"/>
      <c r="AZ68" s="253"/>
      <c r="BA68" s="253"/>
      <c r="BB68" s="253"/>
      <c r="BC68" s="253"/>
      <c r="BD68" s="253"/>
      <c r="BE68" s="253"/>
      <c r="BF68" s="253"/>
      <c r="BG68" s="253"/>
      <c r="BH68" s="253"/>
      <c r="BI68" s="253"/>
      <c r="BJ68" s="263" t="str">
        <f>HYPERLINK("#일위대가목록!A26","_0023 →")</f>
        <v>_0023 →</v>
      </c>
    </row>
    <row r="69" spans="1:62" ht="24" customHeight="1">
      <c r="A69" s="256" t="s">
        <v>399</v>
      </c>
      <c r="B69" s="256" t="s">
        <v>1166</v>
      </c>
      <c r="C69" s="264">
        <v>26.8</v>
      </c>
      <c r="D69" s="254" t="s">
        <v>9</v>
      </c>
      <c r="E69" s="258">
        <f>일위목록!E27</f>
        <v>0</v>
      </c>
      <c r="F69" s="258">
        <f t="shared" si="3"/>
        <v>0</v>
      </c>
      <c r="G69" s="258">
        <f>일위목록!F27</f>
        <v>0</v>
      </c>
      <c r="H69" s="258"/>
      <c r="I69" s="258"/>
      <c r="J69" s="258"/>
      <c r="K69" s="258"/>
      <c r="L69" s="258"/>
      <c r="M69" s="256"/>
      <c r="N69" s="253" t="s">
        <v>68</v>
      </c>
      <c r="O69" s="253"/>
      <c r="P69" s="253" t="s">
        <v>1116</v>
      </c>
      <c r="Q69" s="253" t="s">
        <v>68</v>
      </c>
      <c r="R69" s="253" t="s">
        <v>1167</v>
      </c>
      <c r="S69" s="253"/>
      <c r="T69" s="253" t="s">
        <v>1129</v>
      </c>
      <c r="U69" s="253"/>
      <c r="V69" s="253"/>
      <c r="W69" s="253"/>
      <c r="X69" s="253"/>
      <c r="Y69" s="253"/>
      <c r="Z69" s="253"/>
      <c r="AA69" s="253"/>
      <c r="AB69" s="253"/>
      <c r="AC69" s="253"/>
      <c r="AD69" s="253"/>
      <c r="AE69" s="253"/>
      <c r="AF69" s="253"/>
      <c r="AG69" s="253"/>
      <c r="AH69" s="253"/>
      <c r="AI69" s="253"/>
      <c r="AJ69" s="253"/>
      <c r="AK69" s="253"/>
      <c r="AL69" s="253"/>
      <c r="AM69" s="253"/>
      <c r="AN69" s="253"/>
      <c r="AO69" s="253"/>
      <c r="AP69" s="253"/>
      <c r="AQ69" s="253"/>
      <c r="AR69" s="253"/>
      <c r="AS69" s="253"/>
      <c r="AT69" s="253"/>
      <c r="AU69" s="253"/>
      <c r="AV69" s="253"/>
      <c r="AW69" s="253"/>
      <c r="AX69" s="253"/>
      <c r="AY69" s="253"/>
      <c r="AZ69" s="253"/>
      <c r="BA69" s="253"/>
      <c r="BB69" s="253"/>
      <c r="BC69" s="253"/>
      <c r="BD69" s="253"/>
      <c r="BE69" s="253"/>
      <c r="BF69" s="253"/>
      <c r="BG69" s="253"/>
      <c r="BH69" s="253"/>
      <c r="BI69" s="253"/>
      <c r="BJ69" s="263" t="str">
        <f>HYPERLINK("#일위대가목록!A27","_0024 →")</f>
        <v>_0024 →</v>
      </c>
    </row>
    <row r="70" spans="1:62" ht="24" customHeight="1">
      <c r="A70" s="256" t="s">
        <v>1168</v>
      </c>
      <c r="B70" s="256" t="s">
        <v>1169</v>
      </c>
      <c r="C70" s="264">
        <v>0.14000000000000001</v>
      </c>
      <c r="D70" s="254" t="s">
        <v>15</v>
      </c>
      <c r="E70" s="258">
        <f>일위목록!E28</f>
        <v>0</v>
      </c>
      <c r="F70" s="258">
        <f t="shared" si="3"/>
        <v>0</v>
      </c>
      <c r="G70" s="258">
        <f>일위목록!F28</f>
        <v>0</v>
      </c>
      <c r="H70" s="258"/>
      <c r="I70" s="258"/>
      <c r="J70" s="258"/>
      <c r="K70" s="258"/>
      <c r="L70" s="258"/>
      <c r="M70" s="256"/>
      <c r="N70" s="253" t="s">
        <v>68</v>
      </c>
      <c r="O70" s="253"/>
      <c r="P70" s="253" t="s">
        <v>1120</v>
      </c>
      <c r="Q70" s="253" t="s">
        <v>68</v>
      </c>
      <c r="R70" s="253" t="s">
        <v>1170</v>
      </c>
      <c r="S70" s="253"/>
      <c r="T70" s="253" t="s">
        <v>1129</v>
      </c>
      <c r="U70" s="253"/>
      <c r="V70" s="253"/>
      <c r="W70" s="253"/>
      <c r="X70" s="253"/>
      <c r="Y70" s="253"/>
      <c r="Z70" s="253"/>
      <c r="AA70" s="253"/>
      <c r="AB70" s="253"/>
      <c r="AC70" s="253"/>
      <c r="AD70" s="253"/>
      <c r="AE70" s="253"/>
      <c r="AF70" s="253"/>
      <c r="AG70" s="253"/>
      <c r="AH70" s="253"/>
      <c r="AI70" s="253"/>
      <c r="AJ70" s="253"/>
      <c r="AK70" s="253"/>
      <c r="AL70" s="253"/>
      <c r="AM70" s="253"/>
      <c r="AN70" s="253"/>
      <c r="AO70" s="253"/>
      <c r="AP70" s="253"/>
      <c r="AQ70" s="253"/>
      <c r="AR70" s="253"/>
      <c r="AS70" s="253"/>
      <c r="AT70" s="253"/>
      <c r="AU70" s="253"/>
      <c r="AV70" s="253"/>
      <c r="AW70" s="253"/>
      <c r="AX70" s="253"/>
      <c r="AY70" s="253"/>
      <c r="AZ70" s="253"/>
      <c r="BA70" s="253"/>
      <c r="BB70" s="253"/>
      <c r="BC70" s="253"/>
      <c r="BD70" s="253"/>
      <c r="BE70" s="253"/>
      <c r="BF70" s="253"/>
      <c r="BG70" s="253"/>
      <c r="BH70" s="253"/>
      <c r="BI70" s="253"/>
      <c r="BJ70" s="263" t="str">
        <f>HYPERLINK("#일위대가목록!A28","_0025 →")</f>
        <v>_0025 →</v>
      </c>
    </row>
    <row r="71" spans="1:62" ht="24" customHeight="1">
      <c r="A71" s="256" t="s">
        <v>1171</v>
      </c>
      <c r="B71" s="256" t="s">
        <v>1172</v>
      </c>
      <c r="C71" s="264">
        <v>1.95</v>
      </c>
      <c r="D71" s="254" t="s">
        <v>16</v>
      </c>
      <c r="E71" s="258">
        <f>일위목록!E29</f>
        <v>0</v>
      </c>
      <c r="F71" s="258">
        <f t="shared" si="3"/>
        <v>0</v>
      </c>
      <c r="G71" s="258">
        <f>일위목록!F29</f>
        <v>0</v>
      </c>
      <c r="H71" s="258"/>
      <c r="I71" s="258"/>
      <c r="J71" s="258"/>
      <c r="K71" s="258"/>
      <c r="L71" s="258"/>
      <c r="M71" s="256"/>
      <c r="N71" s="253" t="s">
        <v>68</v>
      </c>
      <c r="O71" s="253"/>
      <c r="P71" s="253" t="s">
        <v>1173</v>
      </c>
      <c r="Q71" s="253" t="s">
        <v>68</v>
      </c>
      <c r="R71" s="253" t="s">
        <v>1174</v>
      </c>
      <c r="S71" s="253"/>
      <c r="T71" s="253" t="s">
        <v>1129</v>
      </c>
      <c r="U71" s="253"/>
      <c r="V71" s="253"/>
      <c r="W71" s="253"/>
      <c r="X71" s="253"/>
      <c r="Y71" s="253"/>
      <c r="Z71" s="253"/>
      <c r="AA71" s="253"/>
      <c r="AB71" s="253"/>
      <c r="AC71" s="253"/>
      <c r="AD71" s="253"/>
      <c r="AE71" s="253"/>
      <c r="AF71" s="253"/>
      <c r="AG71" s="253"/>
      <c r="AH71" s="253"/>
      <c r="AI71" s="253"/>
      <c r="AJ71" s="253"/>
      <c r="AK71" s="253"/>
      <c r="AL71" s="253"/>
      <c r="AM71" s="253"/>
      <c r="AN71" s="253"/>
      <c r="AO71" s="253"/>
      <c r="AP71" s="253"/>
      <c r="AQ71" s="253"/>
      <c r="AR71" s="253"/>
      <c r="AS71" s="253"/>
      <c r="AT71" s="253"/>
      <c r="AU71" s="253"/>
      <c r="AV71" s="253"/>
      <c r="AW71" s="253"/>
      <c r="AX71" s="253"/>
      <c r="AY71" s="253"/>
      <c r="AZ71" s="253"/>
      <c r="BA71" s="253"/>
      <c r="BB71" s="253"/>
      <c r="BC71" s="253"/>
      <c r="BD71" s="253"/>
      <c r="BE71" s="253"/>
      <c r="BF71" s="253"/>
      <c r="BG71" s="253"/>
      <c r="BH71" s="253"/>
      <c r="BI71" s="253"/>
      <c r="BJ71" s="263" t="str">
        <f>HYPERLINK("#일위대가목록!A29","ZZ64 →")</f>
        <v>ZZ64 →</v>
      </c>
    </row>
    <row r="72" spans="1:62" ht="24" customHeight="1">
      <c r="A72" s="256" t="s">
        <v>68</v>
      </c>
      <c r="B72" s="256" t="s">
        <v>68</v>
      </c>
      <c r="C72" s="264"/>
      <c r="D72" s="254" t="s">
        <v>68</v>
      </c>
      <c r="E72" s="254"/>
      <c r="F72" s="258">
        <v>0</v>
      </c>
      <c r="G72" s="254"/>
      <c r="H72" s="258"/>
      <c r="I72" s="254"/>
      <c r="J72" s="258"/>
      <c r="K72" s="258"/>
      <c r="L72" s="258"/>
      <c r="M72" s="256"/>
      <c r="N72" s="253" t="s">
        <v>68</v>
      </c>
      <c r="O72" s="253"/>
      <c r="P72" s="253" t="s">
        <v>1175</v>
      </c>
      <c r="Q72" s="253" t="s">
        <v>68</v>
      </c>
      <c r="R72" s="253" t="s">
        <v>68</v>
      </c>
      <c r="S72" s="253"/>
      <c r="T72" s="253"/>
      <c r="U72" s="253"/>
      <c r="V72" s="253"/>
      <c r="W72" s="253"/>
      <c r="X72" s="253"/>
      <c r="Y72" s="253"/>
      <c r="Z72" s="253"/>
      <c r="AA72" s="253"/>
      <c r="AB72" s="253"/>
      <c r="AC72" s="253"/>
      <c r="AD72" s="253"/>
      <c r="AE72" s="253"/>
      <c r="AF72" s="253"/>
      <c r="AG72" s="253"/>
      <c r="AH72" s="253"/>
      <c r="AI72" s="253"/>
      <c r="AJ72" s="253"/>
      <c r="AK72" s="253"/>
      <c r="AL72" s="253"/>
      <c r="AM72" s="253"/>
      <c r="AN72" s="253"/>
      <c r="AO72" s="253"/>
      <c r="AP72" s="253"/>
      <c r="AQ72" s="253"/>
      <c r="AR72" s="253"/>
      <c r="AS72" s="253"/>
      <c r="AT72" s="253"/>
      <c r="AU72" s="253"/>
      <c r="AV72" s="253"/>
      <c r="AW72" s="253"/>
      <c r="AX72" s="253"/>
      <c r="AY72" s="253"/>
      <c r="AZ72" s="253"/>
      <c r="BA72" s="253"/>
      <c r="BB72" s="253"/>
      <c r="BC72" s="253"/>
      <c r="BD72" s="253"/>
      <c r="BE72" s="253"/>
      <c r="BF72" s="253"/>
      <c r="BG72" s="253"/>
      <c r="BH72" s="253"/>
      <c r="BI72" s="253"/>
      <c r="BJ72" s="253"/>
    </row>
    <row r="73" spans="1:62" ht="24" customHeight="1">
      <c r="A73" s="269" t="s">
        <v>1141</v>
      </c>
      <c r="B73" s="269" t="s">
        <v>68</v>
      </c>
      <c r="C73" s="270">
        <v>1</v>
      </c>
      <c r="D73" s="271" t="s">
        <v>1094</v>
      </c>
      <c r="E73" s="271"/>
      <c r="F73" s="272">
        <f>TRUNC(F74+F75+F76,0)</f>
        <v>0</v>
      </c>
      <c r="G73" s="271"/>
      <c r="H73" s="272"/>
      <c r="I73" s="271"/>
      <c r="J73" s="272"/>
      <c r="K73" s="271"/>
      <c r="L73" s="272"/>
      <c r="M73" s="269"/>
      <c r="N73" s="253" t="s">
        <v>68</v>
      </c>
      <c r="O73" s="253" t="s">
        <v>1142</v>
      </c>
      <c r="P73" s="253"/>
      <c r="Q73" s="253"/>
      <c r="R73" s="253"/>
      <c r="S73" s="253"/>
      <c r="T73" s="253"/>
      <c r="U73" s="253"/>
      <c r="V73" s="253"/>
      <c r="W73" s="253"/>
      <c r="X73" s="253"/>
      <c r="Y73" s="253"/>
      <c r="Z73" s="253"/>
      <c r="AA73" s="253"/>
      <c r="AB73" s="253"/>
      <c r="AC73" s="253"/>
      <c r="AD73" s="253"/>
      <c r="AE73" s="253"/>
      <c r="AF73" s="253"/>
      <c r="AG73" s="253"/>
      <c r="AH73" s="253"/>
      <c r="AI73" s="253"/>
      <c r="AJ73" s="253"/>
      <c r="AK73" s="253"/>
      <c r="AL73" s="253"/>
      <c r="AM73" s="253"/>
      <c r="AN73" s="253"/>
      <c r="AO73" s="253"/>
      <c r="AP73" s="253"/>
      <c r="AQ73" s="253"/>
      <c r="AR73" s="253"/>
      <c r="AS73" s="253"/>
      <c r="AT73" s="253"/>
      <c r="AU73" s="253"/>
      <c r="AV73" s="253"/>
      <c r="AW73" s="253"/>
      <c r="AX73" s="253"/>
      <c r="AY73" s="253"/>
      <c r="AZ73" s="253"/>
      <c r="BA73" s="253"/>
      <c r="BB73" s="253"/>
      <c r="BC73" s="253"/>
      <c r="BD73" s="253"/>
      <c r="BE73" s="253"/>
      <c r="BF73" s="253"/>
      <c r="BG73" s="253"/>
      <c r="BH73" s="253"/>
      <c r="BI73" s="253"/>
      <c r="BJ73" s="253"/>
    </row>
    <row r="74" spans="1:62" ht="24" customHeight="1">
      <c r="A74" s="256" t="s">
        <v>1176</v>
      </c>
      <c r="B74" s="256" t="s">
        <v>1177</v>
      </c>
      <c r="C74" s="264">
        <v>30.45</v>
      </c>
      <c r="D74" s="254" t="s">
        <v>9</v>
      </c>
      <c r="E74" s="258">
        <f>일위목록!E30</f>
        <v>0</v>
      </c>
      <c r="F74" s="258">
        <f>TRUNC(E74*C74,0)</f>
        <v>0</v>
      </c>
      <c r="G74" s="258">
        <f>일위목록!F30</f>
        <v>0</v>
      </c>
      <c r="H74" s="258"/>
      <c r="I74" s="258"/>
      <c r="J74" s="258"/>
      <c r="K74" s="258"/>
      <c r="L74" s="258"/>
      <c r="M74" s="256"/>
      <c r="N74" s="253" t="s">
        <v>68</v>
      </c>
      <c r="O74" s="253"/>
      <c r="P74" s="253" t="s">
        <v>1095</v>
      </c>
      <c r="Q74" s="253" t="s">
        <v>68</v>
      </c>
      <c r="R74" s="253" t="s">
        <v>1178</v>
      </c>
      <c r="S74" s="253"/>
      <c r="T74" s="253" t="s">
        <v>1129</v>
      </c>
      <c r="U74" s="253"/>
      <c r="V74" s="253"/>
      <c r="W74" s="253"/>
      <c r="X74" s="253"/>
      <c r="Y74" s="253"/>
      <c r="Z74" s="253"/>
      <c r="AA74" s="253"/>
      <c r="AB74" s="253"/>
      <c r="AC74" s="253"/>
      <c r="AD74" s="253"/>
      <c r="AE74" s="253"/>
      <c r="AF74" s="253"/>
      <c r="AG74" s="253"/>
      <c r="AH74" s="253"/>
      <c r="AI74" s="253"/>
      <c r="AJ74" s="253"/>
      <c r="AK74" s="253"/>
      <c r="AL74" s="253"/>
      <c r="AM74" s="253"/>
      <c r="AN74" s="253"/>
      <c r="AO74" s="253"/>
      <c r="AP74" s="253"/>
      <c r="AQ74" s="253"/>
      <c r="AR74" s="253"/>
      <c r="AS74" s="253"/>
      <c r="AT74" s="253"/>
      <c r="AU74" s="253"/>
      <c r="AV74" s="253"/>
      <c r="AW74" s="253"/>
      <c r="AX74" s="253"/>
      <c r="AY74" s="253"/>
      <c r="AZ74" s="253"/>
      <c r="BA74" s="253"/>
      <c r="BB74" s="253"/>
      <c r="BC74" s="253"/>
      <c r="BD74" s="253"/>
      <c r="BE74" s="253"/>
      <c r="BF74" s="253"/>
      <c r="BG74" s="253"/>
      <c r="BH74" s="253"/>
      <c r="BI74" s="253"/>
      <c r="BJ74" s="263" t="str">
        <f>HYPERLINK("#일위대가목록!A30","_0026 →")</f>
        <v>_0026 →</v>
      </c>
    </row>
    <row r="75" spans="1:62" ht="24" customHeight="1">
      <c r="A75" s="256" t="s">
        <v>1179</v>
      </c>
      <c r="B75" s="256" t="s">
        <v>1180</v>
      </c>
      <c r="C75" s="257">
        <v>1</v>
      </c>
      <c r="D75" s="254" t="s">
        <v>378</v>
      </c>
      <c r="E75" s="258">
        <f>일위목록!E31</f>
        <v>0</v>
      </c>
      <c r="F75" s="258">
        <f>TRUNC(E75*C75,0)</f>
        <v>0</v>
      </c>
      <c r="G75" s="258">
        <f>일위목록!F31</f>
        <v>0</v>
      </c>
      <c r="H75" s="258"/>
      <c r="I75" s="258"/>
      <c r="J75" s="258"/>
      <c r="K75" s="258"/>
      <c r="L75" s="258"/>
      <c r="M75" s="256"/>
      <c r="N75" s="253" t="s">
        <v>68</v>
      </c>
      <c r="O75" s="253"/>
      <c r="P75" s="253" t="s">
        <v>1098</v>
      </c>
      <c r="Q75" s="253" t="s">
        <v>68</v>
      </c>
      <c r="R75" s="253" t="s">
        <v>1181</v>
      </c>
      <c r="S75" s="253"/>
      <c r="T75" s="253" t="s">
        <v>1129</v>
      </c>
      <c r="U75" s="253"/>
      <c r="V75" s="253"/>
      <c r="W75" s="253"/>
      <c r="X75" s="253"/>
      <c r="Y75" s="253"/>
      <c r="Z75" s="253"/>
      <c r="AA75" s="253"/>
      <c r="AB75" s="253"/>
      <c r="AC75" s="253"/>
      <c r="AD75" s="253"/>
      <c r="AE75" s="253"/>
      <c r="AF75" s="253"/>
      <c r="AG75" s="253"/>
      <c r="AH75" s="253"/>
      <c r="AI75" s="253"/>
      <c r="AJ75" s="253"/>
      <c r="AK75" s="253"/>
      <c r="AL75" s="253"/>
      <c r="AM75" s="253"/>
      <c r="AN75" s="253"/>
      <c r="AO75" s="253"/>
      <c r="AP75" s="253"/>
      <c r="AQ75" s="253"/>
      <c r="AR75" s="253"/>
      <c r="AS75" s="253"/>
      <c r="AT75" s="253"/>
      <c r="AU75" s="253"/>
      <c r="AV75" s="253"/>
      <c r="AW75" s="253"/>
      <c r="AX75" s="253"/>
      <c r="AY75" s="253"/>
      <c r="AZ75" s="253"/>
      <c r="BA75" s="253"/>
      <c r="BB75" s="253"/>
      <c r="BC75" s="253"/>
      <c r="BD75" s="253"/>
      <c r="BE75" s="253"/>
      <c r="BF75" s="253"/>
      <c r="BG75" s="253"/>
      <c r="BH75" s="253"/>
      <c r="BI75" s="253"/>
      <c r="BJ75" s="263" t="str">
        <f>HYPERLINK("#일위대가목록!A31","_0027 →")</f>
        <v>_0027 →</v>
      </c>
    </row>
    <row r="76" spans="1:62" ht="24" customHeight="1">
      <c r="A76" s="256" t="s">
        <v>1182</v>
      </c>
      <c r="B76" s="256" t="s">
        <v>1183</v>
      </c>
      <c r="C76" s="257">
        <v>1</v>
      </c>
      <c r="D76" s="254" t="s">
        <v>437</v>
      </c>
      <c r="E76" s="258">
        <f>일위목록!E32</f>
        <v>0</v>
      </c>
      <c r="F76" s="258">
        <f>TRUNC(E76*C76,0)</f>
        <v>0</v>
      </c>
      <c r="G76" s="258">
        <f>일위목록!F32</f>
        <v>0</v>
      </c>
      <c r="H76" s="258"/>
      <c r="I76" s="258"/>
      <c r="J76" s="258"/>
      <c r="K76" s="258"/>
      <c r="L76" s="258"/>
      <c r="M76" s="256"/>
      <c r="N76" s="253" t="s">
        <v>68</v>
      </c>
      <c r="O76" s="253"/>
      <c r="P76" s="253" t="s">
        <v>1104</v>
      </c>
      <c r="Q76" s="253" t="s">
        <v>68</v>
      </c>
      <c r="R76" s="253" t="s">
        <v>1184</v>
      </c>
      <c r="S76" s="253"/>
      <c r="T76" s="253" t="s">
        <v>1129</v>
      </c>
      <c r="U76" s="253"/>
      <c r="V76" s="253"/>
      <c r="W76" s="253"/>
      <c r="X76" s="253"/>
      <c r="Y76" s="253"/>
      <c r="Z76" s="253"/>
      <c r="AA76" s="253"/>
      <c r="AB76" s="253"/>
      <c r="AC76" s="253"/>
      <c r="AD76" s="253"/>
      <c r="AE76" s="253"/>
      <c r="AF76" s="253"/>
      <c r="AG76" s="253"/>
      <c r="AH76" s="253"/>
      <c r="AI76" s="253"/>
      <c r="AJ76" s="253"/>
      <c r="AK76" s="253"/>
      <c r="AL76" s="253"/>
      <c r="AM76" s="253"/>
      <c r="AN76" s="253"/>
      <c r="AO76" s="253"/>
      <c r="AP76" s="253"/>
      <c r="AQ76" s="253"/>
      <c r="AR76" s="253"/>
      <c r="AS76" s="253"/>
      <c r="AT76" s="253"/>
      <c r="AU76" s="253"/>
      <c r="AV76" s="253"/>
      <c r="AW76" s="253"/>
      <c r="AX76" s="253"/>
      <c r="AY76" s="253"/>
      <c r="AZ76" s="253"/>
      <c r="BA76" s="253"/>
      <c r="BB76" s="253"/>
      <c r="BC76" s="253"/>
      <c r="BD76" s="253"/>
      <c r="BE76" s="253"/>
      <c r="BF76" s="253"/>
      <c r="BG76" s="253"/>
      <c r="BH76" s="253"/>
      <c r="BI76" s="253"/>
      <c r="BJ76" s="263" t="str">
        <f>HYPERLINK("#일위대가목록!A32","_0030 →")</f>
        <v>_0030 →</v>
      </c>
    </row>
    <row r="77" spans="1:62" ht="24" customHeight="1">
      <c r="A77" s="256" t="s">
        <v>68</v>
      </c>
      <c r="B77" s="256" t="s">
        <v>68</v>
      </c>
      <c r="C77" s="264"/>
      <c r="D77" s="254" t="s">
        <v>68</v>
      </c>
      <c r="E77" s="254"/>
      <c r="F77" s="258">
        <v>0</v>
      </c>
      <c r="G77" s="254"/>
      <c r="H77" s="258"/>
      <c r="I77" s="254"/>
      <c r="J77" s="258"/>
      <c r="K77" s="258"/>
      <c r="L77" s="258"/>
      <c r="M77" s="256"/>
      <c r="N77" s="253" t="s">
        <v>68</v>
      </c>
      <c r="O77" s="253"/>
      <c r="P77" s="253" t="s">
        <v>1107</v>
      </c>
      <c r="Q77" s="253" t="s">
        <v>68</v>
      </c>
      <c r="R77" s="253" t="s">
        <v>68</v>
      </c>
      <c r="S77" s="253"/>
      <c r="T77" s="253"/>
      <c r="U77" s="253"/>
      <c r="V77" s="253"/>
      <c r="W77" s="253"/>
      <c r="X77" s="253"/>
      <c r="Y77" s="253"/>
      <c r="Z77" s="253"/>
      <c r="AA77" s="253"/>
      <c r="AB77" s="253"/>
      <c r="AC77" s="253"/>
      <c r="AD77" s="253"/>
      <c r="AE77" s="253"/>
      <c r="AF77" s="253"/>
      <c r="AG77" s="253"/>
      <c r="AH77" s="253"/>
      <c r="AI77" s="253"/>
      <c r="AJ77" s="253"/>
      <c r="AK77" s="253"/>
      <c r="AL77" s="253"/>
      <c r="AM77" s="253"/>
      <c r="AN77" s="253"/>
      <c r="AO77" s="253"/>
      <c r="AP77" s="253"/>
      <c r="AQ77" s="253"/>
      <c r="AR77" s="253"/>
      <c r="AS77" s="253"/>
      <c r="AT77" s="253"/>
      <c r="AU77" s="253"/>
      <c r="AV77" s="253"/>
      <c r="AW77" s="253"/>
      <c r="AX77" s="253"/>
      <c r="AY77" s="253"/>
      <c r="AZ77" s="253"/>
      <c r="BA77" s="253"/>
      <c r="BB77" s="253"/>
      <c r="BC77" s="253"/>
      <c r="BD77" s="253"/>
      <c r="BE77" s="253"/>
      <c r="BF77" s="253"/>
      <c r="BG77" s="253"/>
      <c r="BH77" s="253"/>
      <c r="BI77" s="253"/>
      <c r="BJ77" s="253"/>
    </row>
    <row r="78" spans="1:62" ht="24" customHeight="1">
      <c r="A78" s="269" t="s">
        <v>1143</v>
      </c>
      <c r="B78" s="269" t="s">
        <v>68</v>
      </c>
      <c r="C78" s="270">
        <v>1</v>
      </c>
      <c r="D78" s="271" t="s">
        <v>1094</v>
      </c>
      <c r="E78" s="271"/>
      <c r="F78" s="272">
        <f>TRUNC(F79+F80+F81+F82+F83+F84+F85+F86+F87+F88+F89+F90+F91+F92+F93+F94+F95+F96,0)</f>
        <v>0</v>
      </c>
      <c r="G78" s="271"/>
      <c r="H78" s="272"/>
      <c r="I78" s="271"/>
      <c r="J78" s="272"/>
      <c r="K78" s="271"/>
      <c r="L78" s="272"/>
      <c r="M78" s="269"/>
      <c r="N78" s="253" t="s">
        <v>68</v>
      </c>
      <c r="O78" s="253" t="s">
        <v>1144</v>
      </c>
      <c r="P78" s="253"/>
      <c r="Q78" s="253"/>
      <c r="R78" s="253"/>
      <c r="S78" s="253"/>
      <c r="T78" s="253"/>
      <c r="U78" s="253"/>
      <c r="V78" s="253"/>
      <c r="W78" s="253"/>
      <c r="X78" s="253"/>
      <c r="Y78" s="253"/>
      <c r="Z78" s="253"/>
      <c r="AA78" s="253"/>
      <c r="AB78" s="253"/>
      <c r="AC78" s="253"/>
      <c r="AD78" s="253"/>
      <c r="AE78" s="253"/>
      <c r="AF78" s="253"/>
      <c r="AG78" s="253"/>
      <c r="AH78" s="253"/>
      <c r="AI78" s="253"/>
      <c r="AJ78" s="253"/>
      <c r="AK78" s="253"/>
      <c r="AL78" s="253"/>
      <c r="AM78" s="253"/>
      <c r="AN78" s="253"/>
      <c r="AO78" s="253"/>
      <c r="AP78" s="253"/>
      <c r="AQ78" s="253"/>
      <c r="AR78" s="253"/>
      <c r="AS78" s="253"/>
      <c r="AT78" s="253"/>
      <c r="AU78" s="253"/>
      <c r="AV78" s="253"/>
      <c r="AW78" s="253"/>
      <c r="AX78" s="253"/>
      <c r="AY78" s="253"/>
      <c r="AZ78" s="253"/>
      <c r="BA78" s="253"/>
      <c r="BB78" s="253"/>
      <c r="BC78" s="253"/>
      <c r="BD78" s="253"/>
      <c r="BE78" s="253"/>
      <c r="BF78" s="253"/>
      <c r="BG78" s="253"/>
      <c r="BH78" s="253"/>
      <c r="BI78" s="253"/>
      <c r="BJ78" s="253"/>
    </row>
    <row r="79" spans="1:62" ht="24" customHeight="1">
      <c r="A79" s="256" t="s">
        <v>1185</v>
      </c>
      <c r="B79" s="256" t="s">
        <v>1186</v>
      </c>
      <c r="C79" s="257">
        <v>1</v>
      </c>
      <c r="D79" s="254" t="s">
        <v>437</v>
      </c>
      <c r="E79" s="258">
        <f>일위목록!E33</f>
        <v>0</v>
      </c>
      <c r="F79" s="258">
        <f t="shared" ref="F79:F96" si="7">TRUNC(E79*C79,0)</f>
        <v>0</v>
      </c>
      <c r="G79" s="258">
        <f>일위목록!F33</f>
        <v>0</v>
      </c>
      <c r="H79" s="258"/>
      <c r="I79" s="258"/>
      <c r="J79" s="258"/>
      <c r="K79" s="258"/>
      <c r="L79" s="258"/>
      <c r="M79" s="256"/>
      <c r="N79" s="253" t="s">
        <v>68</v>
      </c>
      <c r="O79" s="253"/>
      <c r="P79" s="253" t="s">
        <v>1095</v>
      </c>
      <c r="Q79" s="253" t="s">
        <v>68</v>
      </c>
      <c r="R79" s="253" t="s">
        <v>1187</v>
      </c>
      <c r="S79" s="253"/>
      <c r="T79" s="253" t="s">
        <v>1129</v>
      </c>
      <c r="U79" s="253"/>
      <c r="V79" s="253"/>
      <c r="W79" s="253"/>
      <c r="X79" s="253"/>
      <c r="Y79" s="253"/>
      <c r="Z79" s="253"/>
      <c r="AA79" s="253"/>
      <c r="AB79" s="253"/>
      <c r="AC79" s="253"/>
      <c r="AD79" s="253"/>
      <c r="AE79" s="253"/>
      <c r="AF79" s="253"/>
      <c r="AG79" s="253"/>
      <c r="AH79" s="253"/>
      <c r="AI79" s="253"/>
      <c r="AJ79" s="253"/>
      <c r="AK79" s="253"/>
      <c r="AL79" s="253"/>
      <c r="AM79" s="253"/>
      <c r="AN79" s="253"/>
      <c r="AO79" s="253"/>
      <c r="AP79" s="253"/>
      <c r="AQ79" s="253"/>
      <c r="AR79" s="253"/>
      <c r="AS79" s="253"/>
      <c r="AT79" s="253"/>
      <c r="AU79" s="253"/>
      <c r="AV79" s="253"/>
      <c r="AW79" s="253"/>
      <c r="AX79" s="253"/>
      <c r="AY79" s="253"/>
      <c r="AZ79" s="253"/>
      <c r="BA79" s="253"/>
      <c r="BB79" s="253"/>
      <c r="BC79" s="253"/>
      <c r="BD79" s="253"/>
      <c r="BE79" s="253"/>
      <c r="BF79" s="253"/>
      <c r="BG79" s="253"/>
      <c r="BH79" s="253"/>
      <c r="BI79" s="253"/>
      <c r="BJ79" s="263" t="str">
        <f>HYPERLINK("#일위대가목록!A33","_0031 →")</f>
        <v>_0031 →</v>
      </c>
    </row>
    <row r="80" spans="1:62" ht="24" customHeight="1">
      <c r="A80" s="256" t="s">
        <v>1185</v>
      </c>
      <c r="B80" s="256" t="s">
        <v>1188</v>
      </c>
      <c r="C80" s="257">
        <v>1</v>
      </c>
      <c r="D80" s="254" t="s">
        <v>437</v>
      </c>
      <c r="E80" s="258">
        <f>일위목록!E34</f>
        <v>0</v>
      </c>
      <c r="F80" s="258">
        <f t="shared" si="7"/>
        <v>0</v>
      </c>
      <c r="G80" s="258">
        <f>일위목록!F34</f>
        <v>0</v>
      </c>
      <c r="H80" s="258"/>
      <c r="I80" s="258"/>
      <c r="J80" s="258"/>
      <c r="K80" s="258"/>
      <c r="L80" s="258"/>
      <c r="M80" s="256"/>
      <c r="N80" s="253" t="s">
        <v>68</v>
      </c>
      <c r="O80" s="253"/>
      <c r="P80" s="253" t="s">
        <v>1098</v>
      </c>
      <c r="Q80" s="253" t="s">
        <v>68</v>
      </c>
      <c r="R80" s="253" t="s">
        <v>1189</v>
      </c>
      <c r="S80" s="253"/>
      <c r="T80" s="253" t="s">
        <v>1129</v>
      </c>
      <c r="U80" s="253"/>
      <c r="V80" s="253"/>
      <c r="W80" s="253"/>
      <c r="X80" s="253"/>
      <c r="Y80" s="253"/>
      <c r="Z80" s="253"/>
      <c r="AA80" s="253"/>
      <c r="AB80" s="253"/>
      <c r="AC80" s="253"/>
      <c r="AD80" s="253"/>
      <c r="AE80" s="253"/>
      <c r="AF80" s="253"/>
      <c r="AG80" s="253"/>
      <c r="AH80" s="253"/>
      <c r="AI80" s="253"/>
      <c r="AJ80" s="253"/>
      <c r="AK80" s="253"/>
      <c r="AL80" s="253"/>
      <c r="AM80" s="253"/>
      <c r="AN80" s="253"/>
      <c r="AO80" s="253"/>
      <c r="AP80" s="253"/>
      <c r="AQ80" s="253"/>
      <c r="AR80" s="253"/>
      <c r="AS80" s="253"/>
      <c r="AT80" s="253"/>
      <c r="AU80" s="253"/>
      <c r="AV80" s="253"/>
      <c r="AW80" s="253"/>
      <c r="AX80" s="253"/>
      <c r="AY80" s="253"/>
      <c r="AZ80" s="253"/>
      <c r="BA80" s="253"/>
      <c r="BB80" s="253"/>
      <c r="BC80" s="253"/>
      <c r="BD80" s="253"/>
      <c r="BE80" s="253"/>
      <c r="BF80" s="253"/>
      <c r="BG80" s="253"/>
      <c r="BH80" s="253"/>
      <c r="BI80" s="253"/>
      <c r="BJ80" s="263" t="str">
        <f>HYPERLINK("#일위대가목록!A34","_0032 →")</f>
        <v>_0032 →</v>
      </c>
    </row>
    <row r="81" spans="1:62" ht="24" customHeight="1">
      <c r="A81" s="256" t="s">
        <v>1190</v>
      </c>
      <c r="B81" s="256" t="s">
        <v>1191</v>
      </c>
      <c r="C81" s="257">
        <v>1</v>
      </c>
      <c r="D81" s="254" t="s">
        <v>437</v>
      </c>
      <c r="E81" s="258">
        <f>일위목록!E35</f>
        <v>0</v>
      </c>
      <c r="F81" s="258">
        <f t="shared" si="7"/>
        <v>0</v>
      </c>
      <c r="G81" s="258">
        <f>일위목록!F35</f>
        <v>0</v>
      </c>
      <c r="H81" s="258"/>
      <c r="I81" s="258"/>
      <c r="J81" s="258"/>
      <c r="K81" s="258"/>
      <c r="L81" s="258"/>
      <c r="M81" s="256"/>
      <c r="N81" s="253" t="s">
        <v>68</v>
      </c>
      <c r="O81" s="253"/>
      <c r="P81" s="253" t="s">
        <v>1101</v>
      </c>
      <c r="Q81" s="253" t="s">
        <v>68</v>
      </c>
      <c r="R81" s="253" t="s">
        <v>1192</v>
      </c>
      <c r="S81" s="253"/>
      <c r="T81" s="253" t="s">
        <v>1129</v>
      </c>
      <c r="U81" s="253"/>
      <c r="V81" s="253"/>
      <c r="W81" s="253"/>
      <c r="X81" s="253"/>
      <c r="Y81" s="253"/>
      <c r="Z81" s="253"/>
      <c r="AA81" s="253"/>
      <c r="AB81" s="253"/>
      <c r="AC81" s="253"/>
      <c r="AD81" s="253"/>
      <c r="AE81" s="253"/>
      <c r="AF81" s="253"/>
      <c r="AG81" s="253"/>
      <c r="AH81" s="253"/>
      <c r="AI81" s="253"/>
      <c r="AJ81" s="253"/>
      <c r="AK81" s="253"/>
      <c r="AL81" s="253"/>
      <c r="AM81" s="253"/>
      <c r="AN81" s="253"/>
      <c r="AO81" s="253"/>
      <c r="AP81" s="253"/>
      <c r="AQ81" s="253"/>
      <c r="AR81" s="253"/>
      <c r="AS81" s="253"/>
      <c r="AT81" s="253"/>
      <c r="AU81" s="253"/>
      <c r="AV81" s="253"/>
      <c r="AW81" s="253"/>
      <c r="AX81" s="253"/>
      <c r="AY81" s="253"/>
      <c r="AZ81" s="253"/>
      <c r="BA81" s="253"/>
      <c r="BB81" s="253"/>
      <c r="BC81" s="253"/>
      <c r="BD81" s="253"/>
      <c r="BE81" s="253"/>
      <c r="BF81" s="253"/>
      <c r="BG81" s="253"/>
      <c r="BH81" s="253"/>
      <c r="BI81" s="253"/>
      <c r="BJ81" s="263" t="str">
        <f>HYPERLINK("#일위대가목록!A35","_0033 →")</f>
        <v>_0033 →</v>
      </c>
    </row>
    <row r="82" spans="1:62" ht="24" customHeight="1">
      <c r="A82" s="256" t="s">
        <v>1190</v>
      </c>
      <c r="B82" s="256" t="s">
        <v>1193</v>
      </c>
      <c r="C82" s="257">
        <v>2</v>
      </c>
      <c r="D82" s="254" t="s">
        <v>437</v>
      </c>
      <c r="E82" s="258">
        <f>일위목록!E36</f>
        <v>0</v>
      </c>
      <c r="F82" s="258">
        <f t="shared" si="7"/>
        <v>0</v>
      </c>
      <c r="G82" s="258">
        <f>일위목록!F36</f>
        <v>0</v>
      </c>
      <c r="H82" s="258"/>
      <c r="I82" s="258"/>
      <c r="J82" s="258"/>
      <c r="K82" s="258"/>
      <c r="L82" s="258"/>
      <c r="M82" s="256"/>
      <c r="N82" s="253" t="s">
        <v>68</v>
      </c>
      <c r="O82" s="253"/>
      <c r="P82" s="253" t="s">
        <v>1104</v>
      </c>
      <c r="Q82" s="253" t="s">
        <v>68</v>
      </c>
      <c r="R82" s="253" t="s">
        <v>1194</v>
      </c>
      <c r="S82" s="253"/>
      <c r="T82" s="253" t="s">
        <v>1129</v>
      </c>
      <c r="U82" s="253"/>
      <c r="V82" s="253"/>
      <c r="W82" s="253"/>
      <c r="X82" s="253"/>
      <c r="Y82" s="253"/>
      <c r="Z82" s="253"/>
      <c r="AA82" s="253"/>
      <c r="AB82" s="253"/>
      <c r="AC82" s="253"/>
      <c r="AD82" s="253"/>
      <c r="AE82" s="253"/>
      <c r="AF82" s="253"/>
      <c r="AG82" s="253"/>
      <c r="AH82" s="253"/>
      <c r="AI82" s="253"/>
      <c r="AJ82" s="253"/>
      <c r="AK82" s="253"/>
      <c r="AL82" s="253"/>
      <c r="AM82" s="253"/>
      <c r="AN82" s="253"/>
      <c r="AO82" s="253"/>
      <c r="AP82" s="253"/>
      <c r="AQ82" s="253"/>
      <c r="AR82" s="253"/>
      <c r="AS82" s="253"/>
      <c r="AT82" s="253"/>
      <c r="AU82" s="253"/>
      <c r="AV82" s="253"/>
      <c r="AW82" s="253"/>
      <c r="AX82" s="253"/>
      <c r="AY82" s="253"/>
      <c r="AZ82" s="253"/>
      <c r="BA82" s="253"/>
      <c r="BB82" s="253"/>
      <c r="BC82" s="253"/>
      <c r="BD82" s="253"/>
      <c r="BE82" s="253"/>
      <c r="BF82" s="253"/>
      <c r="BG82" s="253"/>
      <c r="BH82" s="253"/>
      <c r="BI82" s="253"/>
      <c r="BJ82" s="263" t="str">
        <f>HYPERLINK("#일위대가목록!A36","_0034 →")</f>
        <v>_0034 →</v>
      </c>
    </row>
    <row r="83" spans="1:62" ht="24" customHeight="1">
      <c r="A83" s="256" t="s">
        <v>1190</v>
      </c>
      <c r="B83" s="256" t="s">
        <v>1195</v>
      </c>
      <c r="C83" s="257">
        <v>1</v>
      </c>
      <c r="D83" s="254" t="s">
        <v>437</v>
      </c>
      <c r="E83" s="258">
        <f>일위목록!E37</f>
        <v>0</v>
      </c>
      <c r="F83" s="258">
        <f t="shared" si="7"/>
        <v>0</v>
      </c>
      <c r="G83" s="258">
        <f>일위목록!F37</f>
        <v>0</v>
      </c>
      <c r="H83" s="258"/>
      <c r="I83" s="258"/>
      <c r="J83" s="258"/>
      <c r="K83" s="258"/>
      <c r="L83" s="258"/>
      <c r="M83" s="256"/>
      <c r="N83" s="253" t="s">
        <v>68</v>
      </c>
      <c r="O83" s="253"/>
      <c r="P83" s="253" t="s">
        <v>1107</v>
      </c>
      <c r="Q83" s="253" t="s">
        <v>68</v>
      </c>
      <c r="R83" s="253" t="s">
        <v>1196</v>
      </c>
      <c r="S83" s="253"/>
      <c r="T83" s="253" t="s">
        <v>1129</v>
      </c>
      <c r="U83" s="253"/>
      <c r="V83" s="253"/>
      <c r="W83" s="253"/>
      <c r="X83" s="253"/>
      <c r="Y83" s="253"/>
      <c r="Z83" s="253"/>
      <c r="AA83" s="253"/>
      <c r="AB83" s="253"/>
      <c r="AC83" s="253"/>
      <c r="AD83" s="253"/>
      <c r="AE83" s="253"/>
      <c r="AF83" s="253"/>
      <c r="AG83" s="253"/>
      <c r="AH83" s="253"/>
      <c r="AI83" s="253"/>
      <c r="AJ83" s="253"/>
      <c r="AK83" s="253"/>
      <c r="AL83" s="253"/>
      <c r="AM83" s="253"/>
      <c r="AN83" s="253"/>
      <c r="AO83" s="253"/>
      <c r="AP83" s="253"/>
      <c r="AQ83" s="253"/>
      <c r="AR83" s="253"/>
      <c r="AS83" s="253"/>
      <c r="AT83" s="253"/>
      <c r="AU83" s="253"/>
      <c r="AV83" s="253"/>
      <c r="AW83" s="253"/>
      <c r="AX83" s="253"/>
      <c r="AY83" s="253"/>
      <c r="AZ83" s="253"/>
      <c r="BA83" s="253"/>
      <c r="BB83" s="253"/>
      <c r="BC83" s="253"/>
      <c r="BD83" s="253"/>
      <c r="BE83" s="253"/>
      <c r="BF83" s="253"/>
      <c r="BG83" s="253"/>
      <c r="BH83" s="253"/>
      <c r="BI83" s="253"/>
      <c r="BJ83" s="263" t="str">
        <f>HYPERLINK("#일위대가목록!A37","_0035 →")</f>
        <v>_0035 →</v>
      </c>
    </row>
    <row r="84" spans="1:62" ht="24" customHeight="1">
      <c r="A84" s="256" t="s">
        <v>1185</v>
      </c>
      <c r="B84" s="256" t="s">
        <v>1197</v>
      </c>
      <c r="C84" s="257">
        <v>1</v>
      </c>
      <c r="D84" s="254" t="s">
        <v>437</v>
      </c>
      <c r="E84" s="258">
        <f>일위목록!E38</f>
        <v>0</v>
      </c>
      <c r="F84" s="258">
        <f t="shared" si="7"/>
        <v>0</v>
      </c>
      <c r="G84" s="258">
        <f>일위목록!F38</f>
        <v>0</v>
      </c>
      <c r="H84" s="258"/>
      <c r="I84" s="258"/>
      <c r="J84" s="258"/>
      <c r="K84" s="258"/>
      <c r="L84" s="258"/>
      <c r="M84" s="256"/>
      <c r="N84" s="253" t="s">
        <v>68</v>
      </c>
      <c r="O84" s="253"/>
      <c r="P84" s="253" t="s">
        <v>1108</v>
      </c>
      <c r="Q84" s="253" t="s">
        <v>68</v>
      </c>
      <c r="R84" s="253" t="s">
        <v>1198</v>
      </c>
      <c r="S84" s="253"/>
      <c r="T84" s="253" t="s">
        <v>1129</v>
      </c>
      <c r="U84" s="253"/>
      <c r="V84" s="253"/>
      <c r="W84" s="253"/>
      <c r="X84" s="253"/>
      <c r="Y84" s="253"/>
      <c r="Z84" s="253"/>
      <c r="AA84" s="253"/>
      <c r="AB84" s="253"/>
      <c r="AC84" s="253"/>
      <c r="AD84" s="253"/>
      <c r="AE84" s="253"/>
      <c r="AF84" s="253"/>
      <c r="AG84" s="253"/>
      <c r="AH84" s="253"/>
      <c r="AI84" s="253"/>
      <c r="AJ84" s="253"/>
      <c r="AK84" s="253"/>
      <c r="AL84" s="253"/>
      <c r="AM84" s="253"/>
      <c r="AN84" s="253"/>
      <c r="AO84" s="253"/>
      <c r="AP84" s="253"/>
      <c r="AQ84" s="253"/>
      <c r="AR84" s="253"/>
      <c r="AS84" s="253"/>
      <c r="AT84" s="253"/>
      <c r="AU84" s="253"/>
      <c r="AV84" s="253"/>
      <c r="AW84" s="253"/>
      <c r="AX84" s="253"/>
      <c r="AY84" s="253"/>
      <c r="AZ84" s="253"/>
      <c r="BA84" s="253"/>
      <c r="BB84" s="253"/>
      <c r="BC84" s="253"/>
      <c r="BD84" s="253"/>
      <c r="BE84" s="253"/>
      <c r="BF84" s="253"/>
      <c r="BG84" s="253"/>
      <c r="BH84" s="253"/>
      <c r="BI84" s="253"/>
      <c r="BJ84" s="263" t="str">
        <f>HYPERLINK("#일위대가목록!A38","_0036 →")</f>
        <v>_0036 →</v>
      </c>
    </row>
    <row r="85" spans="1:62" ht="24" customHeight="1">
      <c r="A85" s="256" t="s">
        <v>1199</v>
      </c>
      <c r="B85" s="256" t="s">
        <v>1200</v>
      </c>
      <c r="C85" s="257">
        <v>1</v>
      </c>
      <c r="D85" s="254" t="s">
        <v>437</v>
      </c>
      <c r="E85" s="258">
        <f>일위목록!E39</f>
        <v>0</v>
      </c>
      <c r="F85" s="258">
        <f t="shared" si="7"/>
        <v>0</v>
      </c>
      <c r="G85" s="258">
        <f>일위목록!F39</f>
        <v>0</v>
      </c>
      <c r="H85" s="258"/>
      <c r="I85" s="258"/>
      <c r="J85" s="258"/>
      <c r="K85" s="258"/>
      <c r="L85" s="258"/>
      <c r="M85" s="256"/>
      <c r="N85" s="253" t="s">
        <v>68</v>
      </c>
      <c r="O85" s="253"/>
      <c r="P85" s="253" t="s">
        <v>1109</v>
      </c>
      <c r="Q85" s="253" t="s">
        <v>68</v>
      </c>
      <c r="R85" s="253" t="s">
        <v>1201</v>
      </c>
      <c r="S85" s="253"/>
      <c r="T85" s="253" t="s">
        <v>1129</v>
      </c>
      <c r="U85" s="253"/>
      <c r="V85" s="253"/>
      <c r="W85" s="253"/>
      <c r="X85" s="253"/>
      <c r="Y85" s="253"/>
      <c r="Z85" s="253"/>
      <c r="AA85" s="253"/>
      <c r="AB85" s="253"/>
      <c r="AC85" s="253"/>
      <c r="AD85" s="253"/>
      <c r="AE85" s="253"/>
      <c r="AF85" s="253"/>
      <c r="AG85" s="253"/>
      <c r="AH85" s="253"/>
      <c r="AI85" s="253"/>
      <c r="AJ85" s="253"/>
      <c r="AK85" s="253"/>
      <c r="AL85" s="253"/>
      <c r="AM85" s="253"/>
      <c r="AN85" s="253"/>
      <c r="AO85" s="253"/>
      <c r="AP85" s="253"/>
      <c r="AQ85" s="253"/>
      <c r="AR85" s="253"/>
      <c r="AS85" s="253"/>
      <c r="AT85" s="253"/>
      <c r="AU85" s="253"/>
      <c r="AV85" s="253"/>
      <c r="AW85" s="253"/>
      <c r="AX85" s="253"/>
      <c r="AY85" s="253"/>
      <c r="AZ85" s="253"/>
      <c r="BA85" s="253"/>
      <c r="BB85" s="253"/>
      <c r="BC85" s="253"/>
      <c r="BD85" s="253"/>
      <c r="BE85" s="253"/>
      <c r="BF85" s="253"/>
      <c r="BG85" s="253"/>
      <c r="BH85" s="253"/>
      <c r="BI85" s="253"/>
      <c r="BJ85" s="263" t="str">
        <f>HYPERLINK("#일위대가목록!A39","_0037 →")</f>
        <v>_0037 →</v>
      </c>
    </row>
    <row r="86" spans="1:62" ht="24" customHeight="1">
      <c r="A86" s="256" t="s">
        <v>1202</v>
      </c>
      <c r="B86" s="256" t="s">
        <v>1203</v>
      </c>
      <c r="C86" s="257">
        <v>1</v>
      </c>
      <c r="D86" s="254" t="s">
        <v>437</v>
      </c>
      <c r="E86" s="258">
        <f>일위목록!E40</f>
        <v>0</v>
      </c>
      <c r="F86" s="258">
        <f t="shared" si="7"/>
        <v>0</v>
      </c>
      <c r="G86" s="258">
        <f>일위목록!F40</f>
        <v>0</v>
      </c>
      <c r="H86" s="258"/>
      <c r="I86" s="258"/>
      <c r="J86" s="258"/>
      <c r="K86" s="258"/>
      <c r="L86" s="258"/>
      <c r="M86" s="256"/>
      <c r="N86" s="253" t="s">
        <v>68</v>
      </c>
      <c r="O86" s="253"/>
      <c r="P86" s="253" t="s">
        <v>1110</v>
      </c>
      <c r="Q86" s="253" t="s">
        <v>68</v>
      </c>
      <c r="R86" s="253" t="s">
        <v>1204</v>
      </c>
      <c r="S86" s="253"/>
      <c r="T86" s="253" t="s">
        <v>1129</v>
      </c>
      <c r="U86" s="253"/>
      <c r="V86" s="253"/>
      <c r="W86" s="253"/>
      <c r="X86" s="253"/>
      <c r="Y86" s="253"/>
      <c r="Z86" s="253"/>
      <c r="AA86" s="253"/>
      <c r="AB86" s="253"/>
      <c r="AC86" s="253"/>
      <c r="AD86" s="253"/>
      <c r="AE86" s="253"/>
      <c r="AF86" s="253"/>
      <c r="AG86" s="253"/>
      <c r="AH86" s="253"/>
      <c r="AI86" s="253"/>
      <c r="AJ86" s="253"/>
      <c r="AK86" s="253"/>
      <c r="AL86" s="253"/>
      <c r="AM86" s="253"/>
      <c r="AN86" s="253"/>
      <c r="AO86" s="253"/>
      <c r="AP86" s="253"/>
      <c r="AQ86" s="253"/>
      <c r="AR86" s="253"/>
      <c r="AS86" s="253"/>
      <c r="AT86" s="253"/>
      <c r="AU86" s="253"/>
      <c r="AV86" s="253"/>
      <c r="AW86" s="253"/>
      <c r="AX86" s="253"/>
      <c r="AY86" s="253"/>
      <c r="AZ86" s="253"/>
      <c r="BA86" s="253"/>
      <c r="BB86" s="253"/>
      <c r="BC86" s="253"/>
      <c r="BD86" s="253"/>
      <c r="BE86" s="253"/>
      <c r="BF86" s="253"/>
      <c r="BG86" s="253"/>
      <c r="BH86" s="253"/>
      <c r="BI86" s="253"/>
      <c r="BJ86" s="263" t="str">
        <f>HYPERLINK("#일위대가목록!A40","_0038 →")</f>
        <v>_0038 →</v>
      </c>
    </row>
    <row r="87" spans="1:62" ht="24" customHeight="1">
      <c r="A87" s="256" t="s">
        <v>1185</v>
      </c>
      <c r="B87" s="256" t="s">
        <v>1205</v>
      </c>
      <c r="C87" s="257">
        <v>2</v>
      </c>
      <c r="D87" s="254" t="s">
        <v>437</v>
      </c>
      <c r="E87" s="258">
        <f>일위목록!E41</f>
        <v>0</v>
      </c>
      <c r="F87" s="258">
        <f t="shared" si="7"/>
        <v>0</v>
      </c>
      <c r="G87" s="258">
        <f>일위목록!F41</f>
        <v>0</v>
      </c>
      <c r="H87" s="258"/>
      <c r="I87" s="258"/>
      <c r="J87" s="258"/>
      <c r="K87" s="258"/>
      <c r="L87" s="258"/>
      <c r="M87" s="256"/>
      <c r="N87" s="253" t="s">
        <v>68</v>
      </c>
      <c r="O87" s="253"/>
      <c r="P87" s="253" t="s">
        <v>1111</v>
      </c>
      <c r="Q87" s="253" t="s">
        <v>68</v>
      </c>
      <c r="R87" s="253" t="s">
        <v>1206</v>
      </c>
      <c r="S87" s="253"/>
      <c r="T87" s="253" t="s">
        <v>1129</v>
      </c>
      <c r="U87" s="253"/>
      <c r="V87" s="253"/>
      <c r="W87" s="253"/>
      <c r="X87" s="253"/>
      <c r="Y87" s="253"/>
      <c r="Z87" s="253"/>
      <c r="AA87" s="253"/>
      <c r="AB87" s="253"/>
      <c r="AC87" s="253"/>
      <c r="AD87" s="253"/>
      <c r="AE87" s="253"/>
      <c r="AF87" s="253"/>
      <c r="AG87" s="253"/>
      <c r="AH87" s="253"/>
      <c r="AI87" s="253"/>
      <c r="AJ87" s="253"/>
      <c r="AK87" s="253"/>
      <c r="AL87" s="253"/>
      <c r="AM87" s="253"/>
      <c r="AN87" s="253"/>
      <c r="AO87" s="253"/>
      <c r="AP87" s="253"/>
      <c r="AQ87" s="253"/>
      <c r="AR87" s="253"/>
      <c r="AS87" s="253"/>
      <c r="AT87" s="253"/>
      <c r="AU87" s="253"/>
      <c r="AV87" s="253"/>
      <c r="AW87" s="253"/>
      <c r="AX87" s="253"/>
      <c r="AY87" s="253"/>
      <c r="AZ87" s="253"/>
      <c r="BA87" s="253"/>
      <c r="BB87" s="253"/>
      <c r="BC87" s="253"/>
      <c r="BD87" s="253"/>
      <c r="BE87" s="253"/>
      <c r="BF87" s="253"/>
      <c r="BG87" s="253"/>
      <c r="BH87" s="253"/>
      <c r="BI87" s="253"/>
      <c r="BJ87" s="263" t="str">
        <f>HYPERLINK("#일위대가목록!A41","_0039 →")</f>
        <v>_0039 →</v>
      </c>
    </row>
    <row r="88" spans="1:62" ht="24" customHeight="1">
      <c r="A88" s="256" t="s">
        <v>1185</v>
      </c>
      <c r="B88" s="256" t="s">
        <v>1207</v>
      </c>
      <c r="C88" s="257">
        <v>1</v>
      </c>
      <c r="D88" s="254" t="s">
        <v>437</v>
      </c>
      <c r="E88" s="258">
        <f>일위목록!E42</f>
        <v>0</v>
      </c>
      <c r="F88" s="258">
        <f t="shared" si="7"/>
        <v>0</v>
      </c>
      <c r="G88" s="258">
        <f>일위목록!F42</f>
        <v>0</v>
      </c>
      <c r="H88" s="258"/>
      <c r="I88" s="258"/>
      <c r="J88" s="258"/>
      <c r="K88" s="258"/>
      <c r="L88" s="258"/>
      <c r="M88" s="256"/>
      <c r="N88" s="253" t="s">
        <v>68</v>
      </c>
      <c r="O88" s="253"/>
      <c r="P88" s="253" t="s">
        <v>1112</v>
      </c>
      <c r="Q88" s="253" t="s">
        <v>68</v>
      </c>
      <c r="R88" s="253" t="s">
        <v>1208</v>
      </c>
      <c r="S88" s="253"/>
      <c r="T88" s="253" t="s">
        <v>1129</v>
      </c>
      <c r="U88" s="253"/>
      <c r="V88" s="253"/>
      <c r="W88" s="253"/>
      <c r="X88" s="253"/>
      <c r="Y88" s="253"/>
      <c r="Z88" s="253"/>
      <c r="AA88" s="253"/>
      <c r="AB88" s="253"/>
      <c r="AC88" s="253"/>
      <c r="AD88" s="253"/>
      <c r="AE88" s="253"/>
      <c r="AF88" s="253"/>
      <c r="AG88" s="253"/>
      <c r="AH88" s="253"/>
      <c r="AI88" s="253"/>
      <c r="AJ88" s="253"/>
      <c r="AK88" s="253"/>
      <c r="AL88" s="253"/>
      <c r="AM88" s="253"/>
      <c r="AN88" s="253"/>
      <c r="AO88" s="253"/>
      <c r="AP88" s="253"/>
      <c r="AQ88" s="253"/>
      <c r="AR88" s="253"/>
      <c r="AS88" s="253"/>
      <c r="AT88" s="253"/>
      <c r="AU88" s="253"/>
      <c r="AV88" s="253"/>
      <c r="AW88" s="253"/>
      <c r="AX88" s="253"/>
      <c r="AY88" s="253"/>
      <c r="AZ88" s="253"/>
      <c r="BA88" s="253"/>
      <c r="BB88" s="253"/>
      <c r="BC88" s="253"/>
      <c r="BD88" s="253"/>
      <c r="BE88" s="253"/>
      <c r="BF88" s="253"/>
      <c r="BG88" s="253"/>
      <c r="BH88" s="253"/>
      <c r="BI88" s="253"/>
      <c r="BJ88" s="263" t="str">
        <f>HYPERLINK("#일위대가목록!A42","_0040 →")</f>
        <v>_0040 →</v>
      </c>
    </row>
    <row r="89" spans="1:62" ht="24" customHeight="1">
      <c r="A89" s="256" t="s">
        <v>1209</v>
      </c>
      <c r="B89" s="256" t="s">
        <v>1210</v>
      </c>
      <c r="C89" s="257">
        <v>1</v>
      </c>
      <c r="D89" s="254" t="s">
        <v>437</v>
      </c>
      <c r="E89" s="258">
        <f>일위목록!E43</f>
        <v>0</v>
      </c>
      <c r="F89" s="258">
        <f t="shared" si="7"/>
        <v>0</v>
      </c>
      <c r="G89" s="258">
        <f>일위목록!F43</f>
        <v>0</v>
      </c>
      <c r="H89" s="258"/>
      <c r="I89" s="258"/>
      <c r="J89" s="258"/>
      <c r="K89" s="258"/>
      <c r="L89" s="258"/>
      <c r="M89" s="256"/>
      <c r="N89" s="253" t="s">
        <v>68</v>
      </c>
      <c r="O89" s="253"/>
      <c r="P89" s="253" t="s">
        <v>1113</v>
      </c>
      <c r="Q89" s="253" t="s">
        <v>68</v>
      </c>
      <c r="R89" s="253" t="s">
        <v>1211</v>
      </c>
      <c r="S89" s="253"/>
      <c r="T89" s="253" t="s">
        <v>1129</v>
      </c>
      <c r="U89" s="253"/>
      <c r="V89" s="253"/>
      <c r="W89" s="253"/>
      <c r="X89" s="253"/>
      <c r="Y89" s="253"/>
      <c r="Z89" s="253"/>
      <c r="AA89" s="253"/>
      <c r="AB89" s="253"/>
      <c r="AC89" s="253"/>
      <c r="AD89" s="253"/>
      <c r="AE89" s="253"/>
      <c r="AF89" s="253"/>
      <c r="AG89" s="253"/>
      <c r="AH89" s="253"/>
      <c r="AI89" s="253"/>
      <c r="AJ89" s="253"/>
      <c r="AK89" s="253"/>
      <c r="AL89" s="253"/>
      <c r="AM89" s="253"/>
      <c r="AN89" s="253"/>
      <c r="AO89" s="253"/>
      <c r="AP89" s="253"/>
      <c r="AQ89" s="253"/>
      <c r="AR89" s="253"/>
      <c r="AS89" s="253"/>
      <c r="AT89" s="253"/>
      <c r="AU89" s="253"/>
      <c r="AV89" s="253"/>
      <c r="AW89" s="253"/>
      <c r="AX89" s="253"/>
      <c r="AY89" s="253"/>
      <c r="AZ89" s="253"/>
      <c r="BA89" s="253"/>
      <c r="BB89" s="253"/>
      <c r="BC89" s="253"/>
      <c r="BD89" s="253"/>
      <c r="BE89" s="253"/>
      <c r="BF89" s="253"/>
      <c r="BG89" s="253"/>
      <c r="BH89" s="253"/>
      <c r="BI89" s="253"/>
      <c r="BJ89" s="263" t="str">
        <f>HYPERLINK("#일위대가목록!A43","_0041 →")</f>
        <v>_0041 →</v>
      </c>
    </row>
    <row r="90" spans="1:62" ht="24" customHeight="1">
      <c r="A90" s="256" t="s">
        <v>1209</v>
      </c>
      <c r="B90" s="256" t="s">
        <v>1212</v>
      </c>
      <c r="C90" s="257">
        <v>1</v>
      </c>
      <c r="D90" s="254" t="s">
        <v>437</v>
      </c>
      <c r="E90" s="258">
        <f>일위목록!E44</f>
        <v>0</v>
      </c>
      <c r="F90" s="258">
        <f t="shared" si="7"/>
        <v>0</v>
      </c>
      <c r="G90" s="258">
        <f>일위목록!F44</f>
        <v>0</v>
      </c>
      <c r="H90" s="258"/>
      <c r="I90" s="258"/>
      <c r="J90" s="258"/>
      <c r="K90" s="258"/>
      <c r="L90" s="258"/>
      <c r="M90" s="256"/>
      <c r="N90" s="253" t="s">
        <v>68</v>
      </c>
      <c r="O90" s="253"/>
      <c r="P90" s="253" t="s">
        <v>1114</v>
      </c>
      <c r="Q90" s="253" t="s">
        <v>68</v>
      </c>
      <c r="R90" s="253" t="s">
        <v>1213</v>
      </c>
      <c r="S90" s="253"/>
      <c r="T90" s="253" t="s">
        <v>1129</v>
      </c>
      <c r="U90" s="253"/>
      <c r="V90" s="253"/>
      <c r="W90" s="253"/>
      <c r="X90" s="253"/>
      <c r="Y90" s="253"/>
      <c r="Z90" s="253"/>
      <c r="AA90" s="253"/>
      <c r="AB90" s="253"/>
      <c r="AC90" s="253"/>
      <c r="AD90" s="253"/>
      <c r="AE90" s="253"/>
      <c r="AF90" s="253"/>
      <c r="AG90" s="253"/>
      <c r="AH90" s="253"/>
      <c r="AI90" s="253"/>
      <c r="AJ90" s="253"/>
      <c r="AK90" s="253"/>
      <c r="AL90" s="253"/>
      <c r="AM90" s="253"/>
      <c r="AN90" s="253"/>
      <c r="AO90" s="253"/>
      <c r="AP90" s="253"/>
      <c r="AQ90" s="253"/>
      <c r="AR90" s="253"/>
      <c r="AS90" s="253"/>
      <c r="AT90" s="253"/>
      <c r="AU90" s="253"/>
      <c r="AV90" s="253"/>
      <c r="AW90" s="253"/>
      <c r="AX90" s="253"/>
      <c r="AY90" s="253"/>
      <c r="AZ90" s="253"/>
      <c r="BA90" s="253"/>
      <c r="BB90" s="253"/>
      <c r="BC90" s="253"/>
      <c r="BD90" s="253"/>
      <c r="BE90" s="253"/>
      <c r="BF90" s="253"/>
      <c r="BG90" s="253"/>
      <c r="BH90" s="253"/>
      <c r="BI90" s="253"/>
      <c r="BJ90" s="263" t="str">
        <f>HYPERLINK("#일위대가목록!A44","_0042 →")</f>
        <v>_0042 →</v>
      </c>
    </row>
    <row r="91" spans="1:62" ht="24" customHeight="1">
      <c r="A91" s="256" t="s">
        <v>1214</v>
      </c>
      <c r="B91" s="256" t="s">
        <v>1215</v>
      </c>
      <c r="C91" s="257">
        <v>1</v>
      </c>
      <c r="D91" s="254" t="s">
        <v>437</v>
      </c>
      <c r="E91" s="258">
        <f>일위목록!E45</f>
        <v>0</v>
      </c>
      <c r="F91" s="258">
        <f t="shared" si="7"/>
        <v>0</v>
      </c>
      <c r="G91" s="258">
        <f>일위목록!F45</f>
        <v>0</v>
      </c>
      <c r="H91" s="258"/>
      <c r="I91" s="258"/>
      <c r="J91" s="258"/>
      <c r="K91" s="258"/>
      <c r="L91" s="258"/>
      <c r="M91" s="256"/>
      <c r="N91" s="253" t="s">
        <v>68</v>
      </c>
      <c r="O91" s="253"/>
      <c r="P91" s="253" t="s">
        <v>1115</v>
      </c>
      <c r="Q91" s="253" t="s">
        <v>68</v>
      </c>
      <c r="R91" s="253" t="s">
        <v>1216</v>
      </c>
      <c r="S91" s="253"/>
      <c r="T91" s="253" t="s">
        <v>1129</v>
      </c>
      <c r="U91" s="253"/>
      <c r="V91" s="253"/>
      <c r="W91" s="253"/>
      <c r="X91" s="253"/>
      <c r="Y91" s="253"/>
      <c r="Z91" s="253"/>
      <c r="AA91" s="253"/>
      <c r="AB91" s="253"/>
      <c r="AC91" s="253"/>
      <c r="AD91" s="253"/>
      <c r="AE91" s="253"/>
      <c r="AF91" s="253"/>
      <c r="AG91" s="253"/>
      <c r="AH91" s="253"/>
      <c r="AI91" s="253"/>
      <c r="AJ91" s="253"/>
      <c r="AK91" s="253"/>
      <c r="AL91" s="253"/>
      <c r="AM91" s="253"/>
      <c r="AN91" s="253"/>
      <c r="AO91" s="253"/>
      <c r="AP91" s="253"/>
      <c r="AQ91" s="253"/>
      <c r="AR91" s="253"/>
      <c r="AS91" s="253"/>
      <c r="AT91" s="253"/>
      <c r="AU91" s="253"/>
      <c r="AV91" s="253"/>
      <c r="AW91" s="253"/>
      <c r="AX91" s="253"/>
      <c r="AY91" s="253"/>
      <c r="AZ91" s="253"/>
      <c r="BA91" s="253"/>
      <c r="BB91" s="253"/>
      <c r="BC91" s="253"/>
      <c r="BD91" s="253"/>
      <c r="BE91" s="253"/>
      <c r="BF91" s="253"/>
      <c r="BG91" s="253"/>
      <c r="BH91" s="253"/>
      <c r="BI91" s="253"/>
      <c r="BJ91" s="263" t="str">
        <f>HYPERLINK("#일위대가목록!A45","_0043 →")</f>
        <v>_0043 →</v>
      </c>
    </row>
    <row r="92" spans="1:62" ht="24" customHeight="1">
      <c r="A92" s="256" t="s">
        <v>1217</v>
      </c>
      <c r="B92" s="256" t="s">
        <v>1218</v>
      </c>
      <c r="C92" s="257">
        <v>1</v>
      </c>
      <c r="D92" s="254" t="s">
        <v>437</v>
      </c>
      <c r="E92" s="258">
        <f>일위목록!E46</f>
        <v>0</v>
      </c>
      <c r="F92" s="258">
        <f t="shared" si="7"/>
        <v>0</v>
      </c>
      <c r="G92" s="258">
        <f>일위목록!F46</f>
        <v>0</v>
      </c>
      <c r="H92" s="258"/>
      <c r="I92" s="258"/>
      <c r="J92" s="258"/>
      <c r="K92" s="258"/>
      <c r="L92" s="258"/>
      <c r="M92" s="256"/>
      <c r="N92" s="253" t="s">
        <v>68</v>
      </c>
      <c r="O92" s="253"/>
      <c r="P92" s="253" t="s">
        <v>1116</v>
      </c>
      <c r="Q92" s="253" t="s">
        <v>68</v>
      </c>
      <c r="R92" s="253" t="s">
        <v>1219</v>
      </c>
      <c r="S92" s="253"/>
      <c r="T92" s="253" t="s">
        <v>1129</v>
      </c>
      <c r="U92" s="253"/>
      <c r="V92" s="253"/>
      <c r="W92" s="253"/>
      <c r="X92" s="253"/>
      <c r="Y92" s="253"/>
      <c r="Z92" s="253"/>
      <c r="AA92" s="253"/>
      <c r="AB92" s="253"/>
      <c r="AC92" s="253"/>
      <c r="AD92" s="253"/>
      <c r="AE92" s="253"/>
      <c r="AF92" s="253"/>
      <c r="AG92" s="253"/>
      <c r="AH92" s="253"/>
      <c r="AI92" s="253"/>
      <c r="AJ92" s="253"/>
      <c r="AK92" s="253"/>
      <c r="AL92" s="253"/>
      <c r="AM92" s="253"/>
      <c r="AN92" s="253"/>
      <c r="AO92" s="253"/>
      <c r="AP92" s="253"/>
      <c r="AQ92" s="253"/>
      <c r="AR92" s="253"/>
      <c r="AS92" s="253"/>
      <c r="AT92" s="253"/>
      <c r="AU92" s="253"/>
      <c r="AV92" s="253"/>
      <c r="AW92" s="253"/>
      <c r="AX92" s="253"/>
      <c r="AY92" s="253"/>
      <c r="AZ92" s="253"/>
      <c r="BA92" s="253"/>
      <c r="BB92" s="253"/>
      <c r="BC92" s="253"/>
      <c r="BD92" s="253"/>
      <c r="BE92" s="253"/>
      <c r="BF92" s="253"/>
      <c r="BG92" s="253"/>
      <c r="BH92" s="253"/>
      <c r="BI92" s="253"/>
      <c r="BJ92" s="263" t="str">
        <f>HYPERLINK("#일위대가목록!A46","_0044 →")</f>
        <v>_0044 →</v>
      </c>
    </row>
    <row r="93" spans="1:62" ht="24" customHeight="1">
      <c r="A93" s="256" t="s">
        <v>1217</v>
      </c>
      <c r="B93" s="256" t="s">
        <v>1220</v>
      </c>
      <c r="C93" s="257">
        <v>1</v>
      </c>
      <c r="D93" s="254" t="s">
        <v>437</v>
      </c>
      <c r="E93" s="258">
        <f>일위목록!E47</f>
        <v>0</v>
      </c>
      <c r="F93" s="258">
        <f t="shared" si="7"/>
        <v>0</v>
      </c>
      <c r="G93" s="258">
        <f>일위목록!F47</f>
        <v>0</v>
      </c>
      <c r="H93" s="258"/>
      <c r="I93" s="258"/>
      <c r="J93" s="258"/>
      <c r="K93" s="258"/>
      <c r="L93" s="258"/>
      <c r="M93" s="256"/>
      <c r="N93" s="253" t="s">
        <v>68</v>
      </c>
      <c r="O93" s="253"/>
      <c r="P93" s="253" t="s">
        <v>1120</v>
      </c>
      <c r="Q93" s="253" t="s">
        <v>68</v>
      </c>
      <c r="R93" s="253" t="s">
        <v>1221</v>
      </c>
      <c r="S93" s="253"/>
      <c r="T93" s="253" t="s">
        <v>1129</v>
      </c>
      <c r="U93" s="253"/>
      <c r="V93" s="253"/>
      <c r="W93" s="253"/>
      <c r="X93" s="253"/>
      <c r="Y93" s="253"/>
      <c r="Z93" s="253"/>
      <c r="AA93" s="253"/>
      <c r="AB93" s="253"/>
      <c r="AC93" s="253"/>
      <c r="AD93" s="253"/>
      <c r="AE93" s="253"/>
      <c r="AF93" s="253"/>
      <c r="AG93" s="253"/>
      <c r="AH93" s="253"/>
      <c r="AI93" s="253"/>
      <c r="AJ93" s="253"/>
      <c r="AK93" s="253"/>
      <c r="AL93" s="253"/>
      <c r="AM93" s="253"/>
      <c r="AN93" s="253"/>
      <c r="AO93" s="253"/>
      <c r="AP93" s="253"/>
      <c r="AQ93" s="253"/>
      <c r="AR93" s="253"/>
      <c r="AS93" s="253"/>
      <c r="AT93" s="253"/>
      <c r="AU93" s="253"/>
      <c r="AV93" s="253"/>
      <c r="AW93" s="253"/>
      <c r="AX93" s="253"/>
      <c r="AY93" s="253"/>
      <c r="AZ93" s="253"/>
      <c r="BA93" s="253"/>
      <c r="BB93" s="253"/>
      <c r="BC93" s="253"/>
      <c r="BD93" s="253"/>
      <c r="BE93" s="253"/>
      <c r="BF93" s="253"/>
      <c r="BG93" s="253"/>
      <c r="BH93" s="253"/>
      <c r="BI93" s="253"/>
      <c r="BJ93" s="263" t="str">
        <f>HYPERLINK("#일위대가목록!A47","_0045 →")</f>
        <v>_0045 →</v>
      </c>
    </row>
    <row r="94" spans="1:62" ht="24" customHeight="1">
      <c r="A94" s="256" t="s">
        <v>1222</v>
      </c>
      <c r="B94" s="256" t="s">
        <v>1223</v>
      </c>
      <c r="C94" s="257">
        <v>1</v>
      </c>
      <c r="D94" s="254" t="s">
        <v>437</v>
      </c>
      <c r="E94" s="258">
        <f>일위목록!E48</f>
        <v>0</v>
      </c>
      <c r="F94" s="258">
        <f t="shared" si="7"/>
        <v>0</v>
      </c>
      <c r="G94" s="258">
        <f>일위목록!F48</f>
        <v>0</v>
      </c>
      <c r="H94" s="258"/>
      <c r="I94" s="258"/>
      <c r="J94" s="258"/>
      <c r="K94" s="258"/>
      <c r="L94" s="258"/>
      <c r="M94" s="256"/>
      <c r="N94" s="253" t="s">
        <v>68</v>
      </c>
      <c r="O94" s="253"/>
      <c r="P94" s="253" t="s">
        <v>1173</v>
      </c>
      <c r="Q94" s="253" t="s">
        <v>68</v>
      </c>
      <c r="R94" s="253" t="s">
        <v>1224</v>
      </c>
      <c r="S94" s="253"/>
      <c r="T94" s="253" t="s">
        <v>1129</v>
      </c>
      <c r="U94" s="253"/>
      <c r="V94" s="253"/>
      <c r="W94" s="253"/>
      <c r="X94" s="253"/>
      <c r="Y94" s="253"/>
      <c r="Z94" s="253"/>
      <c r="AA94" s="253"/>
      <c r="AB94" s="253"/>
      <c r="AC94" s="253"/>
      <c r="AD94" s="253"/>
      <c r="AE94" s="253"/>
      <c r="AF94" s="253"/>
      <c r="AG94" s="253"/>
      <c r="AH94" s="253"/>
      <c r="AI94" s="253"/>
      <c r="AJ94" s="253"/>
      <c r="AK94" s="253"/>
      <c r="AL94" s="253"/>
      <c r="AM94" s="253"/>
      <c r="AN94" s="253"/>
      <c r="AO94" s="253"/>
      <c r="AP94" s="253"/>
      <c r="AQ94" s="253"/>
      <c r="AR94" s="253"/>
      <c r="AS94" s="253"/>
      <c r="AT94" s="253"/>
      <c r="AU94" s="253"/>
      <c r="AV94" s="253"/>
      <c r="AW94" s="253"/>
      <c r="AX94" s="253"/>
      <c r="AY94" s="253"/>
      <c r="AZ94" s="253"/>
      <c r="BA94" s="253"/>
      <c r="BB94" s="253"/>
      <c r="BC94" s="253"/>
      <c r="BD94" s="253"/>
      <c r="BE94" s="253"/>
      <c r="BF94" s="253"/>
      <c r="BG94" s="253"/>
      <c r="BH94" s="253"/>
      <c r="BI94" s="253"/>
      <c r="BJ94" s="263" t="str">
        <f>HYPERLINK("#일위대가목록!A48","_0046 →")</f>
        <v>_0046 →</v>
      </c>
    </row>
    <row r="95" spans="1:62" ht="24" customHeight="1">
      <c r="A95" s="256" t="s">
        <v>1225</v>
      </c>
      <c r="B95" s="256" t="s">
        <v>1226</v>
      </c>
      <c r="C95" s="257">
        <v>8</v>
      </c>
      <c r="D95" s="254" t="s">
        <v>1227</v>
      </c>
      <c r="E95" s="258">
        <f>중기목록!E4</f>
        <v>0</v>
      </c>
      <c r="F95" s="258">
        <f t="shared" si="7"/>
        <v>0</v>
      </c>
      <c r="G95" s="258">
        <f>중기목록!F4</f>
        <v>0</v>
      </c>
      <c r="H95" s="258"/>
      <c r="I95" s="258"/>
      <c r="J95" s="258"/>
      <c r="K95" s="258"/>
      <c r="L95" s="258"/>
      <c r="M95" s="256"/>
      <c r="N95" s="253" t="s">
        <v>68</v>
      </c>
      <c r="O95" s="253"/>
      <c r="P95" s="253" t="s">
        <v>1175</v>
      </c>
      <c r="Q95" s="253" t="s">
        <v>68</v>
      </c>
      <c r="R95" s="253" t="s">
        <v>1228</v>
      </c>
      <c r="S95" s="253"/>
      <c r="T95" s="253"/>
      <c r="U95" s="253"/>
      <c r="V95" s="253"/>
      <c r="W95" s="253"/>
      <c r="X95" s="253"/>
      <c r="Y95" s="253"/>
      <c r="Z95" s="253"/>
      <c r="AA95" s="253"/>
      <c r="AB95" s="253"/>
      <c r="AC95" s="253"/>
      <c r="AD95" s="253"/>
      <c r="AE95" s="253"/>
      <c r="AF95" s="253"/>
      <c r="AG95" s="253"/>
      <c r="AH95" s="253"/>
      <c r="AI95" s="253"/>
      <c r="AJ95" s="253"/>
      <c r="AK95" s="253"/>
      <c r="AL95" s="253"/>
      <c r="AM95" s="253"/>
      <c r="AN95" s="253"/>
      <c r="AO95" s="253"/>
      <c r="AP95" s="253"/>
      <c r="AQ95" s="253"/>
      <c r="AR95" s="253"/>
      <c r="AS95" s="253"/>
      <c r="AT95" s="253"/>
      <c r="AU95" s="253"/>
      <c r="AV95" s="253"/>
      <c r="AW95" s="253"/>
      <c r="AX95" s="253"/>
      <c r="AY95" s="253"/>
      <c r="AZ95" s="253"/>
      <c r="BA95" s="253"/>
      <c r="BB95" s="253"/>
      <c r="BC95" s="253"/>
      <c r="BD95" s="253"/>
      <c r="BE95" s="253"/>
      <c r="BF95" s="253"/>
      <c r="BG95" s="253"/>
      <c r="BH95" s="253"/>
      <c r="BI95" s="253"/>
      <c r="BJ95" s="263" t="str">
        <f>HYPERLINK("#중기사용료목록!A4","E000006020025000001 →")</f>
        <v>E000006020025000001 →</v>
      </c>
    </row>
    <row r="96" spans="1:62" ht="24" customHeight="1">
      <c r="A96" s="256" t="s">
        <v>1229</v>
      </c>
      <c r="B96" s="256" t="s">
        <v>1230</v>
      </c>
      <c r="C96" s="257">
        <v>8</v>
      </c>
      <c r="D96" s="254" t="s">
        <v>1227</v>
      </c>
      <c r="E96" s="258">
        <f>중기목록!E5</f>
        <v>0</v>
      </c>
      <c r="F96" s="258">
        <f t="shared" si="7"/>
        <v>0</v>
      </c>
      <c r="G96" s="258">
        <f>중기목록!F5</f>
        <v>0</v>
      </c>
      <c r="H96" s="258"/>
      <c r="I96" s="258"/>
      <c r="J96" s="258"/>
      <c r="K96" s="258"/>
      <c r="L96" s="258"/>
      <c r="M96" s="256"/>
      <c r="N96" s="253" t="s">
        <v>68</v>
      </c>
      <c r="O96" s="253"/>
      <c r="P96" s="253" t="s">
        <v>1231</v>
      </c>
      <c r="Q96" s="253" t="s">
        <v>68</v>
      </c>
      <c r="R96" s="253" t="s">
        <v>1232</v>
      </c>
      <c r="S96" s="253"/>
      <c r="T96" s="253"/>
      <c r="U96" s="253"/>
      <c r="V96" s="253"/>
      <c r="W96" s="253"/>
      <c r="X96" s="253"/>
      <c r="Y96" s="253"/>
      <c r="Z96" s="253"/>
      <c r="AA96" s="253"/>
      <c r="AB96" s="253"/>
      <c r="AC96" s="253"/>
      <c r="AD96" s="253"/>
      <c r="AE96" s="253"/>
      <c r="AF96" s="253"/>
      <c r="AG96" s="253"/>
      <c r="AH96" s="253"/>
      <c r="AI96" s="253"/>
      <c r="AJ96" s="253"/>
      <c r="AK96" s="253"/>
      <c r="AL96" s="253"/>
      <c r="AM96" s="253"/>
      <c r="AN96" s="253"/>
      <c r="AO96" s="253"/>
      <c r="AP96" s="253"/>
      <c r="AQ96" s="253"/>
      <c r="AR96" s="253"/>
      <c r="AS96" s="253"/>
      <c r="AT96" s="253"/>
      <c r="AU96" s="253"/>
      <c r="AV96" s="253"/>
      <c r="AW96" s="253"/>
      <c r="AX96" s="253"/>
      <c r="AY96" s="253"/>
      <c r="AZ96" s="253"/>
      <c r="BA96" s="253"/>
      <c r="BB96" s="253"/>
      <c r="BC96" s="253"/>
      <c r="BD96" s="253"/>
      <c r="BE96" s="253"/>
      <c r="BF96" s="253"/>
      <c r="BG96" s="253"/>
      <c r="BH96" s="253"/>
      <c r="BI96" s="253"/>
      <c r="BJ96" s="263" t="str">
        <f>HYPERLINK("#중기사용료목록!A5","E00002106000500000 →")</f>
        <v>E00002106000500000 →</v>
      </c>
    </row>
    <row r="97" spans="1:62" ht="24" customHeight="1">
      <c r="A97" s="256" t="s">
        <v>68</v>
      </c>
      <c r="B97" s="256" t="s">
        <v>68</v>
      </c>
      <c r="C97" s="264"/>
      <c r="D97" s="254" t="s">
        <v>68</v>
      </c>
      <c r="E97" s="254"/>
      <c r="F97" s="258">
        <v>0</v>
      </c>
      <c r="G97" s="254"/>
      <c r="H97" s="258"/>
      <c r="I97" s="254"/>
      <c r="J97" s="258"/>
      <c r="K97" s="258"/>
      <c r="L97" s="258"/>
      <c r="M97" s="256"/>
      <c r="N97" s="253" t="s">
        <v>68</v>
      </c>
      <c r="O97" s="253"/>
      <c r="P97" s="253" t="s">
        <v>1233</v>
      </c>
      <c r="Q97" s="253" t="s">
        <v>68</v>
      </c>
      <c r="R97" s="253" t="s">
        <v>68</v>
      </c>
      <c r="S97" s="253"/>
      <c r="T97" s="253"/>
      <c r="U97" s="253"/>
      <c r="V97" s="253"/>
      <c r="W97" s="253"/>
      <c r="X97" s="253"/>
      <c r="Y97" s="253"/>
      <c r="Z97" s="253"/>
      <c r="AA97" s="253"/>
      <c r="AB97" s="253"/>
      <c r="AC97" s="253"/>
      <c r="AD97" s="253"/>
      <c r="AE97" s="253"/>
      <c r="AF97" s="253"/>
      <c r="AG97" s="253"/>
      <c r="AH97" s="253"/>
      <c r="AI97" s="253"/>
      <c r="AJ97" s="253"/>
      <c r="AK97" s="253"/>
      <c r="AL97" s="253"/>
      <c r="AM97" s="253"/>
      <c r="AN97" s="253"/>
      <c r="AO97" s="253"/>
      <c r="AP97" s="253"/>
      <c r="AQ97" s="253"/>
      <c r="AR97" s="253"/>
      <c r="AS97" s="253"/>
      <c r="AT97" s="253"/>
      <c r="AU97" s="253"/>
      <c r="AV97" s="253"/>
      <c r="AW97" s="253"/>
      <c r="AX97" s="253"/>
      <c r="AY97" s="253"/>
      <c r="AZ97" s="253"/>
      <c r="BA97" s="253"/>
      <c r="BB97" s="253"/>
      <c r="BC97" s="253"/>
      <c r="BD97" s="253"/>
      <c r="BE97" s="253"/>
      <c r="BF97" s="253"/>
      <c r="BG97" s="253"/>
      <c r="BH97" s="253"/>
      <c r="BI97" s="253"/>
      <c r="BJ97" s="253"/>
    </row>
    <row r="98" spans="1:62" ht="24" customHeight="1">
      <c r="A98" s="269" t="s">
        <v>1145</v>
      </c>
      <c r="B98" s="269" t="s">
        <v>1146</v>
      </c>
      <c r="C98" s="270">
        <v>1</v>
      </c>
      <c r="D98" s="271" t="s">
        <v>1094</v>
      </c>
      <c r="E98" s="271"/>
      <c r="F98" s="272">
        <f>TRUNC(F99+F100+F101+F102,0)</f>
        <v>0</v>
      </c>
      <c r="G98" s="271"/>
      <c r="H98" s="272"/>
      <c r="I98" s="271"/>
      <c r="J98" s="272"/>
      <c r="K98" s="271"/>
      <c r="L98" s="272"/>
      <c r="M98" s="269"/>
      <c r="N98" s="253" t="s">
        <v>68</v>
      </c>
      <c r="O98" s="253" t="s">
        <v>1147</v>
      </c>
      <c r="P98" s="253"/>
      <c r="Q98" s="253"/>
      <c r="R98" s="253"/>
      <c r="S98" s="253"/>
      <c r="T98" s="253"/>
      <c r="U98" s="253"/>
      <c r="V98" s="253"/>
      <c r="W98" s="253"/>
      <c r="X98" s="253"/>
      <c r="Y98" s="253"/>
      <c r="Z98" s="253"/>
      <c r="AA98" s="253"/>
      <c r="AB98" s="253"/>
      <c r="AC98" s="253"/>
      <c r="AD98" s="253"/>
      <c r="AE98" s="253"/>
      <c r="AF98" s="253"/>
      <c r="AG98" s="253"/>
      <c r="AH98" s="253"/>
      <c r="AI98" s="253"/>
      <c r="AJ98" s="253"/>
      <c r="AK98" s="253"/>
      <c r="AL98" s="253"/>
      <c r="AM98" s="253"/>
      <c r="AN98" s="253"/>
      <c r="AO98" s="253"/>
      <c r="AP98" s="253"/>
      <c r="AQ98" s="253"/>
      <c r="AR98" s="253"/>
      <c r="AS98" s="253"/>
      <c r="AT98" s="253"/>
      <c r="AU98" s="253"/>
      <c r="AV98" s="253"/>
      <c r="AW98" s="253"/>
      <c r="AX98" s="253"/>
      <c r="AY98" s="253"/>
      <c r="AZ98" s="253"/>
      <c r="BA98" s="253"/>
      <c r="BB98" s="253"/>
      <c r="BC98" s="253"/>
      <c r="BD98" s="253"/>
      <c r="BE98" s="253"/>
      <c r="BF98" s="253"/>
      <c r="BG98" s="253"/>
      <c r="BH98" s="253"/>
      <c r="BI98" s="253"/>
      <c r="BJ98" s="253"/>
    </row>
    <row r="99" spans="1:62" ht="24" customHeight="1">
      <c r="A99" s="256" t="s">
        <v>1234</v>
      </c>
      <c r="B99" s="256" t="s">
        <v>1235</v>
      </c>
      <c r="C99" s="264">
        <v>0.31</v>
      </c>
      <c r="D99" s="254" t="s">
        <v>16</v>
      </c>
      <c r="E99" s="258">
        <f>일위목록!E49</f>
        <v>0</v>
      </c>
      <c r="F99" s="258">
        <f>TRUNC(E99*C99,0)</f>
        <v>0</v>
      </c>
      <c r="G99" s="258">
        <f>일위목록!F49</f>
        <v>0</v>
      </c>
      <c r="H99" s="258"/>
      <c r="I99" s="258"/>
      <c r="J99" s="258"/>
      <c r="K99" s="258"/>
      <c r="L99" s="258"/>
      <c r="M99" s="256"/>
      <c r="N99" s="253" t="s">
        <v>68</v>
      </c>
      <c r="O99" s="253"/>
      <c r="P99" s="253" t="s">
        <v>1095</v>
      </c>
      <c r="Q99" s="253" t="s">
        <v>68</v>
      </c>
      <c r="R99" s="253" t="s">
        <v>1236</v>
      </c>
      <c r="S99" s="253"/>
      <c r="T99" s="253" t="s">
        <v>1129</v>
      </c>
      <c r="U99" s="253"/>
      <c r="V99" s="253"/>
      <c r="W99" s="253"/>
      <c r="X99" s="253"/>
      <c r="Y99" s="253"/>
      <c r="Z99" s="253"/>
      <c r="AA99" s="253"/>
      <c r="AB99" s="253"/>
      <c r="AC99" s="253"/>
      <c r="AD99" s="253"/>
      <c r="AE99" s="253"/>
      <c r="AF99" s="253"/>
      <c r="AG99" s="253"/>
      <c r="AH99" s="253"/>
      <c r="AI99" s="253"/>
      <c r="AJ99" s="253"/>
      <c r="AK99" s="253"/>
      <c r="AL99" s="253"/>
      <c r="AM99" s="253"/>
      <c r="AN99" s="253"/>
      <c r="AO99" s="253"/>
      <c r="AP99" s="253"/>
      <c r="AQ99" s="253"/>
      <c r="AR99" s="253"/>
      <c r="AS99" s="253"/>
      <c r="AT99" s="253"/>
      <c r="AU99" s="253"/>
      <c r="AV99" s="253"/>
      <c r="AW99" s="253"/>
      <c r="AX99" s="253"/>
      <c r="AY99" s="253"/>
      <c r="AZ99" s="253"/>
      <c r="BA99" s="253"/>
      <c r="BB99" s="253"/>
      <c r="BC99" s="253"/>
      <c r="BD99" s="253"/>
      <c r="BE99" s="253"/>
      <c r="BF99" s="253"/>
      <c r="BG99" s="253"/>
      <c r="BH99" s="253"/>
      <c r="BI99" s="253"/>
      <c r="BJ99" s="263" t="str">
        <f>HYPERLINK("#일위대가목록!A49","ZZ71 →")</f>
        <v>ZZ71 →</v>
      </c>
    </row>
    <row r="100" spans="1:62" ht="24" customHeight="1">
      <c r="A100" s="256" t="s">
        <v>1237</v>
      </c>
      <c r="B100" s="256" t="s">
        <v>1172</v>
      </c>
      <c r="C100" s="264">
        <v>1.64</v>
      </c>
      <c r="D100" s="254" t="s">
        <v>16</v>
      </c>
      <c r="E100" s="258">
        <f>일위목록!E50</f>
        <v>0</v>
      </c>
      <c r="F100" s="258">
        <f>TRUNC(E100*C100,0)</f>
        <v>0</v>
      </c>
      <c r="G100" s="258">
        <f>일위목록!F50</f>
        <v>0</v>
      </c>
      <c r="H100" s="258"/>
      <c r="I100" s="258"/>
      <c r="J100" s="258"/>
      <c r="K100" s="258"/>
      <c r="L100" s="258"/>
      <c r="M100" s="256"/>
      <c r="N100" s="253" t="s">
        <v>68</v>
      </c>
      <c r="O100" s="253"/>
      <c r="P100" s="253" t="s">
        <v>1098</v>
      </c>
      <c r="Q100" s="253" t="s">
        <v>68</v>
      </c>
      <c r="R100" s="253" t="s">
        <v>1238</v>
      </c>
      <c r="S100" s="253"/>
      <c r="T100" s="253" t="s">
        <v>1129</v>
      </c>
      <c r="U100" s="253"/>
      <c r="V100" s="253"/>
      <c r="W100" s="253"/>
      <c r="X100" s="253"/>
      <c r="Y100" s="253"/>
      <c r="Z100" s="253"/>
      <c r="AA100" s="253"/>
      <c r="AB100" s="253"/>
      <c r="AC100" s="253"/>
      <c r="AD100" s="253"/>
      <c r="AE100" s="253"/>
      <c r="AF100" s="253"/>
      <c r="AG100" s="253"/>
      <c r="AH100" s="253"/>
      <c r="AI100" s="253"/>
      <c r="AJ100" s="253"/>
      <c r="AK100" s="253"/>
      <c r="AL100" s="253"/>
      <c r="AM100" s="253"/>
      <c r="AN100" s="253"/>
      <c r="AO100" s="253"/>
      <c r="AP100" s="253"/>
      <c r="AQ100" s="253"/>
      <c r="AR100" s="253"/>
      <c r="AS100" s="253"/>
      <c r="AT100" s="253"/>
      <c r="AU100" s="253"/>
      <c r="AV100" s="253"/>
      <c r="AW100" s="253"/>
      <c r="AX100" s="253"/>
      <c r="AY100" s="253"/>
      <c r="AZ100" s="253"/>
      <c r="BA100" s="253"/>
      <c r="BB100" s="253"/>
      <c r="BC100" s="253"/>
      <c r="BD100" s="253"/>
      <c r="BE100" s="253"/>
      <c r="BF100" s="253"/>
      <c r="BG100" s="253"/>
      <c r="BH100" s="253"/>
      <c r="BI100" s="253"/>
      <c r="BJ100" s="263" t="str">
        <f>HYPERLINK("#일위대가목록!A50","ZZ74 →")</f>
        <v>ZZ74 →</v>
      </c>
    </row>
    <row r="101" spans="1:62" ht="24" customHeight="1">
      <c r="A101" s="256" t="s">
        <v>1239</v>
      </c>
      <c r="B101" s="256" t="s">
        <v>1240</v>
      </c>
      <c r="C101" s="264">
        <v>0.31</v>
      </c>
      <c r="D101" s="254" t="s">
        <v>16</v>
      </c>
      <c r="E101" s="258">
        <f>일위목록!E51</f>
        <v>0</v>
      </c>
      <c r="F101" s="258">
        <f>TRUNC(E101*C101,0)</f>
        <v>0</v>
      </c>
      <c r="G101" s="258">
        <f>일위목록!F51</f>
        <v>0</v>
      </c>
      <c r="H101" s="258"/>
      <c r="I101" s="258"/>
      <c r="J101" s="258"/>
      <c r="K101" s="258"/>
      <c r="L101" s="258"/>
      <c r="M101" s="256"/>
      <c r="N101" s="253" t="s">
        <v>68</v>
      </c>
      <c r="O101" s="253"/>
      <c r="P101" s="253" t="s">
        <v>1101</v>
      </c>
      <c r="Q101" s="253" t="s">
        <v>68</v>
      </c>
      <c r="R101" s="253" t="s">
        <v>1241</v>
      </c>
      <c r="S101" s="253"/>
      <c r="T101" s="253" t="s">
        <v>1129</v>
      </c>
      <c r="U101" s="253"/>
      <c r="V101" s="253"/>
      <c r="W101" s="253"/>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63" t="str">
        <f>HYPERLINK("#일위대가목록!A51","ZZ81 →")</f>
        <v>ZZ81 →</v>
      </c>
    </row>
    <row r="102" spans="1:62" ht="24" customHeight="1">
      <c r="A102" s="256" t="s">
        <v>1239</v>
      </c>
      <c r="B102" s="256" t="s">
        <v>1242</v>
      </c>
      <c r="C102" s="264">
        <v>1.64</v>
      </c>
      <c r="D102" s="254" t="s">
        <v>16</v>
      </c>
      <c r="E102" s="258">
        <f>일위목록!E52</f>
        <v>0</v>
      </c>
      <c r="F102" s="258">
        <f>TRUNC(E102*C102,0)</f>
        <v>0</v>
      </c>
      <c r="G102" s="258">
        <f>일위목록!F52</f>
        <v>0</v>
      </c>
      <c r="H102" s="258"/>
      <c r="I102" s="258"/>
      <c r="J102" s="258"/>
      <c r="K102" s="258"/>
      <c r="L102" s="258"/>
      <c r="M102" s="256"/>
      <c r="N102" s="253" t="s">
        <v>68</v>
      </c>
      <c r="O102" s="253"/>
      <c r="P102" s="253" t="s">
        <v>1104</v>
      </c>
      <c r="Q102" s="253" t="s">
        <v>68</v>
      </c>
      <c r="R102" s="253" t="s">
        <v>1243</v>
      </c>
      <c r="S102" s="253"/>
      <c r="T102" s="253" t="s">
        <v>1129</v>
      </c>
      <c r="U102" s="253"/>
      <c r="V102" s="253"/>
      <c r="W102" s="253"/>
      <c r="X102" s="253"/>
      <c r="Y102" s="253"/>
      <c r="Z102" s="253"/>
      <c r="AA102" s="253"/>
      <c r="AB102" s="253"/>
      <c r="AC102" s="253"/>
      <c r="AD102" s="253"/>
      <c r="AE102" s="253"/>
      <c r="AF102" s="253"/>
      <c r="AG102" s="253"/>
      <c r="AH102" s="253"/>
      <c r="AI102" s="253"/>
      <c r="AJ102" s="253"/>
      <c r="AK102" s="253"/>
      <c r="AL102" s="253"/>
      <c r="AM102" s="253"/>
      <c r="AN102" s="253"/>
      <c r="AO102" s="253"/>
      <c r="AP102" s="253"/>
      <c r="AQ102" s="253"/>
      <c r="AR102" s="253"/>
      <c r="AS102" s="253"/>
      <c r="AT102" s="253"/>
      <c r="AU102" s="253"/>
      <c r="AV102" s="253"/>
      <c r="AW102" s="253"/>
      <c r="AX102" s="253"/>
      <c r="AY102" s="253"/>
      <c r="AZ102" s="253"/>
      <c r="BA102" s="253"/>
      <c r="BB102" s="253"/>
      <c r="BC102" s="253"/>
      <c r="BD102" s="253"/>
      <c r="BE102" s="253"/>
      <c r="BF102" s="253"/>
      <c r="BG102" s="253"/>
      <c r="BH102" s="253"/>
      <c r="BI102" s="253"/>
      <c r="BJ102" s="263" t="str">
        <f>HYPERLINK("#일위대가목록!A52","ZZ86 →")</f>
        <v>ZZ86 →</v>
      </c>
    </row>
    <row r="103" spans="1:62" ht="24" customHeight="1">
      <c r="A103" s="256" t="s">
        <v>68</v>
      </c>
      <c r="B103" s="256" t="s">
        <v>68</v>
      </c>
      <c r="C103" s="264"/>
      <c r="D103" s="254" t="s">
        <v>68</v>
      </c>
      <c r="E103" s="254"/>
      <c r="F103" s="258">
        <v>0</v>
      </c>
      <c r="G103" s="254"/>
      <c r="H103" s="258"/>
      <c r="I103" s="254"/>
      <c r="J103" s="258"/>
      <c r="K103" s="258"/>
      <c r="L103" s="258"/>
      <c r="M103" s="256"/>
      <c r="N103" s="253" t="s">
        <v>68</v>
      </c>
      <c r="O103" s="253"/>
      <c r="P103" s="253" t="s">
        <v>1107</v>
      </c>
      <c r="Q103" s="253" t="s">
        <v>68</v>
      </c>
      <c r="R103" s="253" t="s">
        <v>68</v>
      </c>
      <c r="S103" s="253"/>
      <c r="T103" s="253"/>
      <c r="U103" s="253"/>
      <c r="V103" s="253"/>
      <c r="W103" s="253"/>
      <c r="X103" s="253"/>
      <c r="Y103" s="253"/>
      <c r="Z103" s="253"/>
      <c r="AA103" s="253"/>
      <c r="AB103" s="253"/>
      <c r="AC103" s="253"/>
      <c r="AD103" s="253"/>
      <c r="AE103" s="253"/>
      <c r="AF103" s="253"/>
      <c r="AG103" s="253"/>
      <c r="AH103" s="253"/>
      <c r="AI103" s="253"/>
      <c r="AJ103" s="253"/>
      <c r="AK103" s="253"/>
      <c r="AL103" s="253"/>
      <c r="AM103" s="253"/>
      <c r="AN103" s="253"/>
      <c r="AO103" s="253"/>
      <c r="AP103" s="253"/>
      <c r="AQ103" s="253"/>
      <c r="AR103" s="253"/>
      <c r="AS103" s="253"/>
      <c r="AT103" s="253"/>
      <c r="AU103" s="253"/>
      <c r="AV103" s="253"/>
      <c r="AW103" s="253"/>
      <c r="AX103" s="253"/>
      <c r="AY103" s="253"/>
      <c r="AZ103" s="253"/>
      <c r="BA103" s="253"/>
      <c r="BB103" s="253"/>
      <c r="BC103" s="253"/>
      <c r="BD103" s="253"/>
      <c r="BE103" s="253"/>
      <c r="BF103" s="253"/>
      <c r="BG103" s="253"/>
      <c r="BH103" s="253"/>
      <c r="BI103" s="253"/>
      <c r="BJ103" s="253"/>
    </row>
    <row r="104" spans="1:62" ht="24" customHeight="1">
      <c r="A104" s="256"/>
      <c r="B104" s="256"/>
      <c r="C104" s="264"/>
      <c r="D104" s="254"/>
      <c r="E104" s="254"/>
      <c r="F104" s="258"/>
      <c r="G104" s="254"/>
      <c r="H104" s="258"/>
      <c r="I104" s="254"/>
      <c r="J104" s="258"/>
      <c r="K104" s="258"/>
      <c r="L104" s="258"/>
      <c r="M104" s="256"/>
      <c r="N104" s="253"/>
      <c r="O104" s="253"/>
      <c r="P104" s="253"/>
      <c r="Q104" s="253"/>
      <c r="R104" s="253"/>
      <c r="S104" s="253"/>
      <c r="T104" s="253"/>
      <c r="U104" s="253"/>
      <c r="V104" s="253"/>
      <c r="W104" s="253"/>
      <c r="X104" s="253"/>
      <c r="Y104" s="253"/>
      <c r="Z104" s="253"/>
      <c r="AA104" s="253"/>
      <c r="AB104" s="253"/>
      <c r="AC104" s="253"/>
      <c r="AD104" s="253"/>
      <c r="AE104" s="253"/>
      <c r="AF104" s="253"/>
      <c r="AG104" s="253"/>
      <c r="AH104" s="253"/>
      <c r="AI104" s="253"/>
      <c r="AJ104" s="253"/>
      <c r="AK104" s="253"/>
      <c r="AL104" s="253"/>
      <c r="AM104" s="253"/>
      <c r="AN104" s="253"/>
      <c r="AO104" s="253"/>
      <c r="AP104" s="253"/>
      <c r="AQ104" s="253"/>
      <c r="AR104" s="253"/>
      <c r="AS104" s="253"/>
      <c r="AT104" s="253"/>
      <c r="AU104" s="253"/>
      <c r="AV104" s="253"/>
      <c r="AW104" s="253"/>
      <c r="AX104" s="253"/>
      <c r="AY104" s="253"/>
      <c r="AZ104" s="253"/>
      <c r="BA104" s="253"/>
      <c r="BB104" s="253"/>
      <c r="BC104" s="253"/>
      <c r="BD104" s="253"/>
      <c r="BE104" s="253"/>
      <c r="BF104" s="253"/>
      <c r="BG104" s="253"/>
      <c r="BH104" s="253"/>
      <c r="BI104" s="253"/>
      <c r="BJ104" s="253"/>
    </row>
    <row r="105" spans="1:62" ht="24" customHeight="1">
      <c r="A105" s="256"/>
      <c r="B105" s="256"/>
      <c r="C105" s="264"/>
      <c r="D105" s="254"/>
      <c r="E105" s="254"/>
      <c r="F105" s="258"/>
      <c r="G105" s="254"/>
      <c r="H105" s="258"/>
      <c r="I105" s="254"/>
      <c r="J105" s="258"/>
      <c r="K105" s="258"/>
      <c r="L105" s="258"/>
      <c r="M105" s="256"/>
      <c r="N105" s="253"/>
      <c r="O105" s="253"/>
      <c r="P105" s="253"/>
      <c r="Q105" s="253"/>
      <c r="R105" s="253"/>
      <c r="S105" s="253"/>
      <c r="T105" s="253"/>
      <c r="U105" s="253"/>
      <c r="V105" s="253"/>
      <c r="W105" s="253"/>
      <c r="X105" s="253"/>
      <c r="Y105" s="253"/>
      <c r="Z105" s="253"/>
      <c r="AA105" s="253"/>
      <c r="AB105" s="253"/>
      <c r="AC105" s="253"/>
      <c r="AD105" s="253"/>
      <c r="AE105" s="253"/>
      <c r="AF105" s="253"/>
      <c r="AG105" s="253"/>
      <c r="AH105" s="253"/>
      <c r="AI105" s="253"/>
      <c r="AJ105" s="253"/>
      <c r="AK105" s="253"/>
      <c r="AL105" s="253"/>
      <c r="AM105" s="253"/>
      <c r="AN105" s="253"/>
      <c r="AO105" s="253"/>
      <c r="AP105" s="253"/>
      <c r="AQ105" s="253"/>
      <c r="AR105" s="253"/>
      <c r="AS105" s="253"/>
      <c r="AT105" s="253"/>
      <c r="AU105" s="253"/>
      <c r="AV105" s="253"/>
      <c r="AW105" s="253"/>
      <c r="AX105" s="253"/>
      <c r="AY105" s="253"/>
      <c r="AZ105" s="253"/>
      <c r="BA105" s="253"/>
      <c r="BB105" s="253"/>
      <c r="BC105" s="253"/>
      <c r="BD105" s="253"/>
      <c r="BE105" s="253"/>
      <c r="BF105" s="253"/>
      <c r="BG105" s="253"/>
      <c r="BH105" s="253"/>
      <c r="BI105" s="253"/>
      <c r="BJ105" s="253"/>
    </row>
    <row r="106" spans="1:62" ht="24" customHeight="1">
      <c r="A106" s="256"/>
      <c r="B106" s="256"/>
      <c r="C106" s="264"/>
      <c r="D106" s="254"/>
      <c r="E106" s="254"/>
      <c r="F106" s="258"/>
      <c r="G106" s="254"/>
      <c r="H106" s="258"/>
      <c r="I106" s="254"/>
      <c r="J106" s="258"/>
      <c r="K106" s="258"/>
      <c r="L106" s="258"/>
      <c r="M106" s="256"/>
      <c r="N106" s="253"/>
      <c r="O106" s="253"/>
      <c r="P106" s="253"/>
      <c r="Q106" s="253"/>
      <c r="R106" s="253"/>
      <c r="S106" s="253"/>
      <c r="T106" s="253"/>
      <c r="U106" s="253"/>
      <c r="V106" s="253"/>
      <c r="W106" s="253"/>
      <c r="X106" s="253"/>
      <c r="Y106" s="253"/>
      <c r="Z106" s="253"/>
      <c r="AA106" s="253"/>
      <c r="AB106" s="253"/>
      <c r="AC106" s="253"/>
      <c r="AD106" s="253"/>
      <c r="AE106" s="253"/>
      <c r="AF106" s="253"/>
      <c r="AG106" s="253"/>
      <c r="AH106" s="253"/>
      <c r="AI106" s="253"/>
      <c r="AJ106" s="253"/>
      <c r="AK106" s="253"/>
      <c r="AL106" s="253"/>
      <c r="AM106" s="253"/>
      <c r="AN106" s="253"/>
      <c r="AO106" s="253"/>
      <c r="AP106" s="253"/>
      <c r="AQ106" s="253"/>
      <c r="AR106" s="253"/>
      <c r="AS106" s="253"/>
      <c r="AT106" s="253"/>
      <c r="AU106" s="253"/>
      <c r="AV106" s="253"/>
      <c r="AW106" s="253"/>
      <c r="AX106" s="253"/>
      <c r="AY106" s="253"/>
      <c r="AZ106" s="253"/>
      <c r="BA106" s="253"/>
      <c r="BB106" s="253"/>
      <c r="BC106" s="253"/>
      <c r="BD106" s="253"/>
      <c r="BE106" s="253"/>
      <c r="BF106" s="253"/>
      <c r="BG106" s="253"/>
      <c r="BH106" s="253"/>
      <c r="BI106" s="253"/>
      <c r="BJ106" s="253"/>
    </row>
    <row r="107" spans="1:62" ht="24" customHeight="1">
      <c r="A107" s="256"/>
      <c r="B107" s="256"/>
      <c r="C107" s="264"/>
      <c r="D107" s="254"/>
      <c r="E107" s="254"/>
      <c r="F107" s="258"/>
      <c r="G107" s="254"/>
      <c r="H107" s="258"/>
      <c r="I107" s="254"/>
      <c r="J107" s="258"/>
      <c r="K107" s="258"/>
      <c r="L107" s="258"/>
      <c r="M107" s="256"/>
      <c r="N107" s="253"/>
      <c r="O107" s="253"/>
      <c r="P107" s="253"/>
      <c r="Q107" s="253"/>
      <c r="R107" s="253"/>
      <c r="S107" s="253"/>
      <c r="T107" s="253"/>
      <c r="U107" s="253"/>
      <c r="V107" s="253"/>
      <c r="W107" s="253"/>
      <c r="X107" s="253"/>
      <c r="Y107" s="253"/>
      <c r="Z107" s="253"/>
      <c r="AA107" s="253"/>
      <c r="AB107" s="253"/>
      <c r="AC107" s="253"/>
      <c r="AD107" s="253"/>
      <c r="AE107" s="253"/>
      <c r="AF107" s="253"/>
      <c r="AG107" s="253"/>
      <c r="AH107" s="253"/>
      <c r="AI107" s="253"/>
      <c r="AJ107" s="253"/>
      <c r="AK107" s="253"/>
      <c r="AL107" s="253"/>
      <c r="AM107" s="253"/>
      <c r="AN107" s="253"/>
      <c r="AO107" s="253"/>
      <c r="AP107" s="253"/>
      <c r="AQ107" s="253"/>
      <c r="AR107" s="253"/>
      <c r="AS107" s="253"/>
      <c r="AT107" s="253"/>
      <c r="AU107" s="253"/>
      <c r="AV107" s="253"/>
      <c r="AW107" s="253"/>
      <c r="AX107" s="253"/>
      <c r="AY107" s="253"/>
      <c r="AZ107" s="253"/>
      <c r="BA107" s="253"/>
      <c r="BB107" s="253"/>
      <c r="BC107" s="253"/>
      <c r="BD107" s="253"/>
      <c r="BE107" s="253"/>
      <c r="BF107" s="253"/>
      <c r="BG107" s="253"/>
      <c r="BH107" s="253"/>
      <c r="BI107" s="253"/>
      <c r="BJ107" s="253"/>
    </row>
    <row r="108" spans="1:62" ht="24" customHeight="1">
      <c r="A108" s="256"/>
      <c r="B108" s="256"/>
      <c r="C108" s="264"/>
      <c r="D108" s="254"/>
      <c r="E108" s="254"/>
      <c r="F108" s="258"/>
      <c r="G108" s="254"/>
      <c r="H108" s="258"/>
      <c r="I108" s="254"/>
      <c r="J108" s="258"/>
      <c r="K108" s="258"/>
      <c r="L108" s="258"/>
      <c r="M108" s="256"/>
      <c r="N108" s="253"/>
      <c r="O108" s="253"/>
      <c r="P108" s="253"/>
      <c r="Q108" s="253"/>
      <c r="R108" s="253"/>
      <c r="S108" s="253"/>
      <c r="T108" s="253"/>
      <c r="U108" s="253"/>
      <c r="V108" s="253"/>
      <c r="W108" s="253"/>
      <c r="X108" s="253"/>
      <c r="Y108" s="253"/>
      <c r="Z108" s="253"/>
      <c r="AA108" s="253"/>
      <c r="AB108" s="253"/>
      <c r="AC108" s="253"/>
      <c r="AD108" s="253"/>
      <c r="AE108" s="253"/>
      <c r="AF108" s="253"/>
      <c r="AG108" s="253"/>
      <c r="AH108" s="253"/>
      <c r="AI108" s="253"/>
      <c r="AJ108" s="253"/>
      <c r="AK108" s="253"/>
      <c r="AL108" s="253"/>
      <c r="AM108" s="253"/>
      <c r="AN108" s="253"/>
      <c r="AO108" s="253"/>
      <c r="AP108" s="253"/>
      <c r="AQ108" s="253"/>
      <c r="AR108" s="253"/>
      <c r="AS108" s="253"/>
      <c r="AT108" s="253"/>
      <c r="AU108" s="253"/>
      <c r="AV108" s="253"/>
      <c r="AW108" s="253"/>
      <c r="AX108" s="253"/>
      <c r="AY108" s="253"/>
      <c r="AZ108" s="253"/>
      <c r="BA108" s="253"/>
      <c r="BB108" s="253"/>
      <c r="BC108" s="253"/>
      <c r="BD108" s="253"/>
      <c r="BE108" s="253"/>
      <c r="BF108" s="253"/>
      <c r="BG108" s="253"/>
      <c r="BH108" s="253"/>
      <c r="BI108" s="253"/>
      <c r="BJ108" s="253"/>
    </row>
    <row r="109" spans="1:62" ht="24" customHeight="1">
      <c r="A109" s="256"/>
      <c r="B109" s="256"/>
      <c r="C109" s="264"/>
      <c r="D109" s="254"/>
      <c r="E109" s="254"/>
      <c r="F109" s="258"/>
      <c r="G109" s="254"/>
      <c r="H109" s="258"/>
      <c r="I109" s="254"/>
      <c r="J109" s="258"/>
      <c r="K109" s="258"/>
      <c r="L109" s="258"/>
      <c r="M109" s="256"/>
      <c r="N109" s="253"/>
      <c r="O109" s="253"/>
      <c r="P109" s="253"/>
      <c r="Q109" s="253"/>
      <c r="R109" s="253"/>
      <c r="S109" s="253"/>
      <c r="T109" s="253"/>
      <c r="U109" s="253"/>
      <c r="V109" s="253"/>
      <c r="W109" s="253"/>
      <c r="X109" s="253"/>
      <c r="Y109" s="253"/>
      <c r="Z109" s="253"/>
      <c r="AA109" s="253"/>
      <c r="AB109" s="253"/>
      <c r="AC109" s="253"/>
      <c r="AD109" s="253"/>
      <c r="AE109" s="253"/>
      <c r="AF109" s="253"/>
      <c r="AG109" s="253"/>
      <c r="AH109" s="253"/>
      <c r="AI109" s="253"/>
      <c r="AJ109" s="253"/>
      <c r="AK109" s="253"/>
      <c r="AL109" s="253"/>
      <c r="AM109" s="253"/>
      <c r="AN109" s="253"/>
      <c r="AO109" s="253"/>
      <c r="AP109" s="253"/>
      <c r="AQ109" s="253"/>
      <c r="AR109" s="253"/>
      <c r="AS109" s="253"/>
      <c r="AT109" s="253"/>
      <c r="AU109" s="253"/>
      <c r="AV109" s="253"/>
      <c r="AW109" s="253"/>
      <c r="AX109" s="253"/>
      <c r="AY109" s="253"/>
      <c r="AZ109" s="253"/>
      <c r="BA109" s="253"/>
      <c r="BB109" s="253"/>
      <c r="BC109" s="253"/>
      <c r="BD109" s="253"/>
      <c r="BE109" s="253"/>
      <c r="BF109" s="253"/>
      <c r="BG109" s="253"/>
      <c r="BH109" s="253"/>
      <c r="BI109" s="253"/>
      <c r="BJ109" s="253"/>
    </row>
    <row r="110" spans="1:62" ht="24" customHeight="1">
      <c r="A110" s="256"/>
      <c r="B110" s="256"/>
      <c r="C110" s="264"/>
      <c r="D110" s="254"/>
      <c r="E110" s="254"/>
      <c r="F110" s="258"/>
      <c r="G110" s="254"/>
      <c r="H110" s="258"/>
      <c r="I110" s="254"/>
      <c r="J110" s="258"/>
      <c r="K110" s="258"/>
      <c r="L110" s="258"/>
      <c r="M110" s="256"/>
      <c r="N110" s="253"/>
      <c r="O110" s="253"/>
      <c r="P110" s="253"/>
      <c r="Q110" s="253"/>
      <c r="R110" s="253"/>
      <c r="S110" s="253"/>
      <c r="T110" s="253"/>
      <c r="U110" s="253"/>
      <c r="V110" s="253"/>
      <c r="W110" s="253"/>
      <c r="X110" s="253"/>
      <c r="Y110" s="253"/>
      <c r="Z110" s="253"/>
      <c r="AA110" s="253"/>
      <c r="AB110" s="253"/>
      <c r="AC110" s="253"/>
      <c r="AD110" s="253"/>
      <c r="AE110" s="253"/>
      <c r="AF110" s="253"/>
      <c r="AG110" s="253"/>
      <c r="AH110" s="253"/>
      <c r="AI110" s="253"/>
      <c r="AJ110" s="253"/>
      <c r="AK110" s="253"/>
      <c r="AL110" s="253"/>
      <c r="AM110" s="253"/>
      <c r="AN110" s="253"/>
      <c r="AO110" s="253"/>
      <c r="AP110" s="253"/>
      <c r="AQ110" s="253"/>
      <c r="AR110" s="253"/>
      <c r="AS110" s="253"/>
      <c r="AT110" s="253"/>
      <c r="AU110" s="253"/>
      <c r="AV110" s="253"/>
      <c r="AW110" s="253"/>
      <c r="AX110" s="253"/>
      <c r="AY110" s="253"/>
      <c r="AZ110" s="253"/>
      <c r="BA110" s="253"/>
      <c r="BB110" s="253"/>
      <c r="BC110" s="253"/>
      <c r="BD110" s="253"/>
      <c r="BE110" s="253"/>
      <c r="BF110" s="253"/>
      <c r="BG110" s="253"/>
      <c r="BH110" s="253"/>
      <c r="BI110" s="253"/>
      <c r="BJ110" s="253"/>
    </row>
    <row r="111" spans="1:62" ht="24" customHeight="1">
      <c r="A111" s="256"/>
      <c r="B111" s="256"/>
      <c r="C111" s="264"/>
      <c r="D111" s="254"/>
      <c r="E111" s="254"/>
      <c r="F111" s="258"/>
      <c r="G111" s="254"/>
      <c r="H111" s="258"/>
      <c r="I111" s="254"/>
      <c r="J111" s="258"/>
      <c r="K111" s="258"/>
      <c r="L111" s="258"/>
      <c r="M111" s="256"/>
      <c r="N111" s="253"/>
      <c r="O111" s="253"/>
      <c r="P111" s="253"/>
      <c r="Q111" s="253"/>
      <c r="R111" s="253"/>
      <c r="S111" s="253"/>
      <c r="T111" s="253"/>
      <c r="U111" s="253"/>
      <c r="V111" s="253"/>
      <c r="W111" s="253"/>
      <c r="X111" s="253"/>
      <c r="Y111" s="253"/>
      <c r="Z111" s="253"/>
      <c r="AA111" s="253"/>
      <c r="AB111" s="253"/>
      <c r="AC111" s="253"/>
      <c r="AD111" s="253"/>
      <c r="AE111" s="253"/>
      <c r="AF111" s="253"/>
      <c r="AG111" s="253"/>
      <c r="AH111" s="253"/>
      <c r="AI111" s="253"/>
      <c r="AJ111" s="253"/>
      <c r="AK111" s="253"/>
      <c r="AL111" s="253"/>
      <c r="AM111" s="253"/>
      <c r="AN111" s="253"/>
      <c r="AO111" s="253"/>
      <c r="AP111" s="253"/>
      <c r="AQ111" s="253"/>
      <c r="AR111" s="253"/>
      <c r="AS111" s="253"/>
      <c r="AT111" s="253"/>
      <c r="AU111" s="253"/>
      <c r="AV111" s="253"/>
      <c r="AW111" s="253"/>
      <c r="AX111" s="253"/>
      <c r="AY111" s="253"/>
      <c r="AZ111" s="253"/>
      <c r="BA111" s="253"/>
      <c r="BB111" s="253"/>
      <c r="BC111" s="253"/>
      <c r="BD111" s="253"/>
      <c r="BE111" s="253"/>
      <c r="BF111" s="253"/>
      <c r="BG111" s="253"/>
      <c r="BH111" s="253"/>
      <c r="BI111" s="253"/>
      <c r="BJ111" s="253"/>
    </row>
    <row r="112" spans="1:62" ht="24" customHeight="1">
      <c r="A112" s="256"/>
      <c r="B112" s="256"/>
      <c r="C112" s="264"/>
      <c r="D112" s="254"/>
      <c r="E112" s="254"/>
      <c r="F112" s="258"/>
      <c r="G112" s="254"/>
      <c r="H112" s="258"/>
      <c r="I112" s="254"/>
      <c r="J112" s="258"/>
      <c r="K112" s="258"/>
      <c r="L112" s="258"/>
      <c r="M112" s="256"/>
      <c r="N112" s="253"/>
      <c r="O112" s="253"/>
      <c r="P112" s="253"/>
      <c r="Q112" s="253"/>
      <c r="R112" s="253"/>
      <c r="S112" s="253"/>
      <c r="T112" s="253"/>
      <c r="U112" s="253"/>
      <c r="V112" s="253"/>
      <c r="W112" s="253"/>
      <c r="X112" s="253"/>
      <c r="Y112" s="253"/>
      <c r="Z112" s="253"/>
      <c r="AA112" s="253"/>
      <c r="AB112" s="253"/>
      <c r="AC112" s="253"/>
      <c r="AD112" s="253"/>
      <c r="AE112" s="253"/>
      <c r="AF112" s="253"/>
      <c r="AG112" s="253"/>
      <c r="AH112" s="253"/>
      <c r="AI112" s="253"/>
      <c r="AJ112" s="253"/>
      <c r="AK112" s="253"/>
      <c r="AL112" s="253"/>
      <c r="AM112" s="253"/>
      <c r="AN112" s="253"/>
      <c r="AO112" s="253"/>
      <c r="AP112" s="253"/>
      <c r="AQ112" s="253"/>
      <c r="AR112" s="253"/>
      <c r="AS112" s="253"/>
      <c r="AT112" s="253"/>
      <c r="AU112" s="253"/>
      <c r="AV112" s="253"/>
      <c r="AW112" s="253"/>
      <c r="AX112" s="253"/>
      <c r="AY112" s="253"/>
      <c r="AZ112" s="253"/>
      <c r="BA112" s="253"/>
      <c r="BB112" s="253"/>
      <c r="BC112" s="253"/>
      <c r="BD112" s="253"/>
      <c r="BE112" s="253"/>
      <c r="BF112" s="253"/>
      <c r="BG112" s="253"/>
      <c r="BH112" s="253"/>
      <c r="BI112" s="253"/>
      <c r="BJ112" s="253"/>
    </row>
    <row r="113" spans="1:62" ht="24" customHeight="1">
      <c r="A113" s="256"/>
      <c r="B113" s="256"/>
      <c r="C113" s="264"/>
      <c r="D113" s="254"/>
      <c r="E113" s="254"/>
      <c r="F113" s="258"/>
      <c r="G113" s="254"/>
      <c r="H113" s="258"/>
      <c r="I113" s="254"/>
      <c r="J113" s="258"/>
      <c r="K113" s="258"/>
      <c r="L113" s="258"/>
      <c r="M113" s="256"/>
      <c r="N113" s="253"/>
      <c r="O113" s="253"/>
      <c r="P113" s="253"/>
      <c r="Q113" s="253"/>
      <c r="R113" s="253"/>
      <c r="S113" s="253"/>
      <c r="T113" s="253"/>
      <c r="U113" s="253"/>
      <c r="V113" s="253"/>
      <c r="W113" s="253"/>
      <c r="X113" s="253"/>
      <c r="Y113" s="253"/>
      <c r="Z113" s="253"/>
      <c r="AA113" s="253"/>
      <c r="AB113" s="253"/>
      <c r="AC113" s="253"/>
      <c r="AD113" s="253"/>
      <c r="AE113" s="253"/>
      <c r="AF113" s="253"/>
      <c r="AG113" s="253"/>
      <c r="AH113" s="253"/>
      <c r="AI113" s="253"/>
      <c r="AJ113" s="253"/>
      <c r="AK113" s="253"/>
      <c r="AL113" s="253"/>
      <c r="AM113" s="253"/>
      <c r="AN113" s="253"/>
      <c r="AO113" s="253"/>
      <c r="AP113" s="253"/>
      <c r="AQ113" s="253"/>
      <c r="AR113" s="253"/>
      <c r="AS113" s="253"/>
      <c r="AT113" s="253"/>
      <c r="AU113" s="253"/>
      <c r="AV113" s="253"/>
      <c r="AW113" s="253"/>
      <c r="AX113" s="253"/>
      <c r="AY113" s="253"/>
      <c r="AZ113" s="253"/>
      <c r="BA113" s="253"/>
      <c r="BB113" s="253"/>
      <c r="BC113" s="253"/>
      <c r="BD113" s="253"/>
      <c r="BE113" s="253"/>
      <c r="BF113" s="253"/>
      <c r="BG113" s="253"/>
      <c r="BH113" s="253"/>
      <c r="BI113" s="253"/>
      <c r="BJ113" s="253"/>
    </row>
    <row r="114" spans="1:62" ht="24" customHeight="1">
      <c r="A114" s="256"/>
      <c r="B114" s="256"/>
      <c r="C114" s="264"/>
      <c r="D114" s="254"/>
      <c r="E114" s="254"/>
      <c r="F114" s="258"/>
      <c r="G114" s="254"/>
      <c r="H114" s="258"/>
      <c r="I114" s="254"/>
      <c r="J114" s="258"/>
      <c r="K114" s="258"/>
      <c r="L114" s="258"/>
      <c r="M114" s="256"/>
      <c r="N114" s="253"/>
      <c r="O114" s="253"/>
      <c r="P114" s="253"/>
      <c r="Q114" s="253"/>
      <c r="R114" s="253"/>
      <c r="S114" s="253"/>
      <c r="T114" s="253"/>
      <c r="U114" s="253"/>
      <c r="V114" s="253"/>
      <c r="W114" s="253"/>
      <c r="X114" s="253"/>
      <c r="Y114" s="253"/>
      <c r="Z114" s="253"/>
      <c r="AA114" s="253"/>
      <c r="AB114" s="253"/>
      <c r="AC114" s="253"/>
      <c r="AD114" s="253"/>
      <c r="AE114" s="253"/>
      <c r="AF114" s="253"/>
      <c r="AG114" s="253"/>
      <c r="AH114" s="253"/>
      <c r="AI114" s="253"/>
      <c r="AJ114" s="253"/>
      <c r="AK114" s="253"/>
      <c r="AL114" s="253"/>
      <c r="AM114" s="253"/>
      <c r="AN114" s="253"/>
      <c r="AO114" s="253"/>
      <c r="AP114" s="253"/>
      <c r="AQ114" s="253"/>
      <c r="AR114" s="253"/>
      <c r="AS114" s="253"/>
      <c r="AT114" s="253"/>
      <c r="AU114" s="253"/>
      <c r="AV114" s="253"/>
      <c r="AW114" s="253"/>
      <c r="AX114" s="253"/>
      <c r="AY114" s="253"/>
      <c r="AZ114" s="253"/>
      <c r="BA114" s="253"/>
      <c r="BB114" s="253"/>
      <c r="BC114" s="253"/>
      <c r="BD114" s="253"/>
      <c r="BE114" s="253"/>
      <c r="BF114" s="253"/>
      <c r="BG114" s="253"/>
      <c r="BH114" s="253"/>
      <c r="BI114" s="253"/>
      <c r="BJ114" s="253"/>
    </row>
    <row r="115" spans="1:62" ht="24" customHeight="1">
      <c r="A115" s="256"/>
      <c r="B115" s="256"/>
      <c r="C115" s="264"/>
      <c r="D115" s="254"/>
      <c r="E115" s="254"/>
      <c r="F115" s="258"/>
      <c r="G115" s="254"/>
      <c r="H115" s="258"/>
      <c r="I115" s="254"/>
      <c r="J115" s="258"/>
      <c r="K115" s="258"/>
      <c r="L115" s="258"/>
      <c r="M115" s="256"/>
      <c r="N115" s="253"/>
      <c r="O115" s="253"/>
      <c r="P115" s="253"/>
      <c r="Q115" s="253"/>
      <c r="R115" s="253"/>
      <c r="S115" s="253"/>
      <c r="T115" s="253"/>
      <c r="U115" s="253"/>
      <c r="V115" s="253"/>
      <c r="W115" s="253"/>
      <c r="X115" s="253"/>
      <c r="Y115" s="253"/>
      <c r="Z115" s="253"/>
      <c r="AA115" s="253"/>
      <c r="AB115" s="253"/>
      <c r="AC115" s="253"/>
      <c r="AD115" s="253"/>
      <c r="AE115" s="253"/>
      <c r="AF115" s="253"/>
      <c r="AG115" s="253"/>
      <c r="AH115" s="253"/>
      <c r="AI115" s="253"/>
      <c r="AJ115" s="253"/>
      <c r="AK115" s="253"/>
      <c r="AL115" s="253"/>
      <c r="AM115" s="253"/>
      <c r="AN115" s="253"/>
      <c r="AO115" s="253"/>
      <c r="AP115" s="253"/>
      <c r="AQ115" s="253"/>
      <c r="AR115" s="253"/>
      <c r="AS115" s="253"/>
      <c r="AT115" s="253"/>
      <c r="AU115" s="253"/>
      <c r="AV115" s="253"/>
      <c r="AW115" s="253"/>
      <c r="AX115" s="253"/>
      <c r="AY115" s="253"/>
      <c r="AZ115" s="253"/>
      <c r="BA115" s="253"/>
      <c r="BB115" s="253"/>
      <c r="BC115" s="253"/>
      <c r="BD115" s="253"/>
      <c r="BE115" s="253"/>
      <c r="BF115" s="253"/>
      <c r="BG115" s="253"/>
      <c r="BH115" s="253"/>
      <c r="BI115" s="253"/>
      <c r="BJ115" s="253"/>
    </row>
    <row r="116" spans="1:62" ht="24" customHeight="1">
      <c r="A116" s="265" t="s">
        <v>1100</v>
      </c>
      <c r="B116" s="265" t="s">
        <v>68</v>
      </c>
      <c r="C116" s="266">
        <v>1</v>
      </c>
      <c r="D116" s="267" t="s">
        <v>1094</v>
      </c>
      <c r="E116" s="267"/>
      <c r="F116" s="268">
        <f>TRUNC(F117+F118,0)</f>
        <v>0</v>
      </c>
      <c r="G116" s="267"/>
      <c r="H116" s="268"/>
      <c r="I116" s="267"/>
      <c r="J116" s="268"/>
      <c r="K116" s="267"/>
      <c r="L116" s="268"/>
      <c r="M116" s="265"/>
      <c r="N116" s="253" t="s">
        <v>68</v>
      </c>
      <c r="O116" s="253" t="s">
        <v>1102</v>
      </c>
      <c r="P116" s="253"/>
      <c r="Q116" s="253"/>
      <c r="R116" s="253"/>
      <c r="S116" s="253"/>
      <c r="T116" s="253"/>
      <c r="U116" s="253"/>
      <c r="V116" s="253"/>
      <c r="W116" s="253"/>
      <c r="X116" s="253"/>
      <c r="Y116" s="253"/>
      <c r="Z116" s="253"/>
      <c r="AA116" s="253"/>
      <c r="AB116" s="253"/>
      <c r="AC116" s="253"/>
      <c r="AD116" s="253"/>
      <c r="AE116" s="253"/>
      <c r="AF116" s="253"/>
      <c r="AG116" s="253"/>
      <c r="AH116" s="253"/>
      <c r="AI116" s="253"/>
      <c r="AJ116" s="253"/>
      <c r="AK116" s="253"/>
      <c r="AL116" s="253"/>
      <c r="AM116" s="253"/>
      <c r="AN116" s="253"/>
      <c r="AO116" s="253"/>
      <c r="AP116" s="253"/>
      <c r="AQ116" s="253"/>
      <c r="AR116" s="253"/>
      <c r="AS116" s="253"/>
      <c r="AT116" s="253"/>
      <c r="AU116" s="253"/>
      <c r="AV116" s="253"/>
      <c r="AW116" s="253"/>
      <c r="AX116" s="253"/>
      <c r="AY116" s="253"/>
      <c r="AZ116" s="253"/>
      <c r="BA116" s="253"/>
      <c r="BB116" s="253"/>
      <c r="BC116" s="253"/>
      <c r="BD116" s="253"/>
      <c r="BE116" s="253"/>
      <c r="BF116" s="253"/>
      <c r="BG116" s="253"/>
      <c r="BH116" s="253"/>
      <c r="BI116" s="253"/>
      <c r="BJ116" s="253"/>
    </row>
    <row r="117" spans="1:62" ht="24" customHeight="1">
      <c r="A117" s="269" t="s">
        <v>1244</v>
      </c>
      <c r="B117" s="269" t="s">
        <v>68</v>
      </c>
      <c r="C117" s="270">
        <v>1</v>
      </c>
      <c r="D117" s="271" t="s">
        <v>1094</v>
      </c>
      <c r="E117" s="272">
        <f>F132</f>
        <v>0</v>
      </c>
      <c r="F117" s="272">
        <f>TRUNC(E117*C117,0)</f>
        <v>0</v>
      </c>
      <c r="G117" s="272">
        <f>H132</f>
        <v>0</v>
      </c>
      <c r="H117" s="272"/>
      <c r="I117" s="272"/>
      <c r="J117" s="272"/>
      <c r="K117" s="272"/>
      <c r="L117" s="272"/>
      <c r="M117" s="269"/>
      <c r="N117" s="253" t="s">
        <v>68</v>
      </c>
      <c r="O117" s="253"/>
      <c r="P117" s="253" t="s">
        <v>1095</v>
      </c>
      <c r="Q117" s="253" t="s">
        <v>68</v>
      </c>
      <c r="R117" s="253" t="s">
        <v>1245</v>
      </c>
      <c r="S117" s="253"/>
      <c r="T117" s="253"/>
      <c r="U117" s="253"/>
      <c r="V117" s="253"/>
      <c r="W117" s="253"/>
      <c r="X117" s="253"/>
      <c r="Y117" s="253"/>
      <c r="Z117" s="253"/>
      <c r="AA117" s="253"/>
      <c r="AB117" s="253"/>
      <c r="AC117" s="253"/>
      <c r="AD117" s="253"/>
      <c r="AE117" s="253"/>
      <c r="AF117" s="253"/>
      <c r="AG117" s="253"/>
      <c r="AH117" s="253"/>
      <c r="AI117" s="253"/>
      <c r="AJ117" s="253"/>
      <c r="AK117" s="253"/>
      <c r="AL117" s="253"/>
      <c r="AM117" s="253"/>
      <c r="AN117" s="253"/>
      <c r="AO117" s="253"/>
      <c r="AP117" s="253"/>
      <c r="AQ117" s="253"/>
      <c r="AR117" s="253"/>
      <c r="AS117" s="253"/>
      <c r="AT117" s="253"/>
      <c r="AU117" s="253"/>
      <c r="AV117" s="253"/>
      <c r="AW117" s="253"/>
      <c r="AX117" s="253"/>
      <c r="AY117" s="253"/>
      <c r="AZ117" s="253"/>
      <c r="BA117" s="253"/>
      <c r="BB117" s="253"/>
      <c r="BC117" s="253"/>
      <c r="BD117" s="253"/>
      <c r="BE117" s="253"/>
      <c r="BF117" s="253"/>
      <c r="BG117" s="253"/>
      <c r="BH117" s="253"/>
      <c r="BI117" s="253"/>
      <c r="BJ117" s="263" t="str">
        <f>HYPERLINK("#내역서!A112","A03-01 →")</f>
        <v>A03-01 →</v>
      </c>
    </row>
    <row r="118" spans="1:62" ht="24" customHeight="1">
      <c r="A118" s="269" t="s">
        <v>1246</v>
      </c>
      <c r="B118" s="269" t="s">
        <v>68</v>
      </c>
      <c r="C118" s="270">
        <v>1</v>
      </c>
      <c r="D118" s="271" t="s">
        <v>1094</v>
      </c>
      <c r="E118" s="272">
        <f>F260</f>
        <v>0</v>
      </c>
      <c r="F118" s="272">
        <f>TRUNC(E118*C118,0)</f>
        <v>0</v>
      </c>
      <c r="G118" s="272">
        <f>H260</f>
        <v>0</v>
      </c>
      <c r="H118" s="272"/>
      <c r="I118" s="272"/>
      <c r="J118" s="272"/>
      <c r="K118" s="272"/>
      <c r="L118" s="272"/>
      <c r="M118" s="269"/>
      <c r="N118" s="253" t="s">
        <v>68</v>
      </c>
      <c r="O118" s="253"/>
      <c r="P118" s="253" t="s">
        <v>1098</v>
      </c>
      <c r="Q118" s="253" t="s">
        <v>68</v>
      </c>
      <c r="R118" s="253" t="s">
        <v>1247</v>
      </c>
      <c r="S118" s="253"/>
      <c r="T118" s="253"/>
      <c r="U118" s="253"/>
      <c r="V118" s="253"/>
      <c r="W118" s="253"/>
      <c r="X118" s="253"/>
      <c r="Y118" s="253"/>
      <c r="Z118" s="253"/>
      <c r="AA118" s="253"/>
      <c r="AB118" s="253"/>
      <c r="AC118" s="253"/>
      <c r="AD118" s="253"/>
      <c r="AE118" s="253"/>
      <c r="AF118" s="253"/>
      <c r="AG118" s="253"/>
      <c r="AH118" s="253"/>
      <c r="AI118" s="253"/>
      <c r="AJ118" s="253"/>
      <c r="AK118" s="253"/>
      <c r="AL118" s="253"/>
      <c r="AM118" s="253"/>
      <c r="AN118" s="253"/>
      <c r="AO118" s="253"/>
      <c r="AP118" s="253"/>
      <c r="AQ118" s="253"/>
      <c r="AR118" s="253"/>
      <c r="AS118" s="253"/>
      <c r="AT118" s="253"/>
      <c r="AU118" s="253"/>
      <c r="AV118" s="253"/>
      <c r="AW118" s="253"/>
      <c r="AX118" s="253"/>
      <c r="AY118" s="253"/>
      <c r="AZ118" s="253"/>
      <c r="BA118" s="253"/>
      <c r="BB118" s="253"/>
      <c r="BC118" s="253"/>
      <c r="BD118" s="253"/>
      <c r="BE118" s="253"/>
      <c r="BF118" s="253"/>
      <c r="BG118" s="253"/>
      <c r="BH118" s="253"/>
      <c r="BI118" s="253"/>
      <c r="BJ118" s="263" t="str">
        <f>HYPERLINK("#내역서!A234","A03-02 →")</f>
        <v>A03-02 →</v>
      </c>
    </row>
    <row r="119" spans="1:62" ht="24" customHeight="1">
      <c r="A119" s="256" t="s">
        <v>68</v>
      </c>
      <c r="B119" s="256" t="s">
        <v>68</v>
      </c>
      <c r="C119" s="264"/>
      <c r="D119" s="254" t="s">
        <v>68</v>
      </c>
      <c r="E119" s="254"/>
      <c r="F119" s="258">
        <v>0</v>
      </c>
      <c r="G119" s="254"/>
      <c r="H119" s="258"/>
      <c r="I119" s="254"/>
      <c r="J119" s="258"/>
      <c r="K119" s="258"/>
      <c r="L119" s="258"/>
      <c r="M119" s="256"/>
      <c r="N119" s="253" t="s">
        <v>68</v>
      </c>
      <c r="O119" s="253"/>
      <c r="P119" s="253" t="s">
        <v>1101</v>
      </c>
      <c r="Q119" s="253" t="s">
        <v>68</v>
      </c>
      <c r="R119" s="253" t="s">
        <v>68</v>
      </c>
      <c r="S119" s="253"/>
      <c r="T119" s="253"/>
      <c r="U119" s="253"/>
      <c r="V119" s="253"/>
      <c r="W119" s="253"/>
      <c r="X119" s="253"/>
      <c r="Y119" s="253"/>
      <c r="Z119" s="253"/>
      <c r="AA119" s="253"/>
      <c r="AB119" s="253"/>
      <c r="AC119" s="253"/>
      <c r="AD119" s="253"/>
      <c r="AE119" s="253"/>
      <c r="AF119" s="253"/>
      <c r="AG119" s="253"/>
      <c r="AH119" s="253"/>
      <c r="AI119" s="253"/>
      <c r="AJ119" s="253"/>
      <c r="AK119" s="253"/>
      <c r="AL119" s="253"/>
      <c r="AM119" s="253"/>
      <c r="AN119" s="253"/>
      <c r="AO119" s="253"/>
      <c r="AP119" s="253"/>
      <c r="AQ119" s="253"/>
      <c r="AR119" s="253"/>
      <c r="AS119" s="253"/>
      <c r="AT119" s="253"/>
      <c r="AU119" s="253"/>
      <c r="AV119" s="253"/>
      <c r="AW119" s="253"/>
      <c r="AX119" s="253"/>
      <c r="AY119" s="253"/>
      <c r="AZ119" s="253"/>
      <c r="BA119" s="253"/>
      <c r="BB119" s="253"/>
      <c r="BC119" s="253"/>
      <c r="BD119" s="253"/>
      <c r="BE119" s="253"/>
      <c r="BF119" s="253"/>
      <c r="BG119" s="253"/>
      <c r="BH119" s="253"/>
      <c r="BI119" s="253"/>
      <c r="BJ119" s="253"/>
    </row>
    <row r="120" spans="1:62" ht="24" customHeight="1">
      <c r="A120" s="256"/>
      <c r="B120" s="256"/>
      <c r="C120" s="264"/>
      <c r="D120" s="254"/>
      <c r="E120" s="254"/>
      <c r="F120" s="258"/>
      <c r="G120" s="254"/>
      <c r="H120" s="258"/>
      <c r="I120" s="254"/>
      <c r="J120" s="258"/>
      <c r="K120" s="258"/>
      <c r="L120" s="258"/>
      <c r="M120" s="256"/>
      <c r="N120" s="253"/>
      <c r="O120" s="253"/>
      <c r="P120" s="253"/>
      <c r="Q120" s="253"/>
      <c r="R120" s="253"/>
      <c r="S120" s="253"/>
      <c r="T120" s="253"/>
      <c r="U120" s="253"/>
      <c r="V120" s="253"/>
      <c r="W120" s="253"/>
      <c r="X120" s="253"/>
      <c r="Y120" s="253"/>
      <c r="Z120" s="253"/>
      <c r="AA120" s="253"/>
      <c r="AB120" s="253"/>
      <c r="AC120" s="253"/>
      <c r="AD120" s="253"/>
      <c r="AE120" s="253"/>
      <c r="AF120" s="253"/>
      <c r="AG120" s="253"/>
      <c r="AH120" s="253"/>
      <c r="AI120" s="253"/>
      <c r="AJ120" s="253"/>
      <c r="AK120" s="253"/>
      <c r="AL120" s="253"/>
      <c r="AM120" s="253"/>
      <c r="AN120" s="253"/>
      <c r="AO120" s="253"/>
      <c r="AP120" s="253"/>
      <c r="AQ120" s="253"/>
      <c r="AR120" s="253"/>
      <c r="AS120" s="253"/>
      <c r="AT120" s="253"/>
      <c r="AU120" s="253"/>
      <c r="AV120" s="253"/>
      <c r="AW120" s="253"/>
      <c r="AX120" s="253"/>
      <c r="AY120" s="253"/>
      <c r="AZ120" s="253"/>
      <c r="BA120" s="253"/>
      <c r="BB120" s="253"/>
      <c r="BC120" s="253"/>
      <c r="BD120" s="253"/>
      <c r="BE120" s="253"/>
      <c r="BF120" s="253"/>
      <c r="BG120" s="253"/>
      <c r="BH120" s="253"/>
      <c r="BI120" s="253"/>
      <c r="BJ120" s="253"/>
    </row>
    <row r="121" spans="1:62" ht="24" customHeight="1">
      <c r="A121" s="256"/>
      <c r="B121" s="256"/>
      <c r="C121" s="264"/>
      <c r="D121" s="254"/>
      <c r="E121" s="254"/>
      <c r="F121" s="258"/>
      <c r="G121" s="254"/>
      <c r="H121" s="258"/>
      <c r="I121" s="254"/>
      <c r="J121" s="258"/>
      <c r="K121" s="258"/>
      <c r="L121" s="258"/>
      <c r="M121" s="256"/>
      <c r="N121" s="253"/>
      <c r="O121" s="253"/>
      <c r="P121" s="253"/>
      <c r="Q121" s="253"/>
      <c r="R121" s="253"/>
      <c r="S121" s="253"/>
      <c r="T121" s="253"/>
      <c r="U121" s="253"/>
      <c r="V121" s="253"/>
      <c r="W121" s="253"/>
      <c r="X121" s="253"/>
      <c r="Y121" s="253"/>
      <c r="Z121" s="253"/>
      <c r="AA121" s="253"/>
      <c r="AB121" s="253"/>
      <c r="AC121" s="253"/>
      <c r="AD121" s="253"/>
      <c r="AE121" s="253"/>
      <c r="AF121" s="253"/>
      <c r="AG121" s="253"/>
      <c r="AH121" s="253"/>
      <c r="AI121" s="253"/>
      <c r="AJ121" s="253"/>
      <c r="AK121" s="253"/>
      <c r="AL121" s="253"/>
      <c r="AM121" s="253"/>
      <c r="AN121" s="253"/>
      <c r="AO121" s="253"/>
      <c r="AP121" s="253"/>
      <c r="AQ121" s="253"/>
      <c r="AR121" s="253"/>
      <c r="AS121" s="253"/>
      <c r="AT121" s="253"/>
      <c r="AU121" s="253"/>
      <c r="AV121" s="253"/>
      <c r="AW121" s="253"/>
      <c r="AX121" s="253"/>
      <c r="AY121" s="253"/>
      <c r="AZ121" s="253"/>
      <c r="BA121" s="253"/>
      <c r="BB121" s="253"/>
      <c r="BC121" s="253"/>
      <c r="BD121" s="253"/>
      <c r="BE121" s="253"/>
      <c r="BF121" s="253"/>
      <c r="BG121" s="253"/>
      <c r="BH121" s="253"/>
      <c r="BI121" s="253"/>
      <c r="BJ121" s="253"/>
    </row>
    <row r="122" spans="1:62" ht="24" customHeight="1">
      <c r="A122" s="256"/>
      <c r="B122" s="256"/>
      <c r="C122" s="264"/>
      <c r="D122" s="254"/>
      <c r="E122" s="254"/>
      <c r="F122" s="258"/>
      <c r="G122" s="254"/>
      <c r="H122" s="258"/>
      <c r="I122" s="254"/>
      <c r="J122" s="258"/>
      <c r="K122" s="258"/>
      <c r="L122" s="258"/>
      <c r="M122" s="256"/>
      <c r="N122" s="253"/>
      <c r="O122" s="253"/>
      <c r="P122" s="253"/>
      <c r="Q122" s="253"/>
      <c r="R122" s="253"/>
      <c r="S122" s="253"/>
      <c r="T122" s="253"/>
      <c r="U122" s="253"/>
      <c r="V122" s="253"/>
      <c r="W122" s="253"/>
      <c r="X122" s="253"/>
      <c r="Y122" s="253"/>
      <c r="Z122" s="253"/>
      <c r="AA122" s="253"/>
      <c r="AB122" s="253"/>
      <c r="AC122" s="253"/>
      <c r="AD122" s="253"/>
      <c r="AE122" s="253"/>
      <c r="AF122" s="253"/>
      <c r="AG122" s="253"/>
      <c r="AH122" s="253"/>
      <c r="AI122" s="253"/>
      <c r="AJ122" s="253"/>
      <c r="AK122" s="253"/>
      <c r="AL122" s="253"/>
      <c r="AM122" s="253"/>
      <c r="AN122" s="253"/>
      <c r="AO122" s="253"/>
      <c r="AP122" s="253"/>
      <c r="AQ122" s="253"/>
      <c r="AR122" s="253"/>
      <c r="AS122" s="253"/>
      <c r="AT122" s="253"/>
      <c r="AU122" s="253"/>
      <c r="AV122" s="253"/>
      <c r="AW122" s="253"/>
      <c r="AX122" s="253"/>
      <c r="AY122" s="253"/>
      <c r="AZ122" s="253"/>
      <c r="BA122" s="253"/>
      <c r="BB122" s="253"/>
      <c r="BC122" s="253"/>
      <c r="BD122" s="253"/>
      <c r="BE122" s="253"/>
      <c r="BF122" s="253"/>
      <c r="BG122" s="253"/>
      <c r="BH122" s="253"/>
      <c r="BI122" s="253"/>
      <c r="BJ122" s="253"/>
    </row>
    <row r="123" spans="1:62" ht="24" customHeight="1">
      <c r="A123" s="256"/>
      <c r="B123" s="256"/>
      <c r="C123" s="264"/>
      <c r="D123" s="254"/>
      <c r="E123" s="254"/>
      <c r="F123" s="258"/>
      <c r="G123" s="254"/>
      <c r="H123" s="258"/>
      <c r="I123" s="254"/>
      <c r="J123" s="258"/>
      <c r="K123" s="258"/>
      <c r="L123" s="258"/>
      <c r="M123" s="256"/>
      <c r="N123" s="253"/>
      <c r="O123" s="253"/>
      <c r="P123" s="253"/>
      <c r="Q123" s="253"/>
      <c r="R123" s="253"/>
      <c r="S123" s="253"/>
      <c r="T123" s="253"/>
      <c r="U123" s="253"/>
      <c r="V123" s="253"/>
      <c r="W123" s="253"/>
      <c r="X123" s="253"/>
      <c r="Y123" s="253"/>
      <c r="Z123" s="253"/>
      <c r="AA123" s="253"/>
      <c r="AB123" s="253"/>
      <c r="AC123" s="253"/>
      <c r="AD123" s="253"/>
      <c r="AE123" s="253"/>
      <c r="AF123" s="253"/>
      <c r="AG123" s="253"/>
      <c r="AH123" s="253"/>
      <c r="AI123" s="253"/>
      <c r="AJ123" s="253"/>
      <c r="AK123" s="253"/>
      <c r="AL123" s="253"/>
      <c r="AM123" s="253"/>
      <c r="AN123" s="253"/>
      <c r="AO123" s="253"/>
      <c r="AP123" s="253"/>
      <c r="AQ123" s="253"/>
      <c r="AR123" s="253"/>
      <c r="AS123" s="253"/>
      <c r="AT123" s="253"/>
      <c r="AU123" s="253"/>
      <c r="AV123" s="253"/>
      <c r="AW123" s="253"/>
      <c r="AX123" s="253"/>
      <c r="AY123" s="253"/>
      <c r="AZ123" s="253"/>
      <c r="BA123" s="253"/>
      <c r="BB123" s="253"/>
      <c r="BC123" s="253"/>
      <c r="BD123" s="253"/>
      <c r="BE123" s="253"/>
      <c r="BF123" s="253"/>
      <c r="BG123" s="253"/>
      <c r="BH123" s="253"/>
      <c r="BI123" s="253"/>
      <c r="BJ123" s="253"/>
    </row>
    <row r="124" spans="1:62" ht="24" customHeight="1">
      <c r="A124" s="256"/>
      <c r="B124" s="256"/>
      <c r="C124" s="264"/>
      <c r="D124" s="254"/>
      <c r="E124" s="254"/>
      <c r="F124" s="258"/>
      <c r="G124" s="254"/>
      <c r="H124" s="258"/>
      <c r="I124" s="254"/>
      <c r="J124" s="258"/>
      <c r="K124" s="258"/>
      <c r="L124" s="258"/>
      <c r="M124" s="256"/>
      <c r="N124" s="253"/>
      <c r="O124" s="253"/>
      <c r="P124" s="253"/>
      <c r="Q124" s="253"/>
      <c r="R124" s="253"/>
      <c r="S124" s="253"/>
      <c r="T124" s="253"/>
      <c r="U124" s="253"/>
      <c r="V124" s="253"/>
      <c r="W124" s="253"/>
      <c r="X124" s="253"/>
      <c r="Y124" s="253"/>
      <c r="Z124" s="253"/>
      <c r="AA124" s="253"/>
      <c r="AB124" s="253"/>
      <c r="AC124" s="253"/>
      <c r="AD124" s="253"/>
      <c r="AE124" s="253"/>
      <c r="AF124" s="253"/>
      <c r="AG124" s="253"/>
      <c r="AH124" s="253"/>
      <c r="AI124" s="253"/>
      <c r="AJ124" s="253"/>
      <c r="AK124" s="253"/>
      <c r="AL124" s="253"/>
      <c r="AM124" s="253"/>
      <c r="AN124" s="253"/>
      <c r="AO124" s="253"/>
      <c r="AP124" s="253"/>
      <c r="AQ124" s="253"/>
      <c r="AR124" s="253"/>
      <c r="AS124" s="253"/>
      <c r="AT124" s="253"/>
      <c r="AU124" s="253"/>
      <c r="AV124" s="253"/>
      <c r="AW124" s="253"/>
      <c r="AX124" s="253"/>
      <c r="AY124" s="253"/>
      <c r="AZ124" s="253"/>
      <c r="BA124" s="253"/>
      <c r="BB124" s="253"/>
      <c r="BC124" s="253"/>
      <c r="BD124" s="253"/>
      <c r="BE124" s="253"/>
      <c r="BF124" s="253"/>
      <c r="BG124" s="253"/>
      <c r="BH124" s="253"/>
      <c r="BI124" s="253"/>
      <c r="BJ124" s="253"/>
    </row>
    <row r="125" spans="1:62" ht="24" customHeight="1">
      <c r="A125" s="256"/>
      <c r="B125" s="256"/>
      <c r="C125" s="264"/>
      <c r="D125" s="254"/>
      <c r="E125" s="254"/>
      <c r="F125" s="258"/>
      <c r="G125" s="254"/>
      <c r="H125" s="258"/>
      <c r="I125" s="254"/>
      <c r="J125" s="258"/>
      <c r="K125" s="258"/>
      <c r="L125" s="258"/>
      <c r="M125" s="256"/>
      <c r="N125" s="253"/>
      <c r="O125" s="253"/>
      <c r="P125" s="253"/>
      <c r="Q125" s="253"/>
      <c r="R125" s="253"/>
      <c r="S125" s="253"/>
      <c r="T125" s="253"/>
      <c r="U125" s="253"/>
      <c r="V125" s="253"/>
      <c r="W125" s="253"/>
      <c r="X125" s="253"/>
      <c r="Y125" s="253"/>
      <c r="Z125" s="253"/>
      <c r="AA125" s="253"/>
      <c r="AB125" s="253"/>
      <c r="AC125" s="253"/>
      <c r="AD125" s="253"/>
      <c r="AE125" s="253"/>
      <c r="AF125" s="253"/>
      <c r="AG125" s="253"/>
      <c r="AH125" s="253"/>
      <c r="AI125" s="253"/>
      <c r="AJ125" s="253"/>
      <c r="AK125" s="253"/>
      <c r="AL125" s="253"/>
      <c r="AM125" s="253"/>
      <c r="AN125" s="253"/>
      <c r="AO125" s="253"/>
      <c r="AP125" s="253"/>
      <c r="AQ125" s="253"/>
      <c r="AR125" s="253"/>
      <c r="AS125" s="253"/>
      <c r="AT125" s="253"/>
      <c r="AU125" s="253"/>
      <c r="AV125" s="253"/>
      <c r="AW125" s="253"/>
      <c r="AX125" s="253"/>
      <c r="AY125" s="253"/>
      <c r="AZ125" s="253"/>
      <c r="BA125" s="253"/>
      <c r="BB125" s="253"/>
      <c r="BC125" s="253"/>
      <c r="BD125" s="253"/>
      <c r="BE125" s="253"/>
      <c r="BF125" s="253"/>
      <c r="BG125" s="253"/>
      <c r="BH125" s="253"/>
      <c r="BI125" s="253"/>
      <c r="BJ125" s="253"/>
    </row>
    <row r="126" spans="1:62" ht="24" customHeight="1">
      <c r="A126" s="256"/>
      <c r="B126" s="256"/>
      <c r="C126" s="264"/>
      <c r="D126" s="254"/>
      <c r="E126" s="254"/>
      <c r="F126" s="258"/>
      <c r="G126" s="254"/>
      <c r="H126" s="258"/>
      <c r="I126" s="254"/>
      <c r="J126" s="258"/>
      <c r="K126" s="258"/>
      <c r="L126" s="258"/>
      <c r="M126" s="256"/>
      <c r="N126" s="253"/>
      <c r="O126" s="253"/>
      <c r="P126" s="253"/>
      <c r="Q126" s="253"/>
      <c r="R126" s="253"/>
      <c r="S126" s="253"/>
      <c r="T126" s="253"/>
      <c r="U126" s="253"/>
      <c r="V126" s="253"/>
      <c r="W126" s="253"/>
      <c r="X126" s="253"/>
      <c r="Y126" s="253"/>
      <c r="Z126" s="253"/>
      <c r="AA126" s="253"/>
      <c r="AB126" s="253"/>
      <c r="AC126" s="253"/>
      <c r="AD126" s="253"/>
      <c r="AE126" s="253"/>
      <c r="AF126" s="253"/>
      <c r="AG126" s="253"/>
      <c r="AH126" s="253"/>
      <c r="AI126" s="253"/>
      <c r="AJ126" s="253"/>
      <c r="AK126" s="253"/>
      <c r="AL126" s="253"/>
      <c r="AM126" s="253"/>
      <c r="AN126" s="253"/>
      <c r="AO126" s="253"/>
      <c r="AP126" s="253"/>
      <c r="AQ126" s="253"/>
      <c r="AR126" s="253"/>
      <c r="AS126" s="253"/>
      <c r="AT126" s="253"/>
      <c r="AU126" s="253"/>
      <c r="AV126" s="253"/>
      <c r="AW126" s="253"/>
      <c r="AX126" s="253"/>
      <c r="AY126" s="253"/>
      <c r="AZ126" s="253"/>
      <c r="BA126" s="253"/>
      <c r="BB126" s="253"/>
      <c r="BC126" s="253"/>
      <c r="BD126" s="253"/>
      <c r="BE126" s="253"/>
      <c r="BF126" s="253"/>
      <c r="BG126" s="253"/>
      <c r="BH126" s="253"/>
      <c r="BI126" s="253"/>
      <c r="BJ126" s="253"/>
    </row>
    <row r="127" spans="1:62" ht="24" customHeight="1">
      <c r="A127" s="256"/>
      <c r="B127" s="256"/>
      <c r="C127" s="264"/>
      <c r="D127" s="254"/>
      <c r="E127" s="254"/>
      <c r="F127" s="258"/>
      <c r="G127" s="254"/>
      <c r="H127" s="258"/>
      <c r="I127" s="254"/>
      <c r="J127" s="258"/>
      <c r="K127" s="258"/>
      <c r="L127" s="258"/>
      <c r="M127" s="256"/>
      <c r="N127" s="253"/>
      <c r="O127" s="253"/>
      <c r="P127" s="253"/>
      <c r="Q127" s="253"/>
      <c r="R127" s="253"/>
      <c r="S127" s="253"/>
      <c r="T127" s="253"/>
      <c r="U127" s="253"/>
      <c r="V127" s="253"/>
      <c r="W127" s="253"/>
      <c r="X127" s="253"/>
      <c r="Y127" s="253"/>
      <c r="Z127" s="253"/>
      <c r="AA127" s="253"/>
      <c r="AB127" s="253"/>
      <c r="AC127" s="253"/>
      <c r="AD127" s="253"/>
      <c r="AE127" s="253"/>
      <c r="AF127" s="253"/>
      <c r="AG127" s="253"/>
      <c r="AH127" s="253"/>
      <c r="AI127" s="253"/>
      <c r="AJ127" s="253"/>
      <c r="AK127" s="253"/>
      <c r="AL127" s="253"/>
      <c r="AM127" s="253"/>
      <c r="AN127" s="253"/>
      <c r="AO127" s="253"/>
      <c r="AP127" s="253"/>
      <c r="AQ127" s="253"/>
      <c r="AR127" s="253"/>
      <c r="AS127" s="253"/>
      <c r="AT127" s="253"/>
      <c r="AU127" s="253"/>
      <c r="AV127" s="253"/>
      <c r="AW127" s="253"/>
      <c r="AX127" s="253"/>
      <c r="AY127" s="253"/>
      <c r="AZ127" s="253"/>
      <c r="BA127" s="253"/>
      <c r="BB127" s="253"/>
      <c r="BC127" s="253"/>
      <c r="BD127" s="253"/>
      <c r="BE127" s="253"/>
      <c r="BF127" s="253"/>
      <c r="BG127" s="253"/>
      <c r="BH127" s="253"/>
      <c r="BI127" s="253"/>
      <c r="BJ127" s="253"/>
    </row>
    <row r="128" spans="1:62" ht="24" customHeight="1">
      <c r="A128" s="256"/>
      <c r="B128" s="256"/>
      <c r="C128" s="264"/>
      <c r="D128" s="254"/>
      <c r="E128" s="254"/>
      <c r="F128" s="258"/>
      <c r="G128" s="254"/>
      <c r="H128" s="258"/>
      <c r="I128" s="254"/>
      <c r="J128" s="258"/>
      <c r="K128" s="258"/>
      <c r="L128" s="258"/>
      <c r="M128" s="256"/>
      <c r="N128" s="253"/>
      <c r="O128" s="253"/>
      <c r="P128" s="253"/>
      <c r="Q128" s="253"/>
      <c r="R128" s="253"/>
      <c r="S128" s="253"/>
      <c r="T128" s="253"/>
      <c r="U128" s="253"/>
      <c r="V128" s="253"/>
      <c r="W128" s="253"/>
      <c r="X128" s="253"/>
      <c r="Y128" s="253"/>
      <c r="Z128" s="253"/>
      <c r="AA128" s="253"/>
      <c r="AB128" s="253"/>
      <c r="AC128" s="253"/>
      <c r="AD128" s="253"/>
      <c r="AE128" s="253"/>
      <c r="AF128" s="253"/>
      <c r="AG128" s="253"/>
      <c r="AH128" s="253"/>
      <c r="AI128" s="253"/>
      <c r="AJ128" s="253"/>
      <c r="AK128" s="253"/>
      <c r="AL128" s="253"/>
      <c r="AM128" s="253"/>
      <c r="AN128" s="253"/>
      <c r="AO128" s="253"/>
      <c r="AP128" s="253"/>
      <c r="AQ128" s="253"/>
      <c r="AR128" s="253"/>
      <c r="AS128" s="253"/>
      <c r="AT128" s="253"/>
      <c r="AU128" s="253"/>
      <c r="AV128" s="253"/>
      <c r="AW128" s="253"/>
      <c r="AX128" s="253"/>
      <c r="AY128" s="253"/>
      <c r="AZ128" s="253"/>
      <c r="BA128" s="253"/>
      <c r="BB128" s="253"/>
      <c r="BC128" s="253"/>
      <c r="BD128" s="253"/>
      <c r="BE128" s="253"/>
      <c r="BF128" s="253"/>
      <c r="BG128" s="253"/>
      <c r="BH128" s="253"/>
      <c r="BI128" s="253"/>
      <c r="BJ128" s="253"/>
    </row>
    <row r="129" spans="1:62" ht="24" customHeight="1">
      <c r="A129" s="256"/>
      <c r="B129" s="256"/>
      <c r="C129" s="264"/>
      <c r="D129" s="254"/>
      <c r="E129" s="254"/>
      <c r="F129" s="258"/>
      <c r="G129" s="254"/>
      <c r="H129" s="258"/>
      <c r="I129" s="254"/>
      <c r="J129" s="258"/>
      <c r="K129" s="258"/>
      <c r="L129" s="258"/>
      <c r="M129" s="256"/>
      <c r="N129" s="253"/>
      <c r="O129" s="253"/>
      <c r="P129" s="253"/>
      <c r="Q129" s="253"/>
      <c r="R129" s="253"/>
      <c r="S129" s="253"/>
      <c r="T129" s="253"/>
      <c r="U129" s="253"/>
      <c r="V129" s="253"/>
      <c r="W129" s="253"/>
      <c r="X129" s="253"/>
      <c r="Y129" s="253"/>
      <c r="Z129" s="253"/>
      <c r="AA129" s="253"/>
      <c r="AB129" s="253"/>
      <c r="AC129" s="253"/>
      <c r="AD129" s="253"/>
      <c r="AE129" s="253"/>
      <c r="AF129" s="253"/>
      <c r="AG129" s="253"/>
      <c r="AH129" s="253"/>
      <c r="AI129" s="253"/>
      <c r="AJ129" s="253"/>
      <c r="AK129" s="253"/>
      <c r="AL129" s="253"/>
      <c r="AM129" s="253"/>
      <c r="AN129" s="253"/>
      <c r="AO129" s="253"/>
      <c r="AP129" s="253"/>
      <c r="AQ129" s="253"/>
      <c r="AR129" s="253"/>
      <c r="AS129" s="253"/>
      <c r="AT129" s="253"/>
      <c r="AU129" s="253"/>
      <c r="AV129" s="253"/>
      <c r="AW129" s="253"/>
      <c r="AX129" s="253"/>
      <c r="AY129" s="253"/>
      <c r="AZ129" s="253"/>
      <c r="BA129" s="253"/>
      <c r="BB129" s="253"/>
      <c r="BC129" s="253"/>
      <c r="BD129" s="253"/>
      <c r="BE129" s="253"/>
      <c r="BF129" s="253"/>
      <c r="BG129" s="253"/>
      <c r="BH129" s="253"/>
      <c r="BI129" s="253"/>
      <c r="BJ129" s="253"/>
    </row>
    <row r="130" spans="1:62" ht="24" customHeight="1">
      <c r="A130" s="256"/>
      <c r="B130" s="256"/>
      <c r="C130" s="264"/>
      <c r="D130" s="254"/>
      <c r="E130" s="254"/>
      <c r="F130" s="258"/>
      <c r="G130" s="254"/>
      <c r="H130" s="258"/>
      <c r="I130" s="254"/>
      <c r="J130" s="258"/>
      <c r="K130" s="258"/>
      <c r="L130" s="258"/>
      <c r="M130" s="256"/>
      <c r="N130" s="253"/>
      <c r="O130" s="253"/>
      <c r="P130" s="253"/>
      <c r="Q130" s="253"/>
      <c r="R130" s="253"/>
      <c r="S130" s="253"/>
      <c r="T130" s="253"/>
      <c r="U130" s="253"/>
      <c r="V130" s="253"/>
      <c r="W130" s="253"/>
      <c r="X130" s="253"/>
      <c r="Y130" s="253"/>
      <c r="Z130" s="253"/>
      <c r="AA130" s="253"/>
      <c r="AB130" s="253"/>
      <c r="AC130" s="253"/>
      <c r="AD130" s="253"/>
      <c r="AE130" s="253"/>
      <c r="AF130" s="253"/>
      <c r="AG130" s="253"/>
      <c r="AH130" s="253"/>
      <c r="AI130" s="253"/>
      <c r="AJ130" s="253"/>
      <c r="AK130" s="253"/>
      <c r="AL130" s="253"/>
      <c r="AM130" s="253"/>
      <c r="AN130" s="253"/>
      <c r="AO130" s="253"/>
      <c r="AP130" s="253"/>
      <c r="AQ130" s="253"/>
      <c r="AR130" s="253"/>
      <c r="AS130" s="253"/>
      <c r="AT130" s="253"/>
      <c r="AU130" s="253"/>
      <c r="AV130" s="253"/>
      <c r="AW130" s="253"/>
      <c r="AX130" s="253"/>
      <c r="AY130" s="253"/>
      <c r="AZ130" s="253"/>
      <c r="BA130" s="253"/>
      <c r="BB130" s="253"/>
      <c r="BC130" s="253"/>
      <c r="BD130" s="253"/>
      <c r="BE130" s="253"/>
      <c r="BF130" s="253"/>
      <c r="BG130" s="253"/>
      <c r="BH130" s="253"/>
      <c r="BI130" s="253"/>
      <c r="BJ130" s="253"/>
    </row>
    <row r="131" spans="1:62" ht="24" customHeight="1">
      <c r="A131" s="256"/>
      <c r="B131" s="256"/>
      <c r="C131" s="264"/>
      <c r="D131" s="254"/>
      <c r="E131" s="254"/>
      <c r="F131" s="258"/>
      <c r="G131" s="254"/>
      <c r="H131" s="258"/>
      <c r="I131" s="254"/>
      <c r="J131" s="258"/>
      <c r="K131" s="258"/>
      <c r="L131" s="258"/>
      <c r="M131" s="256"/>
      <c r="N131" s="253"/>
      <c r="O131" s="253"/>
      <c r="P131" s="253"/>
      <c r="Q131" s="253"/>
      <c r="R131" s="253"/>
      <c r="S131" s="253"/>
      <c r="T131" s="253"/>
      <c r="U131" s="253"/>
      <c r="V131" s="253"/>
      <c r="W131" s="253"/>
      <c r="X131" s="253"/>
      <c r="Y131" s="253"/>
      <c r="Z131" s="253"/>
      <c r="AA131" s="253"/>
      <c r="AB131" s="253"/>
      <c r="AC131" s="253"/>
      <c r="AD131" s="253"/>
      <c r="AE131" s="253"/>
      <c r="AF131" s="253"/>
      <c r="AG131" s="253"/>
      <c r="AH131" s="253"/>
      <c r="AI131" s="253"/>
      <c r="AJ131" s="253"/>
      <c r="AK131" s="253"/>
      <c r="AL131" s="253"/>
      <c r="AM131" s="253"/>
      <c r="AN131" s="253"/>
      <c r="AO131" s="253"/>
      <c r="AP131" s="253"/>
      <c r="AQ131" s="253"/>
      <c r="AR131" s="253"/>
      <c r="AS131" s="253"/>
      <c r="AT131" s="253"/>
      <c r="AU131" s="253"/>
      <c r="AV131" s="253"/>
      <c r="AW131" s="253"/>
      <c r="AX131" s="253"/>
      <c r="AY131" s="253"/>
      <c r="AZ131" s="253"/>
      <c r="BA131" s="253"/>
      <c r="BB131" s="253"/>
      <c r="BC131" s="253"/>
      <c r="BD131" s="253"/>
      <c r="BE131" s="253"/>
      <c r="BF131" s="253"/>
      <c r="BG131" s="253"/>
      <c r="BH131" s="253"/>
      <c r="BI131" s="253"/>
      <c r="BJ131" s="253"/>
    </row>
    <row r="132" spans="1:62" ht="24" customHeight="1">
      <c r="A132" s="269" t="s">
        <v>1248</v>
      </c>
      <c r="B132" s="269" t="s">
        <v>68</v>
      </c>
      <c r="C132" s="270">
        <v>1</v>
      </c>
      <c r="D132" s="271" t="s">
        <v>1094</v>
      </c>
      <c r="E132" s="271"/>
      <c r="F132" s="272">
        <f>TRUNC(F133+F134+F135+F136+F137+F138,0)</f>
        <v>0</v>
      </c>
      <c r="G132" s="271"/>
      <c r="H132" s="272"/>
      <c r="I132" s="271"/>
      <c r="J132" s="272"/>
      <c r="K132" s="271"/>
      <c r="L132" s="272"/>
      <c r="M132" s="269"/>
      <c r="N132" s="253" t="s">
        <v>68</v>
      </c>
      <c r="O132" s="253" t="s">
        <v>1245</v>
      </c>
      <c r="P132" s="253"/>
      <c r="Q132" s="253"/>
      <c r="R132" s="253"/>
      <c r="S132" s="253"/>
      <c r="T132" s="253"/>
      <c r="U132" s="253"/>
      <c r="V132" s="253"/>
      <c r="W132" s="253"/>
      <c r="X132" s="253"/>
      <c r="Y132" s="253"/>
      <c r="Z132" s="253"/>
      <c r="AA132" s="253"/>
      <c r="AB132" s="253"/>
      <c r="AC132" s="253"/>
      <c r="AD132" s="253"/>
      <c r="AE132" s="253"/>
      <c r="AF132" s="253"/>
      <c r="AG132" s="253"/>
      <c r="AH132" s="253"/>
      <c r="AI132" s="253"/>
      <c r="AJ132" s="253"/>
      <c r="AK132" s="253"/>
      <c r="AL132" s="253"/>
      <c r="AM132" s="253"/>
      <c r="AN132" s="253"/>
      <c r="AO132" s="253"/>
      <c r="AP132" s="253"/>
      <c r="AQ132" s="253"/>
      <c r="AR132" s="253"/>
      <c r="AS132" s="253"/>
      <c r="AT132" s="253"/>
      <c r="AU132" s="253"/>
      <c r="AV132" s="253"/>
      <c r="AW132" s="253"/>
      <c r="AX132" s="253"/>
      <c r="AY132" s="253"/>
      <c r="AZ132" s="253"/>
      <c r="BA132" s="253"/>
      <c r="BB132" s="253"/>
      <c r="BC132" s="253"/>
      <c r="BD132" s="253"/>
      <c r="BE132" s="253"/>
      <c r="BF132" s="253"/>
      <c r="BG132" s="253"/>
      <c r="BH132" s="253"/>
      <c r="BI132" s="253"/>
      <c r="BJ132" s="253"/>
    </row>
    <row r="133" spans="1:62" ht="24" customHeight="1">
      <c r="A133" s="273" t="s">
        <v>1249</v>
      </c>
      <c r="B133" s="273" t="s">
        <v>68</v>
      </c>
      <c r="C133" s="274">
        <v>1</v>
      </c>
      <c r="D133" s="275" t="s">
        <v>1094</v>
      </c>
      <c r="E133" s="276">
        <f>F148</f>
        <v>0</v>
      </c>
      <c r="F133" s="276">
        <f t="shared" ref="F133:F139" si="8">TRUNC(E133*C133,0)</f>
        <v>0</v>
      </c>
      <c r="G133" s="276">
        <f>H148</f>
        <v>0</v>
      </c>
      <c r="H133" s="276"/>
      <c r="I133" s="276"/>
      <c r="J133" s="276"/>
      <c r="K133" s="276"/>
      <c r="L133" s="276"/>
      <c r="M133" s="273"/>
      <c r="N133" s="253" t="s">
        <v>68</v>
      </c>
      <c r="O133" s="253"/>
      <c r="P133" s="253" t="s">
        <v>1095</v>
      </c>
      <c r="Q133" s="253" t="s">
        <v>68</v>
      </c>
      <c r="R133" s="253" t="s">
        <v>1250</v>
      </c>
      <c r="S133" s="253"/>
      <c r="T133" s="253"/>
      <c r="U133" s="253"/>
      <c r="V133" s="253"/>
      <c r="W133" s="253"/>
      <c r="X133" s="253"/>
      <c r="Y133" s="253"/>
      <c r="Z133" s="253"/>
      <c r="AA133" s="253"/>
      <c r="AB133" s="253"/>
      <c r="AC133" s="253"/>
      <c r="AD133" s="253"/>
      <c r="AE133" s="253"/>
      <c r="AF133" s="253"/>
      <c r="AG133" s="253"/>
      <c r="AH133" s="253"/>
      <c r="AI133" s="253"/>
      <c r="AJ133" s="253"/>
      <c r="AK133" s="253"/>
      <c r="AL133" s="253"/>
      <c r="AM133" s="253"/>
      <c r="AN133" s="253"/>
      <c r="AO133" s="253"/>
      <c r="AP133" s="253"/>
      <c r="AQ133" s="253"/>
      <c r="AR133" s="253"/>
      <c r="AS133" s="253"/>
      <c r="AT133" s="253"/>
      <c r="AU133" s="253"/>
      <c r="AV133" s="253"/>
      <c r="AW133" s="253"/>
      <c r="AX133" s="253"/>
      <c r="AY133" s="253"/>
      <c r="AZ133" s="253"/>
      <c r="BA133" s="253"/>
      <c r="BB133" s="253"/>
      <c r="BC133" s="253"/>
      <c r="BD133" s="253"/>
      <c r="BE133" s="253"/>
      <c r="BF133" s="253"/>
      <c r="BG133" s="253"/>
      <c r="BH133" s="253"/>
      <c r="BI133" s="253"/>
      <c r="BJ133" s="263" t="str">
        <f>HYPERLINK("#내역서!A121","A03-01-01 →")</f>
        <v>A03-01-01 →</v>
      </c>
    </row>
    <row r="134" spans="1:62" ht="24" customHeight="1">
      <c r="A134" s="273" t="s">
        <v>1251</v>
      </c>
      <c r="B134" s="273" t="s">
        <v>68</v>
      </c>
      <c r="C134" s="274">
        <v>1</v>
      </c>
      <c r="D134" s="275" t="s">
        <v>1094</v>
      </c>
      <c r="E134" s="276">
        <f>F155</f>
        <v>0</v>
      </c>
      <c r="F134" s="276">
        <f t="shared" si="8"/>
        <v>0</v>
      </c>
      <c r="G134" s="276">
        <f>H155</f>
        <v>0</v>
      </c>
      <c r="H134" s="276"/>
      <c r="I134" s="276"/>
      <c r="J134" s="276"/>
      <c r="K134" s="276"/>
      <c r="L134" s="276"/>
      <c r="M134" s="273"/>
      <c r="N134" s="253" t="s">
        <v>68</v>
      </c>
      <c r="O134" s="253"/>
      <c r="P134" s="253" t="s">
        <v>1098</v>
      </c>
      <c r="Q134" s="253" t="s">
        <v>68</v>
      </c>
      <c r="R134" s="253" t="s">
        <v>1252</v>
      </c>
      <c r="S134" s="253"/>
      <c r="T134" s="253"/>
      <c r="U134" s="253"/>
      <c r="V134" s="253"/>
      <c r="W134" s="253"/>
      <c r="X134" s="253"/>
      <c r="Y134" s="253"/>
      <c r="Z134" s="253"/>
      <c r="AA134" s="253"/>
      <c r="AB134" s="253"/>
      <c r="AC134" s="253"/>
      <c r="AD134" s="253"/>
      <c r="AE134" s="253"/>
      <c r="AF134" s="253"/>
      <c r="AG134" s="253"/>
      <c r="AH134" s="253"/>
      <c r="AI134" s="253"/>
      <c r="AJ134" s="253"/>
      <c r="AK134" s="253"/>
      <c r="AL134" s="253"/>
      <c r="AM134" s="253"/>
      <c r="AN134" s="253"/>
      <c r="AO134" s="253"/>
      <c r="AP134" s="253"/>
      <c r="AQ134" s="253"/>
      <c r="AR134" s="253"/>
      <c r="AS134" s="253"/>
      <c r="AT134" s="253"/>
      <c r="AU134" s="253"/>
      <c r="AV134" s="253"/>
      <c r="AW134" s="253"/>
      <c r="AX134" s="253"/>
      <c r="AY134" s="253"/>
      <c r="AZ134" s="253"/>
      <c r="BA134" s="253"/>
      <c r="BB134" s="253"/>
      <c r="BC134" s="253"/>
      <c r="BD134" s="253"/>
      <c r="BE134" s="253"/>
      <c r="BF134" s="253"/>
      <c r="BG134" s="253"/>
      <c r="BH134" s="253"/>
      <c r="BI134" s="253"/>
      <c r="BJ134" s="263" t="str">
        <f>HYPERLINK("#내역서!A128","A03-01-02 →")</f>
        <v>A03-01-02 →</v>
      </c>
    </row>
    <row r="135" spans="1:62" ht="24" customHeight="1">
      <c r="A135" s="273" t="s">
        <v>1253</v>
      </c>
      <c r="B135" s="273" t="s">
        <v>68</v>
      </c>
      <c r="C135" s="274">
        <v>1</v>
      </c>
      <c r="D135" s="275" t="s">
        <v>1094</v>
      </c>
      <c r="E135" s="276">
        <f>F164</f>
        <v>0</v>
      </c>
      <c r="F135" s="276">
        <f t="shared" si="8"/>
        <v>0</v>
      </c>
      <c r="G135" s="276">
        <f>H164</f>
        <v>0</v>
      </c>
      <c r="H135" s="276"/>
      <c r="I135" s="276"/>
      <c r="J135" s="276"/>
      <c r="K135" s="276"/>
      <c r="L135" s="276"/>
      <c r="M135" s="273"/>
      <c r="N135" s="253" t="s">
        <v>68</v>
      </c>
      <c r="O135" s="253"/>
      <c r="P135" s="253" t="s">
        <v>1101</v>
      </c>
      <c r="Q135" s="253" t="s">
        <v>68</v>
      </c>
      <c r="R135" s="253" t="s">
        <v>1254</v>
      </c>
      <c r="S135" s="253"/>
      <c r="T135" s="253"/>
      <c r="U135" s="253"/>
      <c r="V135" s="253"/>
      <c r="W135" s="253"/>
      <c r="X135" s="253"/>
      <c r="Y135" s="253"/>
      <c r="Z135" s="253"/>
      <c r="AA135" s="253"/>
      <c r="AB135" s="253"/>
      <c r="AC135" s="253"/>
      <c r="AD135" s="253"/>
      <c r="AE135" s="253"/>
      <c r="AF135" s="253"/>
      <c r="AG135" s="253"/>
      <c r="AH135" s="253"/>
      <c r="AI135" s="253"/>
      <c r="AJ135" s="253"/>
      <c r="AK135" s="253"/>
      <c r="AL135" s="253"/>
      <c r="AM135" s="253"/>
      <c r="AN135" s="253"/>
      <c r="AO135" s="253"/>
      <c r="AP135" s="253"/>
      <c r="AQ135" s="253"/>
      <c r="AR135" s="253"/>
      <c r="AS135" s="253"/>
      <c r="AT135" s="253"/>
      <c r="AU135" s="253"/>
      <c r="AV135" s="253"/>
      <c r="AW135" s="253"/>
      <c r="AX135" s="253"/>
      <c r="AY135" s="253"/>
      <c r="AZ135" s="253"/>
      <c r="BA135" s="253"/>
      <c r="BB135" s="253"/>
      <c r="BC135" s="253"/>
      <c r="BD135" s="253"/>
      <c r="BE135" s="253"/>
      <c r="BF135" s="253"/>
      <c r="BG135" s="253"/>
      <c r="BH135" s="253"/>
      <c r="BI135" s="253"/>
      <c r="BJ135" s="263" t="str">
        <f>HYPERLINK("#내역서!A137","A03-01-03 →")</f>
        <v>A03-01-03 →</v>
      </c>
    </row>
    <row r="136" spans="1:62" ht="24" customHeight="1">
      <c r="A136" s="273" t="s">
        <v>1255</v>
      </c>
      <c r="B136" s="273" t="s">
        <v>68</v>
      </c>
      <c r="C136" s="274">
        <v>1</v>
      </c>
      <c r="D136" s="275" t="s">
        <v>1094</v>
      </c>
      <c r="E136" s="276">
        <f>F201</f>
        <v>0</v>
      </c>
      <c r="F136" s="276">
        <f t="shared" si="8"/>
        <v>0</v>
      </c>
      <c r="G136" s="276">
        <f>H201</f>
        <v>0</v>
      </c>
      <c r="H136" s="276"/>
      <c r="I136" s="276"/>
      <c r="J136" s="276"/>
      <c r="K136" s="276"/>
      <c r="L136" s="276"/>
      <c r="M136" s="273"/>
      <c r="N136" s="253" t="s">
        <v>68</v>
      </c>
      <c r="O136" s="253"/>
      <c r="P136" s="253" t="s">
        <v>1104</v>
      </c>
      <c r="Q136" s="253" t="s">
        <v>68</v>
      </c>
      <c r="R136" s="253" t="s">
        <v>1256</v>
      </c>
      <c r="S136" s="253"/>
      <c r="T136" s="253"/>
      <c r="U136" s="253"/>
      <c r="V136" s="253"/>
      <c r="W136" s="253"/>
      <c r="X136" s="253"/>
      <c r="Y136" s="253"/>
      <c r="Z136" s="253"/>
      <c r="AA136" s="253"/>
      <c r="AB136" s="253"/>
      <c r="AC136" s="253"/>
      <c r="AD136" s="253"/>
      <c r="AE136" s="253"/>
      <c r="AF136" s="253"/>
      <c r="AG136" s="253"/>
      <c r="AH136" s="253"/>
      <c r="AI136" s="253"/>
      <c r="AJ136" s="253"/>
      <c r="AK136" s="253"/>
      <c r="AL136" s="253"/>
      <c r="AM136" s="253"/>
      <c r="AN136" s="253"/>
      <c r="AO136" s="253"/>
      <c r="AP136" s="253"/>
      <c r="AQ136" s="253"/>
      <c r="AR136" s="253"/>
      <c r="AS136" s="253"/>
      <c r="AT136" s="253"/>
      <c r="AU136" s="253"/>
      <c r="AV136" s="253"/>
      <c r="AW136" s="253"/>
      <c r="AX136" s="253"/>
      <c r="AY136" s="253"/>
      <c r="AZ136" s="253"/>
      <c r="BA136" s="253"/>
      <c r="BB136" s="253"/>
      <c r="BC136" s="253"/>
      <c r="BD136" s="253"/>
      <c r="BE136" s="253"/>
      <c r="BF136" s="253"/>
      <c r="BG136" s="253"/>
      <c r="BH136" s="253"/>
      <c r="BI136" s="253"/>
      <c r="BJ136" s="263" t="str">
        <f>HYPERLINK("#내역서!A174","A03-01-04 →")</f>
        <v>A03-01-04 →</v>
      </c>
    </row>
    <row r="137" spans="1:62" ht="24" customHeight="1">
      <c r="A137" s="273" t="s">
        <v>1257</v>
      </c>
      <c r="B137" s="273" t="s">
        <v>68</v>
      </c>
      <c r="C137" s="274">
        <v>1</v>
      </c>
      <c r="D137" s="275" t="s">
        <v>1094</v>
      </c>
      <c r="E137" s="276">
        <f>F210</f>
        <v>0</v>
      </c>
      <c r="F137" s="276">
        <f t="shared" si="8"/>
        <v>0</v>
      </c>
      <c r="G137" s="276">
        <f>H210</f>
        <v>0</v>
      </c>
      <c r="H137" s="276"/>
      <c r="I137" s="276"/>
      <c r="J137" s="276"/>
      <c r="K137" s="276"/>
      <c r="L137" s="276"/>
      <c r="M137" s="273"/>
      <c r="N137" s="253" t="s">
        <v>68</v>
      </c>
      <c r="O137" s="253"/>
      <c r="P137" s="253" t="s">
        <v>1107</v>
      </c>
      <c r="Q137" s="253" t="s">
        <v>68</v>
      </c>
      <c r="R137" s="253" t="s">
        <v>1258</v>
      </c>
      <c r="S137" s="253"/>
      <c r="T137" s="253"/>
      <c r="U137" s="253"/>
      <c r="V137" s="253"/>
      <c r="W137" s="253"/>
      <c r="X137" s="253"/>
      <c r="Y137" s="253"/>
      <c r="Z137" s="253"/>
      <c r="AA137" s="253"/>
      <c r="AB137" s="253"/>
      <c r="AC137" s="253"/>
      <c r="AD137" s="253"/>
      <c r="AE137" s="253"/>
      <c r="AF137" s="253"/>
      <c r="AG137" s="253"/>
      <c r="AH137" s="253"/>
      <c r="AI137" s="253"/>
      <c r="AJ137" s="253"/>
      <c r="AK137" s="253"/>
      <c r="AL137" s="253"/>
      <c r="AM137" s="253"/>
      <c r="AN137" s="253"/>
      <c r="AO137" s="253"/>
      <c r="AP137" s="253"/>
      <c r="AQ137" s="253"/>
      <c r="AR137" s="253"/>
      <c r="AS137" s="253"/>
      <c r="AT137" s="253"/>
      <c r="AU137" s="253"/>
      <c r="AV137" s="253"/>
      <c r="AW137" s="253"/>
      <c r="AX137" s="253"/>
      <c r="AY137" s="253"/>
      <c r="AZ137" s="253"/>
      <c r="BA137" s="253"/>
      <c r="BB137" s="253"/>
      <c r="BC137" s="253"/>
      <c r="BD137" s="253"/>
      <c r="BE137" s="253"/>
      <c r="BF137" s="253"/>
      <c r="BG137" s="253"/>
      <c r="BH137" s="253"/>
      <c r="BI137" s="253"/>
      <c r="BJ137" s="263" t="str">
        <f>HYPERLINK("#내역서!A183","A03-01-05 →")</f>
        <v>A03-01-05 →</v>
      </c>
    </row>
    <row r="138" spans="1:62" ht="24" customHeight="1">
      <c r="A138" s="273" t="s">
        <v>1259</v>
      </c>
      <c r="B138" s="273" t="s">
        <v>68</v>
      </c>
      <c r="C138" s="274">
        <v>1</v>
      </c>
      <c r="D138" s="275" t="s">
        <v>1094</v>
      </c>
      <c r="E138" s="276">
        <f>F239</f>
        <v>0</v>
      </c>
      <c r="F138" s="276">
        <f t="shared" si="8"/>
        <v>0</v>
      </c>
      <c r="G138" s="276">
        <f>H239</f>
        <v>0</v>
      </c>
      <c r="H138" s="276"/>
      <c r="I138" s="276"/>
      <c r="J138" s="276"/>
      <c r="K138" s="276"/>
      <c r="L138" s="276"/>
      <c r="M138" s="273"/>
      <c r="N138" s="253" t="s">
        <v>68</v>
      </c>
      <c r="O138" s="253"/>
      <c r="P138" s="253" t="s">
        <v>1108</v>
      </c>
      <c r="Q138" s="253" t="s">
        <v>68</v>
      </c>
      <c r="R138" s="253" t="s">
        <v>1260</v>
      </c>
      <c r="S138" s="253"/>
      <c r="T138" s="253"/>
      <c r="U138" s="253"/>
      <c r="V138" s="253"/>
      <c r="W138" s="253"/>
      <c r="X138" s="253"/>
      <c r="Y138" s="253"/>
      <c r="Z138" s="253"/>
      <c r="AA138" s="253"/>
      <c r="AB138" s="253"/>
      <c r="AC138" s="253"/>
      <c r="AD138" s="253"/>
      <c r="AE138" s="253"/>
      <c r="AF138" s="253"/>
      <c r="AG138" s="253"/>
      <c r="AH138" s="253"/>
      <c r="AI138" s="253"/>
      <c r="AJ138" s="253"/>
      <c r="AK138" s="253"/>
      <c r="AL138" s="253"/>
      <c r="AM138" s="253"/>
      <c r="AN138" s="253"/>
      <c r="AO138" s="253"/>
      <c r="AP138" s="253"/>
      <c r="AQ138" s="253"/>
      <c r="AR138" s="253"/>
      <c r="AS138" s="253"/>
      <c r="AT138" s="253"/>
      <c r="AU138" s="253"/>
      <c r="AV138" s="253"/>
      <c r="AW138" s="253"/>
      <c r="AX138" s="253"/>
      <c r="AY138" s="253"/>
      <c r="AZ138" s="253"/>
      <c r="BA138" s="253"/>
      <c r="BB138" s="253"/>
      <c r="BC138" s="253"/>
      <c r="BD138" s="253"/>
      <c r="BE138" s="253"/>
      <c r="BF138" s="253"/>
      <c r="BG138" s="253"/>
      <c r="BH138" s="253"/>
      <c r="BI138" s="253"/>
      <c r="BJ138" s="263" t="str">
        <f>HYPERLINK("#내역서!A212","A03-01-06 →")</f>
        <v>A03-01-06 →</v>
      </c>
    </row>
    <row r="139" spans="1:62" ht="24" customHeight="1">
      <c r="A139" s="273" t="s">
        <v>1261</v>
      </c>
      <c r="B139" s="273" t="s">
        <v>1146</v>
      </c>
      <c r="C139" s="274">
        <v>1</v>
      </c>
      <c r="D139" s="275" t="s">
        <v>1094</v>
      </c>
      <c r="E139" s="276">
        <f>F255</f>
        <v>0</v>
      </c>
      <c r="F139" s="276">
        <f t="shared" si="8"/>
        <v>0</v>
      </c>
      <c r="G139" s="276">
        <f>H255</f>
        <v>0</v>
      </c>
      <c r="H139" s="276"/>
      <c r="I139" s="276"/>
      <c r="J139" s="276"/>
      <c r="K139" s="276"/>
      <c r="L139" s="276"/>
      <c r="M139" s="273"/>
      <c r="N139" s="253" t="s">
        <v>68</v>
      </c>
      <c r="O139" s="253"/>
      <c r="P139" s="253" t="s">
        <v>1109</v>
      </c>
      <c r="Q139" s="253" t="s">
        <v>1105</v>
      </c>
      <c r="R139" s="253" t="s">
        <v>1262</v>
      </c>
      <c r="S139" s="253"/>
      <c r="T139" s="253"/>
      <c r="U139" s="253"/>
      <c r="V139" s="253"/>
      <c r="W139" s="253"/>
      <c r="X139" s="253"/>
      <c r="Y139" s="253"/>
      <c r="Z139" s="253"/>
      <c r="AA139" s="253"/>
      <c r="AB139" s="253"/>
      <c r="AC139" s="253"/>
      <c r="AD139" s="253"/>
      <c r="AE139" s="253"/>
      <c r="AF139" s="253"/>
      <c r="AG139" s="253"/>
      <c r="AH139" s="253"/>
      <c r="AI139" s="253"/>
      <c r="AJ139" s="253"/>
      <c r="AK139" s="253"/>
      <c r="AL139" s="253"/>
      <c r="AM139" s="253"/>
      <c r="AN139" s="253"/>
      <c r="AO139" s="253"/>
      <c r="AP139" s="253"/>
      <c r="AQ139" s="253"/>
      <c r="AR139" s="253"/>
      <c r="AS139" s="253"/>
      <c r="AT139" s="253"/>
      <c r="AU139" s="253"/>
      <c r="AV139" s="253"/>
      <c r="AW139" s="253"/>
      <c r="AX139" s="253"/>
      <c r="AY139" s="253"/>
      <c r="AZ139" s="253"/>
      <c r="BA139" s="253"/>
      <c r="BB139" s="253"/>
      <c r="BC139" s="253"/>
      <c r="BD139" s="253"/>
      <c r="BE139" s="253"/>
      <c r="BF139" s="253"/>
      <c r="BG139" s="253"/>
      <c r="BH139" s="253"/>
      <c r="BI139" s="253"/>
      <c r="BJ139" s="263" t="str">
        <f>HYPERLINK("#내역서!A228","A03-01-07 →")</f>
        <v>A03-01-07 →</v>
      </c>
    </row>
    <row r="140" spans="1:62" ht="24" customHeight="1">
      <c r="A140" s="256" t="s">
        <v>68</v>
      </c>
      <c r="B140" s="256" t="s">
        <v>68</v>
      </c>
      <c r="C140" s="264"/>
      <c r="D140" s="254" t="s">
        <v>68</v>
      </c>
      <c r="E140" s="254"/>
      <c r="F140" s="258">
        <v>0</v>
      </c>
      <c r="G140" s="254"/>
      <c r="H140" s="258"/>
      <c r="I140" s="254"/>
      <c r="J140" s="258"/>
      <c r="K140" s="258"/>
      <c r="L140" s="258"/>
      <c r="M140" s="256"/>
      <c r="N140" s="253" t="s">
        <v>68</v>
      </c>
      <c r="O140" s="253"/>
      <c r="P140" s="253" t="s">
        <v>1110</v>
      </c>
      <c r="Q140" s="253" t="s">
        <v>68</v>
      </c>
      <c r="R140" s="253" t="s">
        <v>68</v>
      </c>
      <c r="S140" s="253"/>
      <c r="T140" s="253"/>
      <c r="U140" s="253"/>
      <c r="V140" s="253"/>
      <c r="W140" s="253"/>
      <c r="X140" s="253"/>
      <c r="Y140" s="253"/>
      <c r="Z140" s="253"/>
      <c r="AA140" s="253"/>
      <c r="AB140" s="253"/>
      <c r="AC140" s="253"/>
      <c r="AD140" s="253"/>
      <c r="AE140" s="253"/>
      <c r="AF140" s="253"/>
      <c r="AG140" s="253"/>
      <c r="AH140" s="253"/>
      <c r="AI140" s="253"/>
      <c r="AJ140" s="253"/>
      <c r="AK140" s="253"/>
      <c r="AL140" s="253"/>
      <c r="AM140" s="253"/>
      <c r="AN140" s="253"/>
      <c r="AO140" s="253"/>
      <c r="AP140" s="253"/>
      <c r="AQ140" s="253"/>
      <c r="AR140" s="253"/>
      <c r="AS140" s="253"/>
      <c r="AT140" s="253"/>
      <c r="AU140" s="253"/>
      <c r="AV140" s="253"/>
      <c r="AW140" s="253"/>
      <c r="AX140" s="253"/>
      <c r="AY140" s="253"/>
      <c r="AZ140" s="253"/>
      <c r="BA140" s="253"/>
      <c r="BB140" s="253"/>
      <c r="BC140" s="253"/>
      <c r="BD140" s="253"/>
      <c r="BE140" s="253"/>
      <c r="BF140" s="253"/>
      <c r="BG140" s="253"/>
      <c r="BH140" s="253"/>
      <c r="BI140" s="253"/>
      <c r="BJ140" s="253"/>
    </row>
    <row r="141" spans="1:62" ht="24" customHeight="1">
      <c r="A141" s="256"/>
      <c r="B141" s="256"/>
      <c r="C141" s="264"/>
      <c r="D141" s="254"/>
      <c r="E141" s="254"/>
      <c r="F141" s="258"/>
      <c r="G141" s="254"/>
      <c r="H141" s="258"/>
      <c r="I141" s="254"/>
      <c r="J141" s="258"/>
      <c r="K141" s="258"/>
      <c r="L141" s="258"/>
      <c r="M141" s="256"/>
      <c r="N141" s="253"/>
      <c r="O141" s="253"/>
      <c r="P141" s="253"/>
      <c r="Q141" s="253"/>
      <c r="R141" s="253"/>
      <c r="S141" s="253"/>
      <c r="T141" s="253"/>
      <c r="U141" s="253"/>
      <c r="V141" s="253"/>
      <c r="W141" s="253"/>
      <c r="X141" s="253"/>
      <c r="Y141" s="253"/>
      <c r="Z141" s="253"/>
      <c r="AA141" s="253"/>
      <c r="AB141" s="253"/>
      <c r="AC141" s="253"/>
      <c r="AD141" s="253"/>
      <c r="AE141" s="253"/>
      <c r="AF141" s="253"/>
      <c r="AG141" s="253"/>
      <c r="AH141" s="253"/>
      <c r="AI141" s="253"/>
      <c r="AJ141" s="253"/>
      <c r="AK141" s="253"/>
      <c r="AL141" s="253"/>
      <c r="AM141" s="253"/>
      <c r="AN141" s="253"/>
      <c r="AO141" s="253"/>
      <c r="AP141" s="253"/>
      <c r="AQ141" s="253"/>
      <c r="AR141" s="253"/>
      <c r="AS141" s="253"/>
      <c r="AT141" s="253"/>
      <c r="AU141" s="253"/>
      <c r="AV141" s="253"/>
      <c r="AW141" s="253"/>
      <c r="AX141" s="253"/>
      <c r="AY141" s="253"/>
      <c r="AZ141" s="253"/>
      <c r="BA141" s="253"/>
      <c r="BB141" s="253"/>
      <c r="BC141" s="253"/>
      <c r="BD141" s="253"/>
      <c r="BE141" s="253"/>
      <c r="BF141" s="253"/>
      <c r="BG141" s="253"/>
      <c r="BH141" s="253"/>
      <c r="BI141" s="253"/>
      <c r="BJ141" s="253"/>
    </row>
    <row r="142" spans="1:62" ht="24" customHeight="1">
      <c r="A142" s="256"/>
      <c r="B142" s="256"/>
      <c r="C142" s="264"/>
      <c r="D142" s="254"/>
      <c r="E142" s="254"/>
      <c r="F142" s="258"/>
      <c r="G142" s="254"/>
      <c r="H142" s="258"/>
      <c r="I142" s="254"/>
      <c r="J142" s="258"/>
      <c r="K142" s="258"/>
      <c r="L142" s="258"/>
      <c r="M142" s="256"/>
      <c r="N142" s="253"/>
      <c r="O142" s="253"/>
      <c r="P142" s="253"/>
      <c r="Q142" s="253"/>
      <c r="R142" s="253"/>
      <c r="S142" s="253"/>
      <c r="T142" s="253"/>
      <c r="U142" s="253"/>
      <c r="V142" s="253"/>
      <c r="W142" s="253"/>
      <c r="X142" s="253"/>
      <c r="Y142" s="253"/>
      <c r="Z142" s="253"/>
      <c r="AA142" s="253"/>
      <c r="AB142" s="253"/>
      <c r="AC142" s="253"/>
      <c r="AD142" s="253"/>
      <c r="AE142" s="253"/>
      <c r="AF142" s="253"/>
      <c r="AG142" s="253"/>
      <c r="AH142" s="253"/>
      <c r="AI142" s="253"/>
      <c r="AJ142" s="253"/>
      <c r="AK142" s="253"/>
      <c r="AL142" s="253"/>
      <c r="AM142" s="253"/>
      <c r="AN142" s="253"/>
      <c r="AO142" s="253"/>
      <c r="AP142" s="253"/>
      <c r="AQ142" s="253"/>
      <c r="AR142" s="253"/>
      <c r="AS142" s="253"/>
      <c r="AT142" s="253"/>
      <c r="AU142" s="253"/>
      <c r="AV142" s="253"/>
      <c r="AW142" s="253"/>
      <c r="AX142" s="253"/>
      <c r="AY142" s="253"/>
      <c r="AZ142" s="253"/>
      <c r="BA142" s="253"/>
      <c r="BB142" s="253"/>
      <c r="BC142" s="253"/>
      <c r="BD142" s="253"/>
      <c r="BE142" s="253"/>
      <c r="BF142" s="253"/>
      <c r="BG142" s="253"/>
      <c r="BH142" s="253"/>
      <c r="BI142" s="253"/>
      <c r="BJ142" s="253"/>
    </row>
    <row r="143" spans="1:62" ht="24" customHeight="1">
      <c r="A143" s="256"/>
      <c r="B143" s="256"/>
      <c r="C143" s="264"/>
      <c r="D143" s="254"/>
      <c r="E143" s="254"/>
      <c r="F143" s="258"/>
      <c r="G143" s="254"/>
      <c r="H143" s="258"/>
      <c r="I143" s="254"/>
      <c r="J143" s="258"/>
      <c r="K143" s="258"/>
      <c r="L143" s="258"/>
      <c r="M143" s="256"/>
      <c r="N143" s="253"/>
      <c r="O143" s="253"/>
      <c r="P143" s="253"/>
      <c r="Q143" s="253"/>
      <c r="R143" s="253"/>
      <c r="S143" s="253"/>
      <c r="T143" s="253"/>
      <c r="U143" s="253"/>
      <c r="V143" s="253"/>
      <c r="W143" s="253"/>
      <c r="X143" s="253"/>
      <c r="Y143" s="253"/>
      <c r="Z143" s="253"/>
      <c r="AA143" s="253"/>
      <c r="AB143" s="253"/>
      <c r="AC143" s="253"/>
      <c r="AD143" s="253"/>
      <c r="AE143" s="253"/>
      <c r="AF143" s="253"/>
      <c r="AG143" s="253"/>
      <c r="AH143" s="253"/>
      <c r="AI143" s="253"/>
      <c r="AJ143" s="253"/>
      <c r="AK143" s="253"/>
      <c r="AL143" s="253"/>
      <c r="AM143" s="253"/>
      <c r="AN143" s="253"/>
      <c r="AO143" s="253"/>
      <c r="AP143" s="253"/>
      <c r="AQ143" s="253"/>
      <c r="AR143" s="253"/>
      <c r="AS143" s="253"/>
      <c r="AT143" s="253"/>
      <c r="AU143" s="253"/>
      <c r="AV143" s="253"/>
      <c r="AW143" s="253"/>
      <c r="AX143" s="253"/>
      <c r="AY143" s="253"/>
      <c r="AZ143" s="253"/>
      <c r="BA143" s="253"/>
      <c r="BB143" s="253"/>
      <c r="BC143" s="253"/>
      <c r="BD143" s="253"/>
      <c r="BE143" s="253"/>
      <c r="BF143" s="253"/>
      <c r="BG143" s="253"/>
      <c r="BH143" s="253"/>
      <c r="BI143" s="253"/>
      <c r="BJ143" s="253"/>
    </row>
    <row r="144" spans="1:62" ht="24" customHeight="1">
      <c r="A144" s="256"/>
      <c r="B144" s="256"/>
      <c r="C144" s="264"/>
      <c r="D144" s="254"/>
      <c r="E144" s="254"/>
      <c r="F144" s="258"/>
      <c r="G144" s="254"/>
      <c r="H144" s="258"/>
      <c r="I144" s="254"/>
      <c r="J144" s="258"/>
      <c r="K144" s="258"/>
      <c r="L144" s="258"/>
      <c r="M144" s="256"/>
      <c r="N144" s="253"/>
      <c r="O144" s="253"/>
      <c r="P144" s="253"/>
      <c r="Q144" s="253"/>
      <c r="R144" s="253"/>
      <c r="S144" s="253"/>
      <c r="T144" s="253"/>
      <c r="U144" s="253"/>
      <c r="V144" s="253"/>
      <c r="W144" s="253"/>
      <c r="X144" s="253"/>
      <c r="Y144" s="253"/>
      <c r="Z144" s="253"/>
      <c r="AA144" s="253"/>
      <c r="AB144" s="253"/>
      <c r="AC144" s="253"/>
      <c r="AD144" s="253"/>
      <c r="AE144" s="253"/>
      <c r="AF144" s="253"/>
      <c r="AG144" s="253"/>
      <c r="AH144" s="253"/>
      <c r="AI144" s="253"/>
      <c r="AJ144" s="253"/>
      <c r="AK144" s="253"/>
      <c r="AL144" s="253"/>
      <c r="AM144" s="253"/>
      <c r="AN144" s="253"/>
      <c r="AO144" s="253"/>
      <c r="AP144" s="253"/>
      <c r="AQ144" s="253"/>
      <c r="AR144" s="253"/>
      <c r="AS144" s="253"/>
      <c r="AT144" s="253"/>
      <c r="AU144" s="253"/>
      <c r="AV144" s="253"/>
      <c r="AW144" s="253"/>
      <c r="AX144" s="253"/>
      <c r="AY144" s="253"/>
      <c r="AZ144" s="253"/>
      <c r="BA144" s="253"/>
      <c r="BB144" s="253"/>
      <c r="BC144" s="253"/>
      <c r="BD144" s="253"/>
      <c r="BE144" s="253"/>
      <c r="BF144" s="253"/>
      <c r="BG144" s="253"/>
      <c r="BH144" s="253"/>
      <c r="BI144" s="253"/>
      <c r="BJ144" s="253"/>
    </row>
    <row r="145" spans="1:62" ht="24" customHeight="1">
      <c r="A145" s="256"/>
      <c r="B145" s="256"/>
      <c r="C145" s="264"/>
      <c r="D145" s="254"/>
      <c r="E145" s="254"/>
      <c r="F145" s="258"/>
      <c r="G145" s="254"/>
      <c r="H145" s="258"/>
      <c r="I145" s="254"/>
      <c r="J145" s="258"/>
      <c r="K145" s="258"/>
      <c r="L145" s="258"/>
      <c r="M145" s="256"/>
      <c r="N145" s="253"/>
      <c r="O145" s="253"/>
      <c r="P145" s="253"/>
      <c r="Q145" s="253"/>
      <c r="R145" s="253"/>
      <c r="S145" s="253"/>
      <c r="T145" s="253"/>
      <c r="U145" s="253"/>
      <c r="V145" s="253"/>
      <c r="W145" s="253"/>
      <c r="X145" s="253"/>
      <c r="Y145" s="253"/>
      <c r="Z145" s="253"/>
      <c r="AA145" s="253"/>
      <c r="AB145" s="253"/>
      <c r="AC145" s="253"/>
      <c r="AD145" s="253"/>
      <c r="AE145" s="253"/>
      <c r="AF145" s="253"/>
      <c r="AG145" s="253"/>
      <c r="AH145" s="253"/>
      <c r="AI145" s="253"/>
      <c r="AJ145" s="253"/>
      <c r="AK145" s="253"/>
      <c r="AL145" s="253"/>
      <c r="AM145" s="253"/>
      <c r="AN145" s="253"/>
      <c r="AO145" s="253"/>
      <c r="AP145" s="253"/>
      <c r="AQ145" s="253"/>
      <c r="AR145" s="253"/>
      <c r="AS145" s="253"/>
      <c r="AT145" s="253"/>
      <c r="AU145" s="253"/>
      <c r="AV145" s="253"/>
      <c r="AW145" s="253"/>
      <c r="AX145" s="253"/>
      <c r="AY145" s="253"/>
      <c r="AZ145" s="253"/>
      <c r="BA145" s="253"/>
      <c r="BB145" s="253"/>
      <c r="BC145" s="253"/>
      <c r="BD145" s="253"/>
      <c r="BE145" s="253"/>
      <c r="BF145" s="253"/>
      <c r="BG145" s="253"/>
      <c r="BH145" s="253"/>
      <c r="BI145" s="253"/>
      <c r="BJ145" s="253"/>
    </row>
    <row r="146" spans="1:62" ht="24" customHeight="1">
      <c r="A146" s="256"/>
      <c r="B146" s="256"/>
      <c r="C146" s="264"/>
      <c r="D146" s="254"/>
      <c r="E146" s="254"/>
      <c r="F146" s="258"/>
      <c r="G146" s="254"/>
      <c r="H146" s="258"/>
      <c r="I146" s="254"/>
      <c r="J146" s="258"/>
      <c r="K146" s="258"/>
      <c r="L146" s="258"/>
      <c r="M146" s="256"/>
      <c r="N146" s="253"/>
      <c r="O146" s="253"/>
      <c r="P146" s="253"/>
      <c r="Q146" s="253"/>
      <c r="R146" s="253"/>
      <c r="S146" s="253"/>
      <c r="T146" s="253"/>
      <c r="U146" s="253"/>
      <c r="V146" s="253"/>
      <c r="W146" s="253"/>
      <c r="X146" s="253"/>
      <c r="Y146" s="253"/>
      <c r="Z146" s="253"/>
      <c r="AA146" s="253"/>
      <c r="AB146" s="253"/>
      <c r="AC146" s="253"/>
      <c r="AD146" s="253"/>
      <c r="AE146" s="253"/>
      <c r="AF146" s="253"/>
      <c r="AG146" s="253"/>
      <c r="AH146" s="253"/>
      <c r="AI146" s="253"/>
      <c r="AJ146" s="253"/>
      <c r="AK146" s="253"/>
      <c r="AL146" s="253"/>
      <c r="AM146" s="253"/>
      <c r="AN146" s="253"/>
      <c r="AO146" s="253"/>
      <c r="AP146" s="253"/>
      <c r="AQ146" s="253"/>
      <c r="AR146" s="253"/>
      <c r="AS146" s="253"/>
      <c r="AT146" s="253"/>
      <c r="AU146" s="253"/>
      <c r="AV146" s="253"/>
      <c r="AW146" s="253"/>
      <c r="AX146" s="253"/>
      <c r="AY146" s="253"/>
      <c r="AZ146" s="253"/>
      <c r="BA146" s="253"/>
      <c r="BB146" s="253"/>
      <c r="BC146" s="253"/>
      <c r="BD146" s="253"/>
      <c r="BE146" s="253"/>
      <c r="BF146" s="253"/>
      <c r="BG146" s="253"/>
      <c r="BH146" s="253"/>
      <c r="BI146" s="253"/>
      <c r="BJ146" s="253"/>
    </row>
    <row r="147" spans="1:62" ht="24" customHeight="1">
      <c r="A147" s="256"/>
      <c r="B147" s="256"/>
      <c r="C147" s="264"/>
      <c r="D147" s="254"/>
      <c r="E147" s="254"/>
      <c r="F147" s="258"/>
      <c r="G147" s="254"/>
      <c r="H147" s="258"/>
      <c r="I147" s="254"/>
      <c r="J147" s="258"/>
      <c r="K147" s="258"/>
      <c r="L147" s="258"/>
      <c r="M147" s="256"/>
      <c r="N147" s="253"/>
      <c r="O147" s="253"/>
      <c r="P147" s="253"/>
      <c r="Q147" s="253"/>
      <c r="R147" s="253"/>
      <c r="S147" s="253"/>
      <c r="T147" s="253"/>
      <c r="U147" s="253"/>
      <c r="V147" s="253"/>
      <c r="W147" s="253"/>
      <c r="X147" s="253"/>
      <c r="Y147" s="253"/>
      <c r="Z147" s="253"/>
      <c r="AA147" s="253"/>
      <c r="AB147" s="253"/>
      <c r="AC147" s="253"/>
      <c r="AD147" s="253"/>
      <c r="AE147" s="253"/>
      <c r="AF147" s="253"/>
      <c r="AG147" s="253"/>
      <c r="AH147" s="253"/>
      <c r="AI147" s="253"/>
      <c r="AJ147" s="253"/>
      <c r="AK147" s="253"/>
      <c r="AL147" s="253"/>
      <c r="AM147" s="253"/>
      <c r="AN147" s="253"/>
      <c r="AO147" s="253"/>
      <c r="AP147" s="253"/>
      <c r="AQ147" s="253"/>
      <c r="AR147" s="253"/>
      <c r="AS147" s="253"/>
      <c r="AT147" s="253"/>
      <c r="AU147" s="253"/>
      <c r="AV147" s="253"/>
      <c r="AW147" s="253"/>
      <c r="AX147" s="253"/>
      <c r="AY147" s="253"/>
      <c r="AZ147" s="253"/>
      <c r="BA147" s="253"/>
      <c r="BB147" s="253"/>
      <c r="BC147" s="253"/>
      <c r="BD147" s="253"/>
      <c r="BE147" s="253"/>
      <c r="BF147" s="253"/>
      <c r="BG147" s="253"/>
      <c r="BH147" s="253"/>
      <c r="BI147" s="253"/>
      <c r="BJ147" s="253"/>
    </row>
    <row r="148" spans="1:62" ht="24" customHeight="1">
      <c r="A148" s="273" t="s">
        <v>1249</v>
      </c>
      <c r="B148" s="273" t="s">
        <v>68</v>
      </c>
      <c r="C148" s="274">
        <v>1</v>
      </c>
      <c r="D148" s="275" t="s">
        <v>1094</v>
      </c>
      <c r="E148" s="275"/>
      <c r="F148" s="276">
        <f>TRUNC(F149+F150+F151+F152+F153,0)</f>
        <v>0</v>
      </c>
      <c r="G148" s="275"/>
      <c r="H148" s="276"/>
      <c r="I148" s="275"/>
      <c r="J148" s="276"/>
      <c r="K148" s="275"/>
      <c r="L148" s="276"/>
      <c r="M148" s="273"/>
      <c r="N148" s="253" t="s">
        <v>68</v>
      </c>
      <c r="O148" s="253" t="s">
        <v>1250</v>
      </c>
      <c r="P148" s="253"/>
      <c r="Q148" s="253"/>
      <c r="R148" s="253"/>
      <c r="S148" s="253"/>
      <c r="T148" s="253"/>
      <c r="U148" s="253"/>
      <c r="V148" s="253"/>
      <c r="W148" s="253"/>
      <c r="X148" s="253"/>
      <c r="Y148" s="253"/>
      <c r="Z148" s="253"/>
      <c r="AA148" s="253"/>
      <c r="AB148" s="253"/>
      <c r="AC148" s="253"/>
      <c r="AD148" s="253"/>
      <c r="AE148" s="253"/>
      <c r="AF148" s="253"/>
      <c r="AG148" s="253"/>
      <c r="AH148" s="253"/>
      <c r="AI148" s="253"/>
      <c r="AJ148" s="253"/>
      <c r="AK148" s="253"/>
      <c r="AL148" s="253"/>
      <c r="AM148" s="253"/>
      <c r="AN148" s="253"/>
      <c r="AO148" s="253"/>
      <c r="AP148" s="253"/>
      <c r="AQ148" s="253"/>
      <c r="AR148" s="253"/>
      <c r="AS148" s="253"/>
      <c r="AT148" s="253"/>
      <c r="AU148" s="253"/>
      <c r="AV148" s="253"/>
      <c r="AW148" s="253"/>
      <c r="AX148" s="253"/>
      <c r="AY148" s="253"/>
      <c r="AZ148" s="253"/>
      <c r="BA148" s="253"/>
      <c r="BB148" s="253"/>
      <c r="BC148" s="253"/>
      <c r="BD148" s="253"/>
      <c r="BE148" s="253"/>
      <c r="BF148" s="253"/>
      <c r="BG148" s="253"/>
      <c r="BH148" s="253"/>
      <c r="BI148" s="253"/>
      <c r="BJ148" s="253"/>
    </row>
    <row r="149" spans="1:62" ht="24" customHeight="1">
      <c r="A149" s="256" t="s">
        <v>1263</v>
      </c>
      <c r="B149" s="256" t="s">
        <v>1264</v>
      </c>
      <c r="C149" s="257">
        <v>118</v>
      </c>
      <c r="D149" s="254" t="s">
        <v>9</v>
      </c>
      <c r="E149" s="258">
        <f>일위목록!E76</f>
        <v>0</v>
      </c>
      <c r="F149" s="258">
        <f>TRUNC(E149*C149,0)</f>
        <v>0</v>
      </c>
      <c r="G149" s="258">
        <f>일위목록!F76</f>
        <v>0</v>
      </c>
      <c r="H149" s="258"/>
      <c r="I149" s="258"/>
      <c r="J149" s="258"/>
      <c r="K149" s="258"/>
      <c r="L149" s="258"/>
      <c r="M149" s="256"/>
      <c r="N149" s="253" t="s">
        <v>68</v>
      </c>
      <c r="O149" s="253"/>
      <c r="P149" s="253" t="s">
        <v>1095</v>
      </c>
      <c r="Q149" s="253" t="s">
        <v>68</v>
      </c>
      <c r="R149" s="253" t="s">
        <v>1265</v>
      </c>
      <c r="S149" s="253"/>
      <c r="T149" s="253" t="s">
        <v>1129</v>
      </c>
      <c r="U149" s="253"/>
      <c r="V149" s="253"/>
      <c r="W149" s="253"/>
      <c r="X149" s="253"/>
      <c r="Y149" s="253"/>
      <c r="Z149" s="253"/>
      <c r="AA149" s="253"/>
      <c r="AB149" s="253"/>
      <c r="AC149" s="253"/>
      <c r="AD149" s="253"/>
      <c r="AE149" s="253"/>
      <c r="AF149" s="253"/>
      <c r="AG149" s="253"/>
      <c r="AH149" s="253"/>
      <c r="AI149" s="253"/>
      <c r="AJ149" s="253"/>
      <c r="AK149" s="253"/>
      <c r="AL149" s="253"/>
      <c r="AM149" s="253"/>
      <c r="AN149" s="253"/>
      <c r="AO149" s="253"/>
      <c r="AP149" s="253"/>
      <c r="AQ149" s="253"/>
      <c r="AR149" s="253"/>
      <c r="AS149" s="253"/>
      <c r="AT149" s="253"/>
      <c r="AU149" s="253"/>
      <c r="AV149" s="253"/>
      <c r="AW149" s="253"/>
      <c r="AX149" s="253"/>
      <c r="AY149" s="253"/>
      <c r="AZ149" s="253"/>
      <c r="BA149" s="253"/>
      <c r="BB149" s="253"/>
      <c r="BC149" s="253"/>
      <c r="BD149" s="253"/>
      <c r="BE149" s="253"/>
      <c r="BF149" s="253"/>
      <c r="BG149" s="253"/>
      <c r="BH149" s="253"/>
      <c r="BI149" s="253"/>
      <c r="BJ149" s="263" t="str">
        <f>HYPERLINK("#일위대가목록!A76","P4-1-1/4 →")</f>
        <v>P4-1-1/4 →</v>
      </c>
    </row>
    <row r="150" spans="1:62" ht="24" customHeight="1">
      <c r="A150" s="256" t="s">
        <v>141</v>
      </c>
      <c r="B150" s="256" t="s">
        <v>1266</v>
      </c>
      <c r="C150" s="257">
        <v>118</v>
      </c>
      <c r="D150" s="254" t="s">
        <v>9</v>
      </c>
      <c r="E150" s="258">
        <f>일위목록!E77</f>
        <v>0</v>
      </c>
      <c r="F150" s="258">
        <f>TRUNC(E150*C150,0)</f>
        <v>0</v>
      </c>
      <c r="G150" s="258">
        <f>일위목록!F77</f>
        <v>0</v>
      </c>
      <c r="H150" s="258"/>
      <c r="I150" s="258"/>
      <c r="J150" s="258"/>
      <c r="K150" s="258"/>
      <c r="L150" s="258"/>
      <c r="M150" s="256"/>
      <c r="N150" s="253" t="s">
        <v>68</v>
      </c>
      <c r="O150" s="253"/>
      <c r="P150" s="253" t="s">
        <v>1098</v>
      </c>
      <c r="Q150" s="253" t="s">
        <v>68</v>
      </c>
      <c r="R150" s="253" t="s">
        <v>1267</v>
      </c>
      <c r="S150" s="253"/>
      <c r="T150" s="253" t="s">
        <v>1129</v>
      </c>
      <c r="U150" s="253"/>
      <c r="V150" s="253"/>
      <c r="W150" s="253"/>
      <c r="X150" s="253"/>
      <c r="Y150" s="253"/>
      <c r="Z150" s="253"/>
      <c r="AA150" s="253"/>
      <c r="AB150" s="253"/>
      <c r="AC150" s="253"/>
      <c r="AD150" s="253"/>
      <c r="AE150" s="253"/>
      <c r="AF150" s="253"/>
      <c r="AG150" s="253"/>
      <c r="AH150" s="253"/>
      <c r="AI150" s="253"/>
      <c r="AJ150" s="253"/>
      <c r="AK150" s="253"/>
      <c r="AL150" s="253"/>
      <c r="AM150" s="253"/>
      <c r="AN150" s="253"/>
      <c r="AO150" s="253"/>
      <c r="AP150" s="253"/>
      <c r="AQ150" s="253"/>
      <c r="AR150" s="253"/>
      <c r="AS150" s="253"/>
      <c r="AT150" s="253"/>
      <c r="AU150" s="253"/>
      <c r="AV150" s="253"/>
      <c r="AW150" s="253"/>
      <c r="AX150" s="253"/>
      <c r="AY150" s="253"/>
      <c r="AZ150" s="253"/>
      <c r="BA150" s="253"/>
      <c r="BB150" s="253"/>
      <c r="BC150" s="253"/>
      <c r="BD150" s="253"/>
      <c r="BE150" s="253"/>
      <c r="BF150" s="253"/>
      <c r="BG150" s="253"/>
      <c r="BH150" s="253"/>
      <c r="BI150" s="253"/>
      <c r="BJ150" s="263" t="str">
        <f>HYPERLINK("#일위대가목록!A77","R2-11-2/7 →")</f>
        <v>R2-11-2/7 →</v>
      </c>
    </row>
    <row r="151" spans="1:62" ht="24" customHeight="1">
      <c r="A151" s="256" t="s">
        <v>143</v>
      </c>
      <c r="B151" s="256" t="s">
        <v>1268</v>
      </c>
      <c r="C151" s="257">
        <v>118</v>
      </c>
      <c r="D151" s="254" t="s">
        <v>9</v>
      </c>
      <c r="E151" s="258">
        <f>일위목록!E78</f>
        <v>0</v>
      </c>
      <c r="F151" s="258">
        <f>TRUNC(E151*C151,0)</f>
        <v>0</v>
      </c>
      <c r="G151" s="258">
        <f>일위목록!F78</f>
        <v>0</v>
      </c>
      <c r="H151" s="258"/>
      <c r="I151" s="258"/>
      <c r="J151" s="258"/>
      <c r="K151" s="258"/>
      <c r="L151" s="258"/>
      <c r="M151" s="256"/>
      <c r="N151" s="253" t="s">
        <v>68</v>
      </c>
      <c r="O151" s="253"/>
      <c r="P151" s="253" t="s">
        <v>1101</v>
      </c>
      <c r="Q151" s="253" t="s">
        <v>68</v>
      </c>
      <c r="R151" s="253" t="s">
        <v>1269</v>
      </c>
      <c r="S151" s="253"/>
      <c r="T151" s="253" t="s">
        <v>1129</v>
      </c>
      <c r="U151" s="253"/>
      <c r="V151" s="253"/>
      <c r="W151" s="253"/>
      <c r="X151" s="253"/>
      <c r="Y151" s="253"/>
      <c r="Z151" s="253"/>
      <c r="AA151" s="253"/>
      <c r="AB151" s="253"/>
      <c r="AC151" s="253"/>
      <c r="AD151" s="253"/>
      <c r="AE151" s="253"/>
      <c r="AF151" s="253"/>
      <c r="AG151" s="253"/>
      <c r="AH151" s="253"/>
      <c r="AI151" s="253"/>
      <c r="AJ151" s="253"/>
      <c r="AK151" s="253"/>
      <c r="AL151" s="253"/>
      <c r="AM151" s="253"/>
      <c r="AN151" s="253"/>
      <c r="AO151" s="253"/>
      <c r="AP151" s="253"/>
      <c r="AQ151" s="253"/>
      <c r="AR151" s="253"/>
      <c r="AS151" s="253"/>
      <c r="AT151" s="253"/>
      <c r="AU151" s="253"/>
      <c r="AV151" s="253"/>
      <c r="AW151" s="253"/>
      <c r="AX151" s="253"/>
      <c r="AY151" s="253"/>
      <c r="AZ151" s="253"/>
      <c r="BA151" s="253"/>
      <c r="BB151" s="253"/>
      <c r="BC151" s="253"/>
      <c r="BD151" s="253"/>
      <c r="BE151" s="253"/>
      <c r="BF151" s="253"/>
      <c r="BG151" s="253"/>
      <c r="BH151" s="253"/>
      <c r="BI151" s="253"/>
      <c r="BJ151" s="263" t="str">
        <f>HYPERLINK("#일위대가목록!A78","R2-11-1/0 →")</f>
        <v>R2-11-1/0 →</v>
      </c>
    </row>
    <row r="152" spans="1:62" ht="24" customHeight="1">
      <c r="A152" s="256" t="s">
        <v>145</v>
      </c>
      <c r="B152" s="256" t="s">
        <v>1270</v>
      </c>
      <c r="C152" s="257">
        <v>118</v>
      </c>
      <c r="D152" s="254" t="s">
        <v>9</v>
      </c>
      <c r="E152" s="258">
        <f>일위목록!E79</f>
        <v>0</v>
      </c>
      <c r="F152" s="258">
        <f>TRUNC(E152*C152,0)</f>
        <v>0</v>
      </c>
      <c r="G152" s="258">
        <f>일위목록!F79</f>
        <v>0</v>
      </c>
      <c r="H152" s="258"/>
      <c r="I152" s="258"/>
      <c r="J152" s="258"/>
      <c r="K152" s="258"/>
      <c r="L152" s="258"/>
      <c r="M152" s="256"/>
      <c r="N152" s="253" t="s">
        <v>68</v>
      </c>
      <c r="O152" s="253"/>
      <c r="P152" s="253" t="s">
        <v>1104</v>
      </c>
      <c r="Q152" s="253" t="s">
        <v>68</v>
      </c>
      <c r="R152" s="253" t="s">
        <v>1271</v>
      </c>
      <c r="S152" s="253"/>
      <c r="T152" s="253" t="s">
        <v>1129</v>
      </c>
      <c r="U152" s="253"/>
      <c r="V152" s="253"/>
      <c r="W152" s="253"/>
      <c r="X152" s="253"/>
      <c r="Y152" s="253"/>
      <c r="Z152" s="253"/>
      <c r="AA152" s="253"/>
      <c r="AB152" s="253"/>
      <c r="AC152" s="253"/>
      <c r="AD152" s="253"/>
      <c r="AE152" s="253"/>
      <c r="AF152" s="253"/>
      <c r="AG152" s="253"/>
      <c r="AH152" s="253"/>
      <c r="AI152" s="253"/>
      <c r="AJ152" s="253"/>
      <c r="AK152" s="253"/>
      <c r="AL152" s="253"/>
      <c r="AM152" s="253"/>
      <c r="AN152" s="253"/>
      <c r="AO152" s="253"/>
      <c r="AP152" s="253"/>
      <c r="AQ152" s="253"/>
      <c r="AR152" s="253"/>
      <c r="AS152" s="253"/>
      <c r="AT152" s="253"/>
      <c r="AU152" s="253"/>
      <c r="AV152" s="253"/>
      <c r="AW152" s="253"/>
      <c r="AX152" s="253"/>
      <c r="AY152" s="253"/>
      <c r="AZ152" s="253"/>
      <c r="BA152" s="253"/>
      <c r="BB152" s="253"/>
      <c r="BC152" s="253"/>
      <c r="BD152" s="253"/>
      <c r="BE152" s="253"/>
      <c r="BF152" s="253"/>
      <c r="BG152" s="253"/>
      <c r="BH152" s="253"/>
      <c r="BI152" s="253"/>
      <c r="BJ152" s="263" t="str">
        <f>HYPERLINK("#일위대가목록!A79","R2-11-3/1 →")</f>
        <v>R2-11-3/1 →</v>
      </c>
    </row>
    <row r="153" spans="1:62" ht="24" customHeight="1">
      <c r="A153" s="256" t="s">
        <v>1272</v>
      </c>
      <c r="B153" s="256" t="s">
        <v>1273</v>
      </c>
      <c r="C153" s="257">
        <v>1</v>
      </c>
      <c r="D153" s="254" t="s">
        <v>149</v>
      </c>
      <c r="E153" s="258">
        <f>일위목록!E80</f>
        <v>0</v>
      </c>
      <c r="F153" s="258">
        <f>TRUNC(E153*C153,0)</f>
        <v>0</v>
      </c>
      <c r="G153" s="258">
        <f>일위목록!F80</f>
        <v>0</v>
      </c>
      <c r="H153" s="258"/>
      <c r="I153" s="258"/>
      <c r="J153" s="258"/>
      <c r="K153" s="258"/>
      <c r="L153" s="258"/>
      <c r="M153" s="256"/>
      <c r="N153" s="253" t="s">
        <v>68</v>
      </c>
      <c r="O153" s="253"/>
      <c r="P153" s="253" t="s">
        <v>1107</v>
      </c>
      <c r="Q153" s="253" t="s">
        <v>68</v>
      </c>
      <c r="R153" s="253" t="s">
        <v>1274</v>
      </c>
      <c r="S153" s="253"/>
      <c r="T153" s="253" t="s">
        <v>1129</v>
      </c>
      <c r="U153" s="253"/>
      <c r="V153" s="253"/>
      <c r="W153" s="253"/>
      <c r="X153" s="253"/>
      <c r="Y153" s="253"/>
      <c r="Z153" s="253"/>
      <c r="AA153" s="253"/>
      <c r="AB153" s="253"/>
      <c r="AC153" s="253"/>
      <c r="AD153" s="253"/>
      <c r="AE153" s="253"/>
      <c r="AF153" s="253"/>
      <c r="AG153" s="253"/>
      <c r="AH153" s="253"/>
      <c r="AI153" s="253"/>
      <c r="AJ153" s="253"/>
      <c r="AK153" s="253"/>
      <c r="AL153" s="253"/>
      <c r="AM153" s="253"/>
      <c r="AN153" s="253"/>
      <c r="AO153" s="253"/>
      <c r="AP153" s="253"/>
      <c r="AQ153" s="253"/>
      <c r="AR153" s="253"/>
      <c r="AS153" s="253"/>
      <c r="AT153" s="253"/>
      <c r="AU153" s="253"/>
      <c r="AV153" s="253"/>
      <c r="AW153" s="253"/>
      <c r="AX153" s="253"/>
      <c r="AY153" s="253"/>
      <c r="AZ153" s="253"/>
      <c r="BA153" s="253"/>
      <c r="BB153" s="253"/>
      <c r="BC153" s="253"/>
      <c r="BD153" s="253"/>
      <c r="BE153" s="253"/>
      <c r="BF153" s="253"/>
      <c r="BG153" s="253"/>
      <c r="BH153" s="253"/>
      <c r="BI153" s="253"/>
      <c r="BJ153" s="263" t="str">
        <f>HYPERLINK("#일위대가목록!A80","R2-11-23 →")</f>
        <v>R2-11-23 →</v>
      </c>
    </row>
    <row r="154" spans="1:62" ht="24" customHeight="1">
      <c r="A154" s="256" t="s">
        <v>68</v>
      </c>
      <c r="B154" s="256" t="s">
        <v>68</v>
      </c>
      <c r="C154" s="264"/>
      <c r="D154" s="254" t="s">
        <v>68</v>
      </c>
      <c r="E154" s="254"/>
      <c r="F154" s="258">
        <v>0</v>
      </c>
      <c r="G154" s="254"/>
      <c r="H154" s="258"/>
      <c r="I154" s="254"/>
      <c r="J154" s="258"/>
      <c r="K154" s="258"/>
      <c r="L154" s="258"/>
      <c r="M154" s="256"/>
      <c r="N154" s="253" t="s">
        <v>68</v>
      </c>
      <c r="O154" s="253"/>
      <c r="P154" s="253" t="s">
        <v>1108</v>
      </c>
      <c r="Q154" s="253" t="s">
        <v>68</v>
      </c>
      <c r="R154" s="253" t="s">
        <v>68</v>
      </c>
      <c r="S154" s="253"/>
      <c r="T154" s="253"/>
      <c r="U154" s="253"/>
      <c r="V154" s="253"/>
      <c r="W154" s="253"/>
      <c r="X154" s="253"/>
      <c r="Y154" s="253"/>
      <c r="Z154" s="253"/>
      <c r="AA154" s="253"/>
      <c r="AB154" s="253"/>
      <c r="AC154" s="253"/>
      <c r="AD154" s="253"/>
      <c r="AE154" s="253"/>
      <c r="AF154" s="253"/>
      <c r="AG154" s="253"/>
      <c r="AH154" s="253"/>
      <c r="AI154" s="253"/>
      <c r="AJ154" s="253"/>
      <c r="AK154" s="253"/>
      <c r="AL154" s="253"/>
      <c r="AM154" s="253"/>
      <c r="AN154" s="253"/>
      <c r="AO154" s="253"/>
      <c r="AP154" s="253"/>
      <c r="AQ154" s="253"/>
      <c r="AR154" s="253"/>
      <c r="AS154" s="253"/>
      <c r="AT154" s="253"/>
      <c r="AU154" s="253"/>
      <c r="AV154" s="253"/>
      <c r="AW154" s="253"/>
      <c r="AX154" s="253"/>
      <c r="AY154" s="253"/>
      <c r="AZ154" s="253"/>
      <c r="BA154" s="253"/>
      <c r="BB154" s="253"/>
      <c r="BC154" s="253"/>
      <c r="BD154" s="253"/>
      <c r="BE154" s="253"/>
      <c r="BF154" s="253"/>
      <c r="BG154" s="253"/>
      <c r="BH154" s="253"/>
      <c r="BI154" s="253"/>
      <c r="BJ154" s="253"/>
    </row>
    <row r="155" spans="1:62" ht="24" customHeight="1">
      <c r="A155" s="273" t="s">
        <v>1251</v>
      </c>
      <c r="B155" s="273" t="s">
        <v>68</v>
      </c>
      <c r="C155" s="274">
        <v>1</v>
      </c>
      <c r="D155" s="275" t="s">
        <v>1094</v>
      </c>
      <c r="E155" s="275"/>
      <c r="F155" s="276">
        <f>TRUNC(F156+F157+F158+F159+F160+F161+F162,0)</f>
        <v>0</v>
      </c>
      <c r="G155" s="275"/>
      <c r="H155" s="276"/>
      <c r="I155" s="275"/>
      <c r="J155" s="276"/>
      <c r="K155" s="275"/>
      <c r="L155" s="276"/>
      <c r="M155" s="273"/>
      <c r="N155" s="253" t="s">
        <v>68</v>
      </c>
      <c r="O155" s="253" t="s">
        <v>1252</v>
      </c>
      <c r="P155" s="253"/>
      <c r="Q155" s="253"/>
      <c r="R155" s="253"/>
      <c r="S155" s="253"/>
      <c r="T155" s="253"/>
      <c r="U155" s="253"/>
      <c r="V155" s="253"/>
      <c r="W155" s="253"/>
      <c r="X155" s="253"/>
      <c r="Y155" s="253"/>
      <c r="Z155" s="253"/>
      <c r="AA155" s="253"/>
      <c r="AB155" s="253"/>
      <c r="AC155" s="253"/>
      <c r="AD155" s="253"/>
      <c r="AE155" s="253"/>
      <c r="AF155" s="253"/>
      <c r="AG155" s="253"/>
      <c r="AH155" s="253"/>
      <c r="AI155" s="253"/>
      <c r="AJ155" s="253"/>
      <c r="AK155" s="253"/>
      <c r="AL155" s="253"/>
      <c r="AM155" s="253"/>
      <c r="AN155" s="253"/>
      <c r="AO155" s="253"/>
      <c r="AP155" s="253"/>
      <c r="AQ155" s="253"/>
      <c r="AR155" s="253"/>
      <c r="AS155" s="253"/>
      <c r="AT155" s="253"/>
      <c r="AU155" s="253"/>
      <c r="AV155" s="253"/>
      <c r="AW155" s="253"/>
      <c r="AX155" s="253"/>
      <c r="AY155" s="253"/>
      <c r="AZ155" s="253"/>
      <c r="BA155" s="253"/>
      <c r="BB155" s="253"/>
      <c r="BC155" s="253"/>
      <c r="BD155" s="253"/>
      <c r="BE155" s="253"/>
      <c r="BF155" s="253"/>
      <c r="BG155" s="253"/>
      <c r="BH155" s="253"/>
      <c r="BI155" s="253"/>
      <c r="BJ155" s="253"/>
    </row>
    <row r="156" spans="1:62" ht="24" customHeight="1">
      <c r="A156" s="256" t="s">
        <v>1275</v>
      </c>
      <c r="B156" s="256" t="s">
        <v>1276</v>
      </c>
      <c r="C156" s="264">
        <v>29.76</v>
      </c>
      <c r="D156" s="254" t="s">
        <v>1033</v>
      </c>
      <c r="E156" s="258">
        <f>일위목록!E81</f>
        <v>0</v>
      </c>
      <c r="F156" s="258">
        <f t="shared" ref="F156:F162" si="9">TRUNC(E156*C156,0)</f>
        <v>0</v>
      </c>
      <c r="G156" s="258">
        <f>일위목록!F81</f>
        <v>0</v>
      </c>
      <c r="H156" s="258"/>
      <c r="I156" s="258"/>
      <c r="J156" s="258"/>
      <c r="K156" s="258"/>
      <c r="L156" s="258"/>
      <c r="M156" s="256"/>
      <c r="N156" s="253" t="s">
        <v>68</v>
      </c>
      <c r="O156" s="253"/>
      <c r="P156" s="253" t="s">
        <v>1095</v>
      </c>
      <c r="Q156" s="253" t="s">
        <v>68</v>
      </c>
      <c r="R156" s="253" t="s">
        <v>1277</v>
      </c>
      <c r="S156" s="253"/>
      <c r="T156" s="253" t="s">
        <v>1129</v>
      </c>
      <c r="U156" s="253"/>
      <c r="V156" s="253"/>
      <c r="W156" s="253"/>
      <c r="X156" s="253"/>
      <c r="Y156" s="253"/>
      <c r="Z156" s="253"/>
      <c r="AA156" s="253"/>
      <c r="AB156" s="253"/>
      <c r="AC156" s="253"/>
      <c r="AD156" s="253"/>
      <c r="AE156" s="253"/>
      <c r="AF156" s="253"/>
      <c r="AG156" s="253"/>
      <c r="AH156" s="253"/>
      <c r="AI156" s="253"/>
      <c r="AJ156" s="253"/>
      <c r="AK156" s="253"/>
      <c r="AL156" s="253"/>
      <c r="AM156" s="253"/>
      <c r="AN156" s="253"/>
      <c r="AO156" s="253"/>
      <c r="AP156" s="253"/>
      <c r="AQ156" s="253"/>
      <c r="AR156" s="253"/>
      <c r="AS156" s="253"/>
      <c r="AT156" s="253"/>
      <c r="AU156" s="253"/>
      <c r="AV156" s="253"/>
      <c r="AW156" s="253"/>
      <c r="AX156" s="253"/>
      <c r="AY156" s="253"/>
      <c r="AZ156" s="253"/>
      <c r="BA156" s="253"/>
      <c r="BB156" s="253"/>
      <c r="BC156" s="253"/>
      <c r="BD156" s="253"/>
      <c r="BE156" s="253"/>
      <c r="BF156" s="253"/>
      <c r="BG156" s="253"/>
      <c r="BH156" s="253"/>
      <c r="BI156" s="253"/>
      <c r="BJ156" s="263" t="str">
        <f>HYPERLINK("#일위대가목록!A81","SE0039-4 →")</f>
        <v>SE0039-4 →</v>
      </c>
    </row>
    <row r="157" spans="1:62" ht="24" customHeight="1">
      <c r="A157" s="256" t="s">
        <v>1278</v>
      </c>
      <c r="B157" s="256" t="s">
        <v>1279</v>
      </c>
      <c r="C157" s="264">
        <v>5.1100000000000003</v>
      </c>
      <c r="D157" s="254" t="s">
        <v>15</v>
      </c>
      <c r="E157" s="258">
        <f>일위목록!E82</f>
        <v>0</v>
      </c>
      <c r="F157" s="258">
        <f t="shared" si="9"/>
        <v>0</v>
      </c>
      <c r="G157" s="258">
        <f>일위목록!F82</f>
        <v>0</v>
      </c>
      <c r="H157" s="258"/>
      <c r="I157" s="258"/>
      <c r="J157" s="258"/>
      <c r="K157" s="258"/>
      <c r="L157" s="258"/>
      <c r="M157" s="256"/>
      <c r="N157" s="253" t="s">
        <v>68</v>
      </c>
      <c r="O157" s="253"/>
      <c r="P157" s="253" t="s">
        <v>1098</v>
      </c>
      <c r="Q157" s="253" t="s">
        <v>68</v>
      </c>
      <c r="R157" s="253" t="s">
        <v>1280</v>
      </c>
      <c r="S157" s="253"/>
      <c r="T157" s="253" t="s">
        <v>1129</v>
      </c>
      <c r="U157" s="253"/>
      <c r="V157" s="253"/>
      <c r="W157" s="253"/>
      <c r="X157" s="253"/>
      <c r="Y157" s="253"/>
      <c r="Z157" s="253"/>
      <c r="AA157" s="253"/>
      <c r="AB157" s="253"/>
      <c r="AC157" s="253"/>
      <c r="AD157" s="253"/>
      <c r="AE157" s="253"/>
      <c r="AF157" s="253"/>
      <c r="AG157" s="253"/>
      <c r="AH157" s="253"/>
      <c r="AI157" s="253"/>
      <c r="AJ157" s="253"/>
      <c r="AK157" s="253"/>
      <c r="AL157" s="253"/>
      <c r="AM157" s="253"/>
      <c r="AN157" s="253"/>
      <c r="AO157" s="253"/>
      <c r="AP157" s="253"/>
      <c r="AQ157" s="253"/>
      <c r="AR157" s="253"/>
      <c r="AS157" s="253"/>
      <c r="AT157" s="253"/>
      <c r="AU157" s="253"/>
      <c r="AV157" s="253"/>
      <c r="AW157" s="253"/>
      <c r="AX157" s="253"/>
      <c r="AY157" s="253"/>
      <c r="AZ157" s="253"/>
      <c r="BA157" s="253"/>
      <c r="BB157" s="253"/>
      <c r="BC157" s="253"/>
      <c r="BD157" s="253"/>
      <c r="BE157" s="253"/>
      <c r="BF157" s="253"/>
      <c r="BG157" s="253"/>
      <c r="BH157" s="253"/>
      <c r="BI157" s="253"/>
      <c r="BJ157" s="263" t="str">
        <f>HYPERLINK("#일위대가목록!A82","PP12-1-1-2 →")</f>
        <v>PP12-1-1-2 →</v>
      </c>
    </row>
    <row r="158" spans="1:62" ht="24" customHeight="1">
      <c r="A158" s="256" t="s">
        <v>565</v>
      </c>
      <c r="B158" s="256" t="s">
        <v>1169</v>
      </c>
      <c r="C158" s="264">
        <v>20.88</v>
      </c>
      <c r="D158" s="254" t="s">
        <v>9</v>
      </c>
      <c r="E158" s="258">
        <f>일위목록!E83</f>
        <v>0</v>
      </c>
      <c r="F158" s="258">
        <f t="shared" si="9"/>
        <v>0</v>
      </c>
      <c r="G158" s="258">
        <f>일위목록!F83</f>
        <v>0</v>
      </c>
      <c r="H158" s="258"/>
      <c r="I158" s="258"/>
      <c r="J158" s="258"/>
      <c r="K158" s="258"/>
      <c r="L158" s="258"/>
      <c r="M158" s="256"/>
      <c r="N158" s="253" t="s">
        <v>68</v>
      </c>
      <c r="O158" s="253"/>
      <c r="P158" s="253" t="s">
        <v>1101</v>
      </c>
      <c r="Q158" s="253" t="s">
        <v>68</v>
      </c>
      <c r="R158" s="253" t="s">
        <v>1281</v>
      </c>
      <c r="S158" s="253"/>
      <c r="T158" s="253" t="s">
        <v>1129</v>
      </c>
      <c r="U158" s="253"/>
      <c r="V158" s="253"/>
      <c r="W158" s="253"/>
      <c r="X158" s="253"/>
      <c r="Y158" s="253"/>
      <c r="Z158" s="253"/>
      <c r="AA158" s="253"/>
      <c r="AB158" s="253"/>
      <c r="AC158" s="253"/>
      <c r="AD158" s="253"/>
      <c r="AE158" s="253"/>
      <c r="AF158" s="253"/>
      <c r="AG158" s="253"/>
      <c r="AH158" s="253"/>
      <c r="AI158" s="253"/>
      <c r="AJ158" s="253"/>
      <c r="AK158" s="253"/>
      <c r="AL158" s="253"/>
      <c r="AM158" s="253"/>
      <c r="AN158" s="253"/>
      <c r="AO158" s="253"/>
      <c r="AP158" s="253"/>
      <c r="AQ158" s="253"/>
      <c r="AR158" s="253"/>
      <c r="AS158" s="253"/>
      <c r="AT158" s="253"/>
      <c r="AU158" s="253"/>
      <c r="AV158" s="253"/>
      <c r="AW158" s="253"/>
      <c r="AX158" s="253"/>
      <c r="AY158" s="253"/>
      <c r="AZ158" s="253"/>
      <c r="BA158" s="253"/>
      <c r="BB158" s="253"/>
      <c r="BC158" s="253"/>
      <c r="BD158" s="253"/>
      <c r="BE158" s="253"/>
      <c r="BF158" s="253"/>
      <c r="BG158" s="253"/>
      <c r="BH158" s="253"/>
      <c r="BI158" s="253"/>
      <c r="BJ158" s="263" t="str">
        <f>HYPERLINK("#일위대가목록!A83","PP12-2-6/1 →")</f>
        <v>PP12-2-6/1 →</v>
      </c>
    </row>
    <row r="159" spans="1:62" ht="24" customHeight="1">
      <c r="A159" s="256" t="s">
        <v>1282</v>
      </c>
      <c r="B159" s="256" t="s">
        <v>68</v>
      </c>
      <c r="C159" s="264">
        <v>10.44</v>
      </c>
      <c r="D159" s="254" t="s">
        <v>9</v>
      </c>
      <c r="E159" s="258">
        <f>일위목록!E84</f>
        <v>0</v>
      </c>
      <c r="F159" s="258">
        <f t="shared" si="9"/>
        <v>0</v>
      </c>
      <c r="G159" s="258">
        <f>일위목록!F84</f>
        <v>0</v>
      </c>
      <c r="H159" s="258"/>
      <c r="I159" s="258"/>
      <c r="J159" s="258"/>
      <c r="K159" s="258"/>
      <c r="L159" s="258"/>
      <c r="M159" s="256"/>
      <c r="N159" s="253" t="s">
        <v>68</v>
      </c>
      <c r="O159" s="253"/>
      <c r="P159" s="253" t="s">
        <v>1104</v>
      </c>
      <c r="Q159" s="253" t="s">
        <v>68</v>
      </c>
      <c r="R159" s="253" t="s">
        <v>1283</v>
      </c>
      <c r="S159" s="253"/>
      <c r="T159" s="253" t="s">
        <v>1129</v>
      </c>
      <c r="U159" s="253"/>
      <c r="V159" s="253"/>
      <c r="W159" s="253"/>
      <c r="X159" s="253"/>
      <c r="Y159" s="253"/>
      <c r="Z159" s="253"/>
      <c r="AA159" s="253"/>
      <c r="AB159" s="253"/>
      <c r="AC159" s="253"/>
      <c r="AD159" s="253"/>
      <c r="AE159" s="253"/>
      <c r="AF159" s="253"/>
      <c r="AG159" s="253"/>
      <c r="AH159" s="253"/>
      <c r="AI159" s="253"/>
      <c r="AJ159" s="253"/>
      <c r="AK159" s="253"/>
      <c r="AL159" s="253"/>
      <c r="AM159" s="253"/>
      <c r="AN159" s="253"/>
      <c r="AO159" s="253"/>
      <c r="AP159" s="253"/>
      <c r="AQ159" s="253"/>
      <c r="AR159" s="253"/>
      <c r="AS159" s="253"/>
      <c r="AT159" s="253"/>
      <c r="AU159" s="253"/>
      <c r="AV159" s="253"/>
      <c r="AW159" s="253"/>
      <c r="AX159" s="253"/>
      <c r="AY159" s="253"/>
      <c r="AZ159" s="253"/>
      <c r="BA159" s="253"/>
      <c r="BB159" s="253"/>
      <c r="BC159" s="253"/>
      <c r="BD159" s="253"/>
      <c r="BE159" s="253"/>
      <c r="BF159" s="253"/>
      <c r="BG159" s="253"/>
      <c r="BH159" s="253"/>
      <c r="BI159" s="253"/>
      <c r="BJ159" s="263" t="str">
        <f>HYPERLINK("#일위대가목록!A84","PP12-2-5/1 →")</f>
        <v>PP12-2-5/1 →</v>
      </c>
    </row>
    <row r="160" spans="1:62" ht="24" customHeight="1">
      <c r="A160" s="256" t="s">
        <v>1284</v>
      </c>
      <c r="B160" s="256" t="s">
        <v>1285</v>
      </c>
      <c r="C160" s="257">
        <v>1</v>
      </c>
      <c r="D160" s="254" t="s">
        <v>1286</v>
      </c>
      <c r="E160" s="258">
        <f>일위목록!E85</f>
        <v>0</v>
      </c>
      <c r="F160" s="258">
        <f t="shared" si="9"/>
        <v>0</v>
      </c>
      <c r="G160" s="258">
        <f>일위목록!F85</f>
        <v>0</v>
      </c>
      <c r="H160" s="258"/>
      <c r="I160" s="258"/>
      <c r="J160" s="258"/>
      <c r="K160" s="258"/>
      <c r="L160" s="258"/>
      <c r="M160" s="256"/>
      <c r="N160" s="253" t="s">
        <v>68</v>
      </c>
      <c r="O160" s="253"/>
      <c r="P160" s="253" t="s">
        <v>1107</v>
      </c>
      <c r="Q160" s="253" t="s">
        <v>68</v>
      </c>
      <c r="R160" s="253" t="s">
        <v>1287</v>
      </c>
      <c r="S160" s="253"/>
      <c r="T160" s="253" t="s">
        <v>1129</v>
      </c>
      <c r="U160" s="253"/>
      <c r="V160" s="253"/>
      <c r="W160" s="253"/>
      <c r="X160" s="253"/>
      <c r="Y160" s="253"/>
      <c r="Z160" s="253"/>
      <c r="AA160" s="253"/>
      <c r="AB160" s="253"/>
      <c r="AC160" s="253"/>
      <c r="AD160" s="253"/>
      <c r="AE160" s="253"/>
      <c r="AF160" s="253"/>
      <c r="AG160" s="253"/>
      <c r="AH160" s="253"/>
      <c r="AI160" s="253"/>
      <c r="AJ160" s="253"/>
      <c r="AK160" s="253"/>
      <c r="AL160" s="253"/>
      <c r="AM160" s="253"/>
      <c r="AN160" s="253"/>
      <c r="AO160" s="253"/>
      <c r="AP160" s="253"/>
      <c r="AQ160" s="253"/>
      <c r="AR160" s="253"/>
      <c r="AS160" s="253"/>
      <c r="AT160" s="253"/>
      <c r="AU160" s="253"/>
      <c r="AV160" s="253"/>
      <c r="AW160" s="253"/>
      <c r="AX160" s="253"/>
      <c r="AY160" s="253"/>
      <c r="AZ160" s="253"/>
      <c r="BA160" s="253"/>
      <c r="BB160" s="253"/>
      <c r="BC160" s="253"/>
      <c r="BD160" s="253"/>
      <c r="BE160" s="253"/>
      <c r="BF160" s="253"/>
      <c r="BG160" s="253"/>
      <c r="BH160" s="253"/>
      <c r="BI160" s="253"/>
      <c r="BJ160" s="263" t="str">
        <f>HYPERLINK("#일위대가목록!A85","R2-11-26 →")</f>
        <v>R2-11-26 →</v>
      </c>
    </row>
    <row r="161" spans="1:62" ht="24" customHeight="1">
      <c r="A161" s="256" t="s">
        <v>1284</v>
      </c>
      <c r="B161" s="256" t="s">
        <v>1288</v>
      </c>
      <c r="C161" s="257">
        <v>1</v>
      </c>
      <c r="D161" s="254" t="s">
        <v>1286</v>
      </c>
      <c r="E161" s="258">
        <f>일위목록!E86</f>
        <v>0</v>
      </c>
      <c r="F161" s="258">
        <f t="shared" si="9"/>
        <v>0</v>
      </c>
      <c r="G161" s="258">
        <f>일위목록!F86</f>
        <v>0</v>
      </c>
      <c r="H161" s="258"/>
      <c r="I161" s="258"/>
      <c r="J161" s="258"/>
      <c r="K161" s="258"/>
      <c r="L161" s="258"/>
      <c r="M161" s="256"/>
      <c r="N161" s="253" t="s">
        <v>68</v>
      </c>
      <c r="O161" s="253"/>
      <c r="P161" s="253" t="s">
        <v>1108</v>
      </c>
      <c r="Q161" s="253" t="s">
        <v>68</v>
      </c>
      <c r="R161" s="253" t="s">
        <v>1289</v>
      </c>
      <c r="S161" s="253"/>
      <c r="T161" s="253" t="s">
        <v>1129</v>
      </c>
      <c r="U161" s="253"/>
      <c r="V161" s="253"/>
      <c r="W161" s="253"/>
      <c r="X161" s="253"/>
      <c r="Y161" s="253"/>
      <c r="Z161" s="253"/>
      <c r="AA161" s="253"/>
      <c r="AB161" s="253"/>
      <c r="AC161" s="253"/>
      <c r="AD161" s="253"/>
      <c r="AE161" s="253"/>
      <c r="AF161" s="253"/>
      <c r="AG161" s="253"/>
      <c r="AH161" s="253"/>
      <c r="AI161" s="253"/>
      <c r="AJ161" s="253"/>
      <c r="AK161" s="253"/>
      <c r="AL161" s="253"/>
      <c r="AM161" s="253"/>
      <c r="AN161" s="253"/>
      <c r="AO161" s="253"/>
      <c r="AP161" s="253"/>
      <c r="AQ161" s="253"/>
      <c r="AR161" s="253"/>
      <c r="AS161" s="253"/>
      <c r="AT161" s="253"/>
      <c r="AU161" s="253"/>
      <c r="AV161" s="253"/>
      <c r="AW161" s="253"/>
      <c r="AX161" s="253"/>
      <c r="AY161" s="253"/>
      <c r="AZ161" s="253"/>
      <c r="BA161" s="253"/>
      <c r="BB161" s="253"/>
      <c r="BC161" s="253"/>
      <c r="BD161" s="253"/>
      <c r="BE161" s="253"/>
      <c r="BF161" s="253"/>
      <c r="BG161" s="253"/>
      <c r="BH161" s="253"/>
      <c r="BI161" s="253"/>
      <c r="BJ161" s="263" t="str">
        <f>HYPERLINK("#일위대가목록!A86","R2-11-25 →")</f>
        <v>R2-11-25 →</v>
      </c>
    </row>
    <row r="162" spans="1:62" ht="24" customHeight="1">
      <c r="A162" s="256" t="s">
        <v>1171</v>
      </c>
      <c r="B162" s="256" t="s">
        <v>1172</v>
      </c>
      <c r="C162" s="264">
        <v>13.19</v>
      </c>
      <c r="D162" s="254" t="s">
        <v>16</v>
      </c>
      <c r="E162" s="258">
        <f>일위목록!E29</f>
        <v>0</v>
      </c>
      <c r="F162" s="258">
        <f t="shared" si="9"/>
        <v>0</v>
      </c>
      <c r="G162" s="258">
        <f>일위목록!F29</f>
        <v>0</v>
      </c>
      <c r="H162" s="258"/>
      <c r="I162" s="258"/>
      <c r="J162" s="258"/>
      <c r="K162" s="258"/>
      <c r="L162" s="258"/>
      <c r="M162" s="256"/>
      <c r="N162" s="253" t="s">
        <v>68</v>
      </c>
      <c r="O162" s="253"/>
      <c r="P162" s="253" t="s">
        <v>1110</v>
      </c>
      <c r="Q162" s="253" t="s">
        <v>68</v>
      </c>
      <c r="R162" s="253" t="s">
        <v>1174</v>
      </c>
      <c r="S162" s="253"/>
      <c r="T162" s="253" t="s">
        <v>1129</v>
      </c>
      <c r="U162" s="253"/>
      <c r="V162" s="253"/>
      <c r="W162" s="253"/>
      <c r="X162" s="253"/>
      <c r="Y162" s="253"/>
      <c r="Z162" s="253"/>
      <c r="AA162" s="253"/>
      <c r="AB162" s="253"/>
      <c r="AC162" s="253"/>
      <c r="AD162" s="253"/>
      <c r="AE162" s="253"/>
      <c r="AF162" s="253"/>
      <c r="AG162" s="253"/>
      <c r="AH162" s="253"/>
      <c r="AI162" s="253"/>
      <c r="AJ162" s="253"/>
      <c r="AK162" s="253"/>
      <c r="AL162" s="253"/>
      <c r="AM162" s="253"/>
      <c r="AN162" s="253"/>
      <c r="AO162" s="253"/>
      <c r="AP162" s="253"/>
      <c r="AQ162" s="253"/>
      <c r="AR162" s="253"/>
      <c r="AS162" s="253"/>
      <c r="AT162" s="253"/>
      <c r="AU162" s="253"/>
      <c r="AV162" s="253"/>
      <c r="AW162" s="253"/>
      <c r="AX162" s="253"/>
      <c r="AY162" s="253"/>
      <c r="AZ162" s="253"/>
      <c r="BA162" s="253"/>
      <c r="BB162" s="253"/>
      <c r="BC162" s="253"/>
      <c r="BD162" s="253"/>
      <c r="BE162" s="253"/>
      <c r="BF162" s="253"/>
      <c r="BG162" s="253"/>
      <c r="BH162" s="253"/>
      <c r="BI162" s="253"/>
      <c r="BJ162" s="263" t="str">
        <f>HYPERLINK("#일위대가목록!A29","ZZ64 →")</f>
        <v>ZZ64 →</v>
      </c>
    </row>
    <row r="163" spans="1:62" ht="24" customHeight="1">
      <c r="A163" s="256" t="s">
        <v>68</v>
      </c>
      <c r="B163" s="256" t="s">
        <v>68</v>
      </c>
      <c r="C163" s="264"/>
      <c r="D163" s="254" t="s">
        <v>68</v>
      </c>
      <c r="E163" s="254"/>
      <c r="F163" s="258">
        <v>0</v>
      </c>
      <c r="G163" s="254"/>
      <c r="H163" s="258"/>
      <c r="I163" s="254"/>
      <c r="J163" s="258"/>
      <c r="K163" s="258"/>
      <c r="L163" s="258"/>
      <c r="M163" s="256"/>
      <c r="N163" s="253" t="s">
        <v>68</v>
      </c>
      <c r="O163" s="253"/>
      <c r="P163" s="253" t="s">
        <v>1111</v>
      </c>
      <c r="Q163" s="253" t="s">
        <v>68</v>
      </c>
      <c r="R163" s="253" t="s">
        <v>68</v>
      </c>
      <c r="S163" s="253"/>
      <c r="T163" s="253"/>
      <c r="U163" s="253"/>
      <c r="V163" s="253"/>
      <c r="W163" s="253"/>
      <c r="X163" s="253"/>
      <c r="Y163" s="253"/>
      <c r="Z163" s="253"/>
      <c r="AA163" s="253"/>
      <c r="AB163" s="253"/>
      <c r="AC163" s="253"/>
      <c r="AD163" s="253"/>
      <c r="AE163" s="253"/>
      <c r="AF163" s="253"/>
      <c r="AG163" s="253"/>
      <c r="AH163" s="253"/>
      <c r="AI163" s="253"/>
      <c r="AJ163" s="253"/>
      <c r="AK163" s="253"/>
      <c r="AL163" s="253"/>
      <c r="AM163" s="253"/>
      <c r="AN163" s="253"/>
      <c r="AO163" s="253"/>
      <c r="AP163" s="253"/>
      <c r="AQ163" s="253"/>
      <c r="AR163" s="253"/>
      <c r="AS163" s="253"/>
      <c r="AT163" s="253"/>
      <c r="AU163" s="253"/>
      <c r="AV163" s="253"/>
      <c r="AW163" s="253"/>
      <c r="AX163" s="253"/>
      <c r="AY163" s="253"/>
      <c r="AZ163" s="253"/>
      <c r="BA163" s="253"/>
      <c r="BB163" s="253"/>
      <c r="BC163" s="253"/>
      <c r="BD163" s="253"/>
      <c r="BE163" s="253"/>
      <c r="BF163" s="253"/>
      <c r="BG163" s="253"/>
      <c r="BH163" s="253"/>
      <c r="BI163" s="253"/>
      <c r="BJ163" s="253"/>
    </row>
    <row r="164" spans="1:62" ht="24" customHeight="1">
      <c r="A164" s="273" t="s">
        <v>1253</v>
      </c>
      <c r="B164" s="273" t="s">
        <v>68</v>
      </c>
      <c r="C164" s="274">
        <v>1</v>
      </c>
      <c r="D164" s="275" t="s">
        <v>1094</v>
      </c>
      <c r="E164" s="275"/>
      <c r="F164" s="276">
        <f>TRUNC(F166+F167+F168+F169+F170+F171+F172+F173+F174+F175+F176+F177+F178+F179+F180+F181+F182+F183+F184+F187+F188+F189+F190+F191+F192+F193+F194+F195+F196+F199,0)</f>
        <v>0</v>
      </c>
      <c r="G164" s="275"/>
      <c r="H164" s="276"/>
      <c r="I164" s="275"/>
      <c r="J164" s="276"/>
      <c r="K164" s="275"/>
      <c r="L164" s="276"/>
      <c r="M164" s="273"/>
      <c r="N164" s="253" t="s">
        <v>68</v>
      </c>
      <c r="O164" s="253" t="s">
        <v>1254</v>
      </c>
      <c r="P164" s="253"/>
      <c r="Q164" s="253"/>
      <c r="R164" s="253"/>
      <c r="S164" s="253"/>
      <c r="T164" s="253"/>
      <c r="U164" s="253"/>
      <c r="V164" s="253"/>
      <c r="W164" s="253"/>
      <c r="X164" s="253"/>
      <c r="Y164" s="253"/>
      <c r="Z164" s="253"/>
      <c r="AA164" s="253"/>
      <c r="AB164" s="253"/>
      <c r="AC164" s="253"/>
      <c r="AD164" s="253"/>
      <c r="AE164" s="253"/>
      <c r="AF164" s="253"/>
      <c r="AG164" s="253"/>
      <c r="AH164" s="253"/>
      <c r="AI164" s="253"/>
      <c r="AJ164" s="253"/>
      <c r="AK164" s="253"/>
      <c r="AL164" s="253"/>
      <c r="AM164" s="253"/>
      <c r="AN164" s="253"/>
      <c r="AO164" s="253"/>
      <c r="AP164" s="253"/>
      <c r="AQ164" s="253"/>
      <c r="AR164" s="253"/>
      <c r="AS164" s="253"/>
      <c r="AT164" s="253"/>
      <c r="AU164" s="253"/>
      <c r="AV164" s="253"/>
      <c r="AW164" s="253"/>
      <c r="AX164" s="253"/>
      <c r="AY164" s="253"/>
      <c r="AZ164" s="253"/>
      <c r="BA164" s="253"/>
      <c r="BB164" s="253"/>
      <c r="BC164" s="253"/>
      <c r="BD164" s="253"/>
      <c r="BE164" s="253"/>
      <c r="BF164" s="253"/>
      <c r="BG164" s="253"/>
      <c r="BH164" s="253"/>
      <c r="BI164" s="253"/>
      <c r="BJ164" s="253"/>
    </row>
    <row r="165" spans="1:62" ht="24" customHeight="1">
      <c r="A165" s="256" t="s">
        <v>1290</v>
      </c>
      <c r="B165" s="256" t="s">
        <v>68</v>
      </c>
      <c r="C165" s="264"/>
      <c r="D165" s="254" t="s">
        <v>68</v>
      </c>
      <c r="E165" s="254"/>
      <c r="F165" s="258">
        <v>0</v>
      </c>
      <c r="G165" s="254"/>
      <c r="H165" s="258"/>
      <c r="I165" s="254"/>
      <c r="J165" s="258"/>
      <c r="K165" s="258"/>
      <c r="L165" s="258"/>
      <c r="M165" s="256"/>
      <c r="N165" s="253" t="s">
        <v>68</v>
      </c>
      <c r="O165" s="253"/>
      <c r="P165" s="253" t="s">
        <v>1095</v>
      </c>
      <c r="Q165" s="253" t="s">
        <v>68</v>
      </c>
      <c r="R165" s="253" t="s">
        <v>68</v>
      </c>
      <c r="S165" s="253"/>
      <c r="T165" s="253"/>
      <c r="U165" s="253"/>
      <c r="V165" s="253"/>
      <c r="W165" s="253"/>
      <c r="X165" s="253"/>
      <c r="Y165" s="253"/>
      <c r="Z165" s="253"/>
      <c r="AA165" s="253"/>
      <c r="AB165" s="253"/>
      <c r="AC165" s="253"/>
      <c r="AD165" s="253"/>
      <c r="AE165" s="253"/>
      <c r="AF165" s="253"/>
      <c r="AG165" s="253"/>
      <c r="AH165" s="253"/>
      <c r="AI165" s="253"/>
      <c r="AJ165" s="253"/>
      <c r="AK165" s="253"/>
      <c r="AL165" s="253"/>
      <c r="AM165" s="253"/>
      <c r="AN165" s="253"/>
      <c r="AO165" s="253"/>
      <c r="AP165" s="253"/>
      <c r="AQ165" s="253"/>
      <c r="AR165" s="253"/>
      <c r="AS165" s="253"/>
      <c r="AT165" s="253"/>
      <c r="AU165" s="253"/>
      <c r="AV165" s="253"/>
      <c r="AW165" s="253"/>
      <c r="AX165" s="253"/>
      <c r="AY165" s="253"/>
      <c r="AZ165" s="253"/>
      <c r="BA165" s="253"/>
      <c r="BB165" s="253"/>
      <c r="BC165" s="253"/>
      <c r="BD165" s="253"/>
      <c r="BE165" s="253"/>
      <c r="BF165" s="253"/>
      <c r="BG165" s="253"/>
      <c r="BH165" s="253"/>
      <c r="BI165" s="253"/>
      <c r="BJ165" s="253"/>
    </row>
    <row r="166" spans="1:62" ht="24" customHeight="1">
      <c r="A166" s="256" t="s">
        <v>1291</v>
      </c>
      <c r="B166" s="256" t="s">
        <v>1292</v>
      </c>
      <c r="C166" s="264">
        <v>207.37</v>
      </c>
      <c r="D166" s="254" t="s">
        <v>9</v>
      </c>
      <c r="E166" s="258">
        <f>일위목록!E7</f>
        <v>0</v>
      </c>
      <c r="F166" s="258">
        <f t="shared" ref="F166:F184" si="10">TRUNC(E166*C166,0)</f>
        <v>0</v>
      </c>
      <c r="G166" s="258">
        <f>일위목록!F7</f>
        <v>0</v>
      </c>
      <c r="H166" s="258"/>
      <c r="I166" s="258"/>
      <c r="J166" s="258"/>
      <c r="K166" s="258"/>
      <c r="L166" s="258"/>
      <c r="M166" s="256"/>
      <c r="N166" s="253" t="s">
        <v>68</v>
      </c>
      <c r="O166" s="253"/>
      <c r="P166" s="253" t="s">
        <v>1098</v>
      </c>
      <c r="Q166" s="253" t="s">
        <v>68</v>
      </c>
      <c r="R166" s="253" t="s">
        <v>1293</v>
      </c>
      <c r="S166" s="253"/>
      <c r="T166" s="253" t="s">
        <v>1129</v>
      </c>
      <c r="U166" s="253"/>
      <c r="V166" s="253"/>
      <c r="W166" s="253"/>
      <c r="X166" s="253"/>
      <c r="Y166" s="253"/>
      <c r="Z166" s="253"/>
      <c r="AA166" s="253"/>
      <c r="AB166" s="253"/>
      <c r="AC166" s="253"/>
      <c r="AD166" s="253"/>
      <c r="AE166" s="253"/>
      <c r="AF166" s="253"/>
      <c r="AG166" s="253"/>
      <c r="AH166" s="253"/>
      <c r="AI166" s="253"/>
      <c r="AJ166" s="253"/>
      <c r="AK166" s="253"/>
      <c r="AL166" s="253"/>
      <c r="AM166" s="253"/>
      <c r="AN166" s="253"/>
      <c r="AO166" s="253"/>
      <c r="AP166" s="253"/>
      <c r="AQ166" s="253"/>
      <c r="AR166" s="253"/>
      <c r="AS166" s="253"/>
      <c r="AT166" s="253"/>
      <c r="AU166" s="253"/>
      <c r="AV166" s="253"/>
      <c r="AW166" s="253"/>
      <c r="AX166" s="253"/>
      <c r="AY166" s="253"/>
      <c r="AZ166" s="253"/>
      <c r="BA166" s="253"/>
      <c r="BB166" s="253"/>
      <c r="BC166" s="253"/>
      <c r="BD166" s="253"/>
      <c r="BE166" s="253"/>
      <c r="BF166" s="253"/>
      <c r="BG166" s="253"/>
      <c r="BH166" s="253"/>
      <c r="BI166" s="253"/>
      <c r="BJ166" s="263" t="str">
        <f>HYPERLINK("#일위대가목록!A7","P9-2-1/1 →")</f>
        <v>P9-2-1/1 →</v>
      </c>
    </row>
    <row r="167" spans="1:62" ht="24" customHeight="1">
      <c r="A167" s="256" t="s">
        <v>1294</v>
      </c>
      <c r="B167" s="256" t="s">
        <v>1295</v>
      </c>
      <c r="C167" s="264">
        <v>207.37</v>
      </c>
      <c r="D167" s="254" t="s">
        <v>9</v>
      </c>
      <c r="E167" s="258">
        <f>일위목록!E87</f>
        <v>0</v>
      </c>
      <c r="F167" s="258">
        <f t="shared" si="10"/>
        <v>0</v>
      </c>
      <c r="G167" s="258">
        <f>일위목록!F87</f>
        <v>0</v>
      </c>
      <c r="H167" s="258"/>
      <c r="I167" s="258"/>
      <c r="J167" s="258"/>
      <c r="K167" s="258"/>
      <c r="L167" s="258"/>
      <c r="M167" s="256"/>
      <c r="N167" s="253" t="s">
        <v>68</v>
      </c>
      <c r="O167" s="253"/>
      <c r="P167" s="253" t="s">
        <v>1101</v>
      </c>
      <c r="Q167" s="253" t="s">
        <v>68</v>
      </c>
      <c r="R167" s="253" t="s">
        <v>1296</v>
      </c>
      <c r="S167" s="253"/>
      <c r="T167" s="253" t="s">
        <v>1129</v>
      </c>
      <c r="U167" s="253"/>
      <c r="V167" s="253"/>
      <c r="W167" s="253"/>
      <c r="X167" s="253"/>
      <c r="Y167" s="253"/>
      <c r="Z167" s="253"/>
      <c r="AA167" s="253"/>
      <c r="AB167" s="253"/>
      <c r="AC167" s="253"/>
      <c r="AD167" s="253"/>
      <c r="AE167" s="253"/>
      <c r="AF167" s="253"/>
      <c r="AG167" s="253"/>
      <c r="AH167" s="253"/>
      <c r="AI167" s="253"/>
      <c r="AJ167" s="253"/>
      <c r="AK167" s="253"/>
      <c r="AL167" s="253"/>
      <c r="AM167" s="253"/>
      <c r="AN167" s="253"/>
      <c r="AO167" s="253"/>
      <c r="AP167" s="253"/>
      <c r="AQ167" s="253"/>
      <c r="AR167" s="253"/>
      <c r="AS167" s="253"/>
      <c r="AT167" s="253"/>
      <c r="AU167" s="253"/>
      <c r="AV167" s="253"/>
      <c r="AW167" s="253"/>
      <c r="AX167" s="253"/>
      <c r="AY167" s="253"/>
      <c r="AZ167" s="253"/>
      <c r="BA167" s="253"/>
      <c r="BB167" s="253"/>
      <c r="BC167" s="253"/>
      <c r="BD167" s="253"/>
      <c r="BE167" s="253"/>
      <c r="BF167" s="253"/>
      <c r="BG167" s="253"/>
      <c r="BH167" s="253"/>
      <c r="BI167" s="253"/>
      <c r="BJ167" s="263" t="str">
        <f>HYPERLINK("#일위대가목록!A87","PP12-3-1/1 →")</f>
        <v>PP12-3-1/1 →</v>
      </c>
    </row>
    <row r="168" spans="1:62" ht="24" customHeight="1">
      <c r="A168" s="256" t="s">
        <v>1297</v>
      </c>
      <c r="B168" s="256" t="s">
        <v>1298</v>
      </c>
      <c r="C168" s="264">
        <v>92.38</v>
      </c>
      <c r="D168" s="254" t="s">
        <v>9</v>
      </c>
      <c r="E168" s="258">
        <f>일위목록!E88</f>
        <v>0</v>
      </c>
      <c r="F168" s="258">
        <f t="shared" si="10"/>
        <v>0</v>
      </c>
      <c r="G168" s="258">
        <f>일위목록!F88</f>
        <v>0</v>
      </c>
      <c r="H168" s="258"/>
      <c r="I168" s="258"/>
      <c r="J168" s="258"/>
      <c r="K168" s="258"/>
      <c r="L168" s="258"/>
      <c r="M168" s="256"/>
      <c r="N168" s="253" t="s">
        <v>68</v>
      </c>
      <c r="O168" s="253"/>
      <c r="P168" s="253" t="s">
        <v>1104</v>
      </c>
      <c r="Q168" s="253" t="s">
        <v>68</v>
      </c>
      <c r="R168" s="253" t="s">
        <v>1299</v>
      </c>
      <c r="S168" s="253"/>
      <c r="T168" s="253" t="s">
        <v>1129</v>
      </c>
      <c r="U168" s="253"/>
      <c r="V168" s="253"/>
      <c r="W168" s="253"/>
      <c r="X168" s="253"/>
      <c r="Y168" s="253"/>
      <c r="Z168" s="253"/>
      <c r="AA168" s="253"/>
      <c r="AB168" s="253"/>
      <c r="AC168" s="253"/>
      <c r="AD168" s="253"/>
      <c r="AE168" s="253"/>
      <c r="AF168" s="253"/>
      <c r="AG168" s="253"/>
      <c r="AH168" s="253"/>
      <c r="AI168" s="253"/>
      <c r="AJ168" s="253"/>
      <c r="AK168" s="253"/>
      <c r="AL168" s="253"/>
      <c r="AM168" s="253"/>
      <c r="AN168" s="253"/>
      <c r="AO168" s="253"/>
      <c r="AP168" s="253"/>
      <c r="AQ168" s="253"/>
      <c r="AR168" s="253"/>
      <c r="AS168" s="253"/>
      <c r="AT168" s="253"/>
      <c r="AU168" s="253"/>
      <c r="AV168" s="253"/>
      <c r="AW168" s="253"/>
      <c r="AX168" s="253"/>
      <c r="AY168" s="253"/>
      <c r="AZ168" s="253"/>
      <c r="BA168" s="253"/>
      <c r="BB168" s="253"/>
      <c r="BC168" s="253"/>
      <c r="BD168" s="253"/>
      <c r="BE168" s="253"/>
      <c r="BF168" s="253"/>
      <c r="BG168" s="253"/>
      <c r="BH168" s="253"/>
      <c r="BI168" s="253"/>
      <c r="BJ168" s="263" t="str">
        <f>HYPERLINK("#일위대가목록!A88","PP11-3-1/1 →")</f>
        <v>PP11-3-1/1 →</v>
      </c>
    </row>
    <row r="169" spans="1:62" ht="24" customHeight="1">
      <c r="A169" s="256" t="s">
        <v>1300</v>
      </c>
      <c r="B169" s="256" t="s">
        <v>1301</v>
      </c>
      <c r="C169" s="264">
        <v>64.12</v>
      </c>
      <c r="D169" s="254" t="s">
        <v>9</v>
      </c>
      <c r="E169" s="258">
        <f>일위목록!E89</f>
        <v>0</v>
      </c>
      <c r="F169" s="258">
        <f t="shared" si="10"/>
        <v>0</v>
      </c>
      <c r="G169" s="258">
        <f>일위목록!F89</f>
        <v>0</v>
      </c>
      <c r="H169" s="258"/>
      <c r="I169" s="258"/>
      <c r="J169" s="258"/>
      <c r="K169" s="258"/>
      <c r="L169" s="258"/>
      <c r="M169" s="256"/>
      <c r="N169" s="253" t="s">
        <v>68</v>
      </c>
      <c r="O169" s="253"/>
      <c r="P169" s="253" t="s">
        <v>1107</v>
      </c>
      <c r="Q169" s="253" t="s">
        <v>68</v>
      </c>
      <c r="R169" s="253" t="s">
        <v>1302</v>
      </c>
      <c r="S169" s="253"/>
      <c r="T169" s="253" t="s">
        <v>1129</v>
      </c>
      <c r="U169" s="253"/>
      <c r="V169" s="253"/>
      <c r="W169" s="253"/>
      <c r="X169" s="253"/>
      <c r="Y169" s="253"/>
      <c r="Z169" s="253"/>
      <c r="AA169" s="253"/>
      <c r="AB169" s="253"/>
      <c r="AC169" s="253"/>
      <c r="AD169" s="253"/>
      <c r="AE169" s="253"/>
      <c r="AF169" s="253"/>
      <c r="AG169" s="253"/>
      <c r="AH169" s="253"/>
      <c r="AI169" s="253"/>
      <c r="AJ169" s="253"/>
      <c r="AK169" s="253"/>
      <c r="AL169" s="253"/>
      <c r="AM169" s="253"/>
      <c r="AN169" s="253"/>
      <c r="AO169" s="253"/>
      <c r="AP169" s="253"/>
      <c r="AQ169" s="253"/>
      <c r="AR169" s="253"/>
      <c r="AS169" s="253"/>
      <c r="AT169" s="253"/>
      <c r="AU169" s="253"/>
      <c r="AV169" s="253"/>
      <c r="AW169" s="253"/>
      <c r="AX169" s="253"/>
      <c r="AY169" s="253"/>
      <c r="AZ169" s="253"/>
      <c r="BA169" s="253"/>
      <c r="BB169" s="253"/>
      <c r="BC169" s="253"/>
      <c r="BD169" s="253"/>
      <c r="BE169" s="253"/>
      <c r="BF169" s="253"/>
      <c r="BG169" s="253"/>
      <c r="BH169" s="253"/>
      <c r="BI169" s="253"/>
      <c r="BJ169" s="263" t="str">
        <f>HYPERLINK("#일위대가목록!A89","PP11-2-2/1 →")</f>
        <v>PP11-2-2/1 →</v>
      </c>
    </row>
    <row r="170" spans="1:62" ht="24" customHeight="1">
      <c r="A170" s="256" t="s">
        <v>1303</v>
      </c>
      <c r="B170" s="256" t="s">
        <v>1304</v>
      </c>
      <c r="C170" s="264">
        <v>50.88</v>
      </c>
      <c r="D170" s="254" t="s">
        <v>9</v>
      </c>
      <c r="E170" s="258">
        <f>일위목록!E90</f>
        <v>0</v>
      </c>
      <c r="F170" s="258">
        <f t="shared" si="10"/>
        <v>0</v>
      </c>
      <c r="G170" s="258">
        <f>일위목록!F90</f>
        <v>0</v>
      </c>
      <c r="H170" s="258"/>
      <c r="I170" s="258"/>
      <c r="J170" s="258"/>
      <c r="K170" s="258"/>
      <c r="L170" s="258"/>
      <c r="M170" s="256"/>
      <c r="N170" s="253" t="s">
        <v>68</v>
      </c>
      <c r="O170" s="253"/>
      <c r="P170" s="253" t="s">
        <v>1108</v>
      </c>
      <c r="Q170" s="253" t="s">
        <v>68</v>
      </c>
      <c r="R170" s="253" t="s">
        <v>1305</v>
      </c>
      <c r="S170" s="253"/>
      <c r="T170" s="253" t="s">
        <v>1129</v>
      </c>
      <c r="U170" s="253"/>
      <c r="V170" s="253"/>
      <c r="W170" s="253"/>
      <c r="X170" s="253"/>
      <c r="Y170" s="253"/>
      <c r="Z170" s="253"/>
      <c r="AA170" s="253"/>
      <c r="AB170" s="253"/>
      <c r="AC170" s="253"/>
      <c r="AD170" s="253"/>
      <c r="AE170" s="253"/>
      <c r="AF170" s="253"/>
      <c r="AG170" s="253"/>
      <c r="AH170" s="253"/>
      <c r="AI170" s="253"/>
      <c r="AJ170" s="253"/>
      <c r="AK170" s="253"/>
      <c r="AL170" s="253"/>
      <c r="AM170" s="253"/>
      <c r="AN170" s="253"/>
      <c r="AO170" s="253"/>
      <c r="AP170" s="253"/>
      <c r="AQ170" s="253"/>
      <c r="AR170" s="253"/>
      <c r="AS170" s="253"/>
      <c r="AT170" s="253"/>
      <c r="AU170" s="253"/>
      <c r="AV170" s="253"/>
      <c r="AW170" s="253"/>
      <c r="AX170" s="253"/>
      <c r="AY170" s="253"/>
      <c r="AZ170" s="253"/>
      <c r="BA170" s="253"/>
      <c r="BB170" s="253"/>
      <c r="BC170" s="253"/>
      <c r="BD170" s="253"/>
      <c r="BE170" s="253"/>
      <c r="BF170" s="253"/>
      <c r="BG170" s="253"/>
      <c r="BH170" s="253"/>
      <c r="BI170" s="253"/>
      <c r="BJ170" s="263" t="str">
        <f>HYPERLINK("#일위대가목록!A90","PP11-2-8/1 →")</f>
        <v>PP11-2-8/1 →</v>
      </c>
    </row>
    <row r="171" spans="1:62" ht="24" customHeight="1">
      <c r="A171" s="256" t="s">
        <v>1306</v>
      </c>
      <c r="B171" s="256" t="s">
        <v>1307</v>
      </c>
      <c r="C171" s="264">
        <v>12.52</v>
      </c>
      <c r="D171" s="254" t="s">
        <v>9</v>
      </c>
      <c r="E171" s="258">
        <f>일위목록!E71</f>
        <v>0</v>
      </c>
      <c r="F171" s="258">
        <f t="shared" si="10"/>
        <v>0</v>
      </c>
      <c r="G171" s="258">
        <f>일위목록!F71</f>
        <v>0</v>
      </c>
      <c r="H171" s="258"/>
      <c r="I171" s="258"/>
      <c r="J171" s="258"/>
      <c r="K171" s="258"/>
      <c r="L171" s="258"/>
      <c r="M171" s="256"/>
      <c r="N171" s="253" t="s">
        <v>68</v>
      </c>
      <c r="O171" s="253"/>
      <c r="P171" s="253" t="s">
        <v>1109</v>
      </c>
      <c r="Q171" s="253" t="s">
        <v>68</v>
      </c>
      <c r="R171" s="253" t="s">
        <v>1308</v>
      </c>
      <c r="S171" s="253"/>
      <c r="T171" s="253" t="s">
        <v>1129</v>
      </c>
      <c r="U171" s="253"/>
      <c r="V171" s="253"/>
      <c r="W171" s="253"/>
      <c r="X171" s="253"/>
      <c r="Y171" s="253"/>
      <c r="Z171" s="253"/>
      <c r="AA171" s="253"/>
      <c r="AB171" s="253"/>
      <c r="AC171" s="253"/>
      <c r="AD171" s="253"/>
      <c r="AE171" s="253"/>
      <c r="AF171" s="253"/>
      <c r="AG171" s="253"/>
      <c r="AH171" s="253"/>
      <c r="AI171" s="253"/>
      <c r="AJ171" s="253"/>
      <c r="AK171" s="253"/>
      <c r="AL171" s="253"/>
      <c r="AM171" s="253"/>
      <c r="AN171" s="253"/>
      <c r="AO171" s="253"/>
      <c r="AP171" s="253"/>
      <c r="AQ171" s="253"/>
      <c r="AR171" s="253"/>
      <c r="AS171" s="253"/>
      <c r="AT171" s="253"/>
      <c r="AU171" s="253"/>
      <c r="AV171" s="253"/>
      <c r="AW171" s="253"/>
      <c r="AX171" s="253"/>
      <c r="AY171" s="253"/>
      <c r="AZ171" s="253"/>
      <c r="BA171" s="253"/>
      <c r="BB171" s="253"/>
      <c r="BC171" s="253"/>
      <c r="BD171" s="253"/>
      <c r="BE171" s="253"/>
      <c r="BF171" s="253"/>
      <c r="BG171" s="253"/>
      <c r="BH171" s="253"/>
      <c r="BI171" s="253"/>
      <c r="BJ171" s="263" t="str">
        <f>HYPERLINK("#일위대가목록!A71","PP11-1-3/1 →")</f>
        <v>PP11-1-3/1 →</v>
      </c>
    </row>
    <row r="172" spans="1:62" ht="24" customHeight="1">
      <c r="A172" s="256" t="s">
        <v>1309</v>
      </c>
      <c r="B172" s="256" t="s">
        <v>1310</v>
      </c>
      <c r="C172" s="264">
        <v>12.52</v>
      </c>
      <c r="D172" s="254" t="s">
        <v>9</v>
      </c>
      <c r="E172" s="258">
        <f>일위목록!E72</f>
        <v>0</v>
      </c>
      <c r="F172" s="258">
        <f t="shared" si="10"/>
        <v>0</v>
      </c>
      <c r="G172" s="258">
        <f>일위목록!F72</f>
        <v>0</v>
      </c>
      <c r="H172" s="258"/>
      <c r="I172" s="258"/>
      <c r="J172" s="258"/>
      <c r="K172" s="258"/>
      <c r="L172" s="258"/>
      <c r="M172" s="256"/>
      <c r="N172" s="253" t="s">
        <v>68</v>
      </c>
      <c r="O172" s="253"/>
      <c r="P172" s="253" t="s">
        <v>1110</v>
      </c>
      <c r="Q172" s="253" t="s">
        <v>68</v>
      </c>
      <c r="R172" s="253" t="s">
        <v>1311</v>
      </c>
      <c r="S172" s="253"/>
      <c r="T172" s="253" t="s">
        <v>1129</v>
      </c>
      <c r="U172" s="253"/>
      <c r="V172" s="253"/>
      <c r="W172" s="253"/>
      <c r="X172" s="253"/>
      <c r="Y172" s="253"/>
      <c r="Z172" s="253"/>
      <c r="AA172" s="253"/>
      <c r="AB172" s="253"/>
      <c r="AC172" s="253"/>
      <c r="AD172" s="253"/>
      <c r="AE172" s="253"/>
      <c r="AF172" s="253"/>
      <c r="AG172" s="253"/>
      <c r="AH172" s="253"/>
      <c r="AI172" s="253"/>
      <c r="AJ172" s="253"/>
      <c r="AK172" s="253"/>
      <c r="AL172" s="253"/>
      <c r="AM172" s="253"/>
      <c r="AN172" s="253"/>
      <c r="AO172" s="253"/>
      <c r="AP172" s="253"/>
      <c r="AQ172" s="253"/>
      <c r="AR172" s="253"/>
      <c r="AS172" s="253"/>
      <c r="AT172" s="253"/>
      <c r="AU172" s="253"/>
      <c r="AV172" s="253"/>
      <c r="AW172" s="253"/>
      <c r="AX172" s="253"/>
      <c r="AY172" s="253"/>
      <c r="AZ172" s="253"/>
      <c r="BA172" s="253"/>
      <c r="BB172" s="253"/>
      <c r="BC172" s="253"/>
      <c r="BD172" s="253"/>
      <c r="BE172" s="253"/>
      <c r="BF172" s="253"/>
      <c r="BG172" s="253"/>
      <c r="BH172" s="253"/>
      <c r="BI172" s="253"/>
      <c r="BJ172" s="263" t="str">
        <f>HYPERLINK("#일위대가목록!A72","PP11-2-4/100 →")</f>
        <v>PP11-2-4/100 →</v>
      </c>
    </row>
    <row r="173" spans="1:62" ht="24" customHeight="1">
      <c r="A173" s="256" t="s">
        <v>1312</v>
      </c>
      <c r="B173" s="256" t="s">
        <v>1313</v>
      </c>
      <c r="C173" s="264">
        <v>26.83</v>
      </c>
      <c r="D173" s="254" t="s">
        <v>9</v>
      </c>
      <c r="E173" s="258">
        <f>일위목록!E91</f>
        <v>0</v>
      </c>
      <c r="F173" s="258">
        <f t="shared" si="10"/>
        <v>0</v>
      </c>
      <c r="G173" s="258">
        <f>일위목록!F91</f>
        <v>0</v>
      </c>
      <c r="H173" s="258"/>
      <c r="I173" s="258"/>
      <c r="J173" s="258"/>
      <c r="K173" s="258"/>
      <c r="L173" s="258"/>
      <c r="M173" s="256"/>
      <c r="N173" s="253" t="s">
        <v>68</v>
      </c>
      <c r="O173" s="253"/>
      <c r="P173" s="253" t="s">
        <v>1111</v>
      </c>
      <c r="Q173" s="253" t="s">
        <v>68</v>
      </c>
      <c r="R173" s="253" t="s">
        <v>1314</v>
      </c>
      <c r="S173" s="253"/>
      <c r="T173" s="253" t="s">
        <v>1129</v>
      </c>
      <c r="U173" s="253"/>
      <c r="V173" s="253"/>
      <c r="W173" s="253"/>
      <c r="X173" s="253"/>
      <c r="Y173" s="253"/>
      <c r="Z173" s="253"/>
      <c r="AA173" s="253"/>
      <c r="AB173" s="253"/>
      <c r="AC173" s="253"/>
      <c r="AD173" s="253"/>
      <c r="AE173" s="253"/>
      <c r="AF173" s="253"/>
      <c r="AG173" s="253"/>
      <c r="AH173" s="253"/>
      <c r="AI173" s="253"/>
      <c r="AJ173" s="253"/>
      <c r="AK173" s="253"/>
      <c r="AL173" s="253"/>
      <c r="AM173" s="253"/>
      <c r="AN173" s="253"/>
      <c r="AO173" s="253"/>
      <c r="AP173" s="253"/>
      <c r="AQ173" s="253"/>
      <c r="AR173" s="253"/>
      <c r="AS173" s="253"/>
      <c r="AT173" s="253"/>
      <c r="AU173" s="253"/>
      <c r="AV173" s="253"/>
      <c r="AW173" s="253"/>
      <c r="AX173" s="253"/>
      <c r="AY173" s="253"/>
      <c r="AZ173" s="253"/>
      <c r="BA173" s="253"/>
      <c r="BB173" s="253"/>
      <c r="BC173" s="253"/>
      <c r="BD173" s="253"/>
      <c r="BE173" s="253"/>
      <c r="BF173" s="253"/>
      <c r="BG173" s="253"/>
      <c r="BH173" s="253"/>
      <c r="BI173" s="253"/>
      <c r="BJ173" s="263" t="str">
        <f>HYPERLINK("#일위대가목록!A91","_0051 →")</f>
        <v>_0051 →</v>
      </c>
    </row>
    <row r="174" spans="1:62" ht="24" customHeight="1">
      <c r="A174" s="256" t="s">
        <v>1312</v>
      </c>
      <c r="B174" s="256" t="s">
        <v>1315</v>
      </c>
      <c r="C174" s="264">
        <v>11.28</v>
      </c>
      <c r="D174" s="254" t="s">
        <v>9</v>
      </c>
      <c r="E174" s="258">
        <f>일위목록!E92</f>
        <v>0</v>
      </c>
      <c r="F174" s="258">
        <f t="shared" si="10"/>
        <v>0</v>
      </c>
      <c r="G174" s="258">
        <f>일위목록!F92</f>
        <v>0</v>
      </c>
      <c r="H174" s="258"/>
      <c r="I174" s="258"/>
      <c r="J174" s="258"/>
      <c r="K174" s="258"/>
      <c r="L174" s="258"/>
      <c r="M174" s="256"/>
      <c r="N174" s="253" t="s">
        <v>68</v>
      </c>
      <c r="O174" s="253"/>
      <c r="P174" s="253" t="s">
        <v>1112</v>
      </c>
      <c r="Q174" s="253" t="s">
        <v>68</v>
      </c>
      <c r="R174" s="253" t="s">
        <v>1316</v>
      </c>
      <c r="S174" s="253"/>
      <c r="T174" s="253" t="s">
        <v>1129</v>
      </c>
      <c r="U174" s="253"/>
      <c r="V174" s="253"/>
      <c r="W174" s="253"/>
      <c r="X174" s="253"/>
      <c r="Y174" s="253"/>
      <c r="Z174" s="253"/>
      <c r="AA174" s="253"/>
      <c r="AB174" s="253"/>
      <c r="AC174" s="253"/>
      <c r="AD174" s="253"/>
      <c r="AE174" s="253"/>
      <c r="AF174" s="253"/>
      <c r="AG174" s="253"/>
      <c r="AH174" s="253"/>
      <c r="AI174" s="253"/>
      <c r="AJ174" s="253"/>
      <c r="AK174" s="253"/>
      <c r="AL174" s="253"/>
      <c r="AM174" s="253"/>
      <c r="AN174" s="253"/>
      <c r="AO174" s="253"/>
      <c r="AP174" s="253"/>
      <c r="AQ174" s="253"/>
      <c r="AR174" s="253"/>
      <c r="AS174" s="253"/>
      <c r="AT174" s="253"/>
      <c r="AU174" s="253"/>
      <c r="AV174" s="253"/>
      <c r="AW174" s="253"/>
      <c r="AX174" s="253"/>
      <c r="AY174" s="253"/>
      <c r="AZ174" s="253"/>
      <c r="BA174" s="253"/>
      <c r="BB174" s="253"/>
      <c r="BC174" s="253"/>
      <c r="BD174" s="253"/>
      <c r="BE174" s="253"/>
      <c r="BF174" s="253"/>
      <c r="BG174" s="253"/>
      <c r="BH174" s="253"/>
      <c r="BI174" s="253"/>
      <c r="BJ174" s="263" t="str">
        <f>HYPERLINK("#일위대가목록!A92","_0052 →")</f>
        <v>_0052 →</v>
      </c>
    </row>
    <row r="175" spans="1:62" ht="24" customHeight="1">
      <c r="A175" s="256" t="s">
        <v>1317</v>
      </c>
      <c r="B175" s="256" t="s">
        <v>1318</v>
      </c>
      <c r="C175" s="264">
        <v>2.9</v>
      </c>
      <c r="D175" s="254" t="s">
        <v>1033</v>
      </c>
      <c r="E175" s="258">
        <f>일위목록!E93</f>
        <v>0</v>
      </c>
      <c r="F175" s="258">
        <f t="shared" si="10"/>
        <v>0</v>
      </c>
      <c r="G175" s="258">
        <f>일위목록!F93</f>
        <v>0</v>
      </c>
      <c r="H175" s="258"/>
      <c r="I175" s="258"/>
      <c r="J175" s="258"/>
      <c r="K175" s="258"/>
      <c r="L175" s="258"/>
      <c r="M175" s="256"/>
      <c r="N175" s="253" t="s">
        <v>68</v>
      </c>
      <c r="O175" s="253"/>
      <c r="P175" s="253" t="s">
        <v>1113</v>
      </c>
      <c r="Q175" s="253" t="s">
        <v>68</v>
      </c>
      <c r="R175" s="253" t="s">
        <v>1319</v>
      </c>
      <c r="S175" s="253"/>
      <c r="T175" s="253" t="s">
        <v>1129</v>
      </c>
      <c r="U175" s="253"/>
      <c r="V175" s="253"/>
      <c r="W175" s="253"/>
      <c r="X175" s="253"/>
      <c r="Y175" s="253"/>
      <c r="Z175" s="253"/>
      <c r="AA175" s="253"/>
      <c r="AB175" s="253"/>
      <c r="AC175" s="253"/>
      <c r="AD175" s="253"/>
      <c r="AE175" s="253"/>
      <c r="AF175" s="253"/>
      <c r="AG175" s="253"/>
      <c r="AH175" s="253"/>
      <c r="AI175" s="253"/>
      <c r="AJ175" s="253"/>
      <c r="AK175" s="253"/>
      <c r="AL175" s="253"/>
      <c r="AM175" s="253"/>
      <c r="AN175" s="253"/>
      <c r="AO175" s="253"/>
      <c r="AP175" s="253"/>
      <c r="AQ175" s="253"/>
      <c r="AR175" s="253"/>
      <c r="AS175" s="253"/>
      <c r="AT175" s="253"/>
      <c r="AU175" s="253"/>
      <c r="AV175" s="253"/>
      <c r="AW175" s="253"/>
      <c r="AX175" s="253"/>
      <c r="AY175" s="253"/>
      <c r="AZ175" s="253"/>
      <c r="BA175" s="253"/>
      <c r="BB175" s="253"/>
      <c r="BC175" s="253"/>
      <c r="BD175" s="253"/>
      <c r="BE175" s="253"/>
      <c r="BF175" s="253"/>
      <c r="BG175" s="253"/>
      <c r="BH175" s="253"/>
      <c r="BI175" s="253"/>
      <c r="BJ175" s="263" t="str">
        <f>HYPERLINK("#일위대가목록!A93","P4-2-5/1 →")</f>
        <v>P4-2-5/1 →</v>
      </c>
    </row>
    <row r="176" spans="1:62" ht="24" customHeight="1">
      <c r="A176" s="256" t="s">
        <v>1320</v>
      </c>
      <c r="B176" s="256" t="s">
        <v>1321</v>
      </c>
      <c r="C176" s="257">
        <v>2</v>
      </c>
      <c r="D176" s="254" t="s">
        <v>437</v>
      </c>
      <c r="E176" s="258">
        <f>일위목록!E94</f>
        <v>0</v>
      </c>
      <c r="F176" s="258">
        <f t="shared" si="10"/>
        <v>0</v>
      </c>
      <c r="G176" s="258">
        <f>일위목록!F94</f>
        <v>0</v>
      </c>
      <c r="H176" s="258"/>
      <c r="I176" s="258"/>
      <c r="J176" s="258"/>
      <c r="K176" s="258"/>
      <c r="L176" s="258"/>
      <c r="M176" s="256"/>
      <c r="N176" s="253" t="s">
        <v>68</v>
      </c>
      <c r="O176" s="253"/>
      <c r="P176" s="253" t="s">
        <v>1114</v>
      </c>
      <c r="Q176" s="253" t="s">
        <v>68</v>
      </c>
      <c r="R176" s="253" t="s">
        <v>1322</v>
      </c>
      <c r="S176" s="253"/>
      <c r="T176" s="253" t="s">
        <v>1129</v>
      </c>
      <c r="U176" s="253"/>
      <c r="V176" s="253"/>
      <c r="W176" s="253"/>
      <c r="X176" s="253"/>
      <c r="Y176" s="253"/>
      <c r="Z176" s="253"/>
      <c r="AA176" s="253"/>
      <c r="AB176" s="253"/>
      <c r="AC176" s="253"/>
      <c r="AD176" s="253"/>
      <c r="AE176" s="253"/>
      <c r="AF176" s="253"/>
      <c r="AG176" s="253"/>
      <c r="AH176" s="253"/>
      <c r="AI176" s="253"/>
      <c r="AJ176" s="253"/>
      <c r="AK176" s="253"/>
      <c r="AL176" s="253"/>
      <c r="AM176" s="253"/>
      <c r="AN176" s="253"/>
      <c r="AO176" s="253"/>
      <c r="AP176" s="253"/>
      <c r="AQ176" s="253"/>
      <c r="AR176" s="253"/>
      <c r="AS176" s="253"/>
      <c r="AT176" s="253"/>
      <c r="AU176" s="253"/>
      <c r="AV176" s="253"/>
      <c r="AW176" s="253"/>
      <c r="AX176" s="253"/>
      <c r="AY176" s="253"/>
      <c r="AZ176" s="253"/>
      <c r="BA176" s="253"/>
      <c r="BB176" s="253"/>
      <c r="BC176" s="253"/>
      <c r="BD176" s="253"/>
      <c r="BE176" s="253"/>
      <c r="BF176" s="253"/>
      <c r="BG176" s="253"/>
      <c r="BH176" s="253"/>
      <c r="BI176" s="253"/>
      <c r="BJ176" s="263" t="str">
        <f>HYPERLINK("#일위대가목록!A94","_0061 →")</f>
        <v>_0061 →</v>
      </c>
    </row>
    <row r="177" spans="1:62" ht="24" customHeight="1">
      <c r="A177" s="256" t="s">
        <v>1323</v>
      </c>
      <c r="B177" s="256" t="s">
        <v>1324</v>
      </c>
      <c r="C177" s="257">
        <v>1</v>
      </c>
      <c r="D177" s="254" t="s">
        <v>437</v>
      </c>
      <c r="E177" s="258">
        <f>일위목록!E95</f>
        <v>0</v>
      </c>
      <c r="F177" s="258">
        <f t="shared" si="10"/>
        <v>0</v>
      </c>
      <c r="G177" s="258">
        <f>일위목록!F95</f>
        <v>0</v>
      </c>
      <c r="H177" s="258"/>
      <c r="I177" s="258"/>
      <c r="J177" s="258"/>
      <c r="K177" s="258"/>
      <c r="L177" s="258"/>
      <c r="M177" s="256"/>
      <c r="N177" s="253" t="s">
        <v>68</v>
      </c>
      <c r="O177" s="253"/>
      <c r="P177" s="253" t="s">
        <v>1115</v>
      </c>
      <c r="Q177" s="253" t="s">
        <v>68</v>
      </c>
      <c r="R177" s="253" t="s">
        <v>1325</v>
      </c>
      <c r="S177" s="253"/>
      <c r="T177" s="253" t="s">
        <v>1129</v>
      </c>
      <c r="U177" s="253"/>
      <c r="V177" s="253"/>
      <c r="W177" s="253"/>
      <c r="X177" s="253"/>
      <c r="Y177" s="253"/>
      <c r="Z177" s="253"/>
      <c r="AA177" s="253"/>
      <c r="AB177" s="253"/>
      <c r="AC177" s="253"/>
      <c r="AD177" s="253"/>
      <c r="AE177" s="253"/>
      <c r="AF177" s="253"/>
      <c r="AG177" s="253"/>
      <c r="AH177" s="253"/>
      <c r="AI177" s="253"/>
      <c r="AJ177" s="253"/>
      <c r="AK177" s="253"/>
      <c r="AL177" s="253"/>
      <c r="AM177" s="253"/>
      <c r="AN177" s="253"/>
      <c r="AO177" s="253"/>
      <c r="AP177" s="253"/>
      <c r="AQ177" s="253"/>
      <c r="AR177" s="253"/>
      <c r="AS177" s="253"/>
      <c r="AT177" s="253"/>
      <c r="AU177" s="253"/>
      <c r="AV177" s="253"/>
      <c r="AW177" s="253"/>
      <c r="AX177" s="253"/>
      <c r="AY177" s="253"/>
      <c r="AZ177" s="253"/>
      <c r="BA177" s="253"/>
      <c r="BB177" s="253"/>
      <c r="BC177" s="253"/>
      <c r="BD177" s="253"/>
      <c r="BE177" s="253"/>
      <c r="BF177" s="253"/>
      <c r="BG177" s="253"/>
      <c r="BH177" s="253"/>
      <c r="BI177" s="253"/>
      <c r="BJ177" s="263" t="str">
        <f>HYPERLINK("#일위대가목록!A95","_0062 →")</f>
        <v>_0062 →</v>
      </c>
    </row>
    <row r="178" spans="1:62" ht="24" customHeight="1">
      <c r="A178" s="256" t="s">
        <v>1323</v>
      </c>
      <c r="B178" s="256" t="s">
        <v>1326</v>
      </c>
      <c r="C178" s="257">
        <v>1</v>
      </c>
      <c r="D178" s="254" t="s">
        <v>437</v>
      </c>
      <c r="E178" s="258">
        <f>일위목록!E96</f>
        <v>0</v>
      </c>
      <c r="F178" s="258">
        <f t="shared" si="10"/>
        <v>0</v>
      </c>
      <c r="G178" s="258">
        <f>일위목록!F96</f>
        <v>0</v>
      </c>
      <c r="H178" s="258"/>
      <c r="I178" s="258"/>
      <c r="J178" s="258"/>
      <c r="K178" s="258"/>
      <c r="L178" s="258"/>
      <c r="M178" s="256"/>
      <c r="N178" s="253" t="s">
        <v>68</v>
      </c>
      <c r="O178" s="253"/>
      <c r="P178" s="253" t="s">
        <v>1116</v>
      </c>
      <c r="Q178" s="253" t="s">
        <v>68</v>
      </c>
      <c r="R178" s="253" t="s">
        <v>1327</v>
      </c>
      <c r="S178" s="253"/>
      <c r="T178" s="253" t="s">
        <v>1129</v>
      </c>
      <c r="U178" s="253"/>
      <c r="V178" s="253"/>
      <c r="W178" s="253"/>
      <c r="X178" s="253"/>
      <c r="Y178" s="253"/>
      <c r="Z178" s="253"/>
      <c r="AA178" s="253"/>
      <c r="AB178" s="253"/>
      <c r="AC178" s="253"/>
      <c r="AD178" s="253"/>
      <c r="AE178" s="253"/>
      <c r="AF178" s="253"/>
      <c r="AG178" s="253"/>
      <c r="AH178" s="253"/>
      <c r="AI178" s="253"/>
      <c r="AJ178" s="253"/>
      <c r="AK178" s="253"/>
      <c r="AL178" s="253"/>
      <c r="AM178" s="253"/>
      <c r="AN178" s="253"/>
      <c r="AO178" s="253"/>
      <c r="AP178" s="253"/>
      <c r="AQ178" s="253"/>
      <c r="AR178" s="253"/>
      <c r="AS178" s="253"/>
      <c r="AT178" s="253"/>
      <c r="AU178" s="253"/>
      <c r="AV178" s="253"/>
      <c r="AW178" s="253"/>
      <c r="AX178" s="253"/>
      <c r="AY178" s="253"/>
      <c r="AZ178" s="253"/>
      <c r="BA178" s="253"/>
      <c r="BB178" s="253"/>
      <c r="BC178" s="253"/>
      <c r="BD178" s="253"/>
      <c r="BE178" s="253"/>
      <c r="BF178" s="253"/>
      <c r="BG178" s="253"/>
      <c r="BH178" s="253"/>
      <c r="BI178" s="253"/>
      <c r="BJ178" s="263" t="str">
        <f>HYPERLINK("#일위대가목록!A96","_0063 →")</f>
        <v>_0063 →</v>
      </c>
    </row>
    <row r="179" spans="1:62" ht="24" customHeight="1">
      <c r="A179" s="256" t="s">
        <v>1323</v>
      </c>
      <c r="B179" s="256" t="s">
        <v>1020</v>
      </c>
      <c r="C179" s="257">
        <v>1</v>
      </c>
      <c r="D179" s="254" t="s">
        <v>437</v>
      </c>
      <c r="E179" s="258">
        <f>일위목록!E97</f>
        <v>0</v>
      </c>
      <c r="F179" s="258">
        <f t="shared" si="10"/>
        <v>0</v>
      </c>
      <c r="G179" s="258">
        <f>일위목록!F97</f>
        <v>0</v>
      </c>
      <c r="H179" s="258"/>
      <c r="I179" s="258"/>
      <c r="J179" s="258"/>
      <c r="K179" s="258"/>
      <c r="L179" s="258"/>
      <c r="M179" s="256"/>
      <c r="N179" s="253" t="s">
        <v>68</v>
      </c>
      <c r="O179" s="253"/>
      <c r="P179" s="253" t="s">
        <v>1120</v>
      </c>
      <c r="Q179" s="253" t="s">
        <v>68</v>
      </c>
      <c r="R179" s="253" t="s">
        <v>1328</v>
      </c>
      <c r="S179" s="253"/>
      <c r="T179" s="253" t="s">
        <v>1129</v>
      </c>
      <c r="U179" s="253"/>
      <c r="V179" s="253"/>
      <c r="W179" s="253"/>
      <c r="X179" s="253"/>
      <c r="Y179" s="253"/>
      <c r="Z179" s="253"/>
      <c r="AA179" s="253"/>
      <c r="AB179" s="253"/>
      <c r="AC179" s="253"/>
      <c r="AD179" s="253"/>
      <c r="AE179" s="253"/>
      <c r="AF179" s="253"/>
      <c r="AG179" s="253"/>
      <c r="AH179" s="253"/>
      <c r="AI179" s="253"/>
      <c r="AJ179" s="253"/>
      <c r="AK179" s="253"/>
      <c r="AL179" s="253"/>
      <c r="AM179" s="253"/>
      <c r="AN179" s="253"/>
      <c r="AO179" s="253"/>
      <c r="AP179" s="253"/>
      <c r="AQ179" s="253"/>
      <c r="AR179" s="253"/>
      <c r="AS179" s="253"/>
      <c r="AT179" s="253"/>
      <c r="AU179" s="253"/>
      <c r="AV179" s="253"/>
      <c r="AW179" s="253"/>
      <c r="AX179" s="253"/>
      <c r="AY179" s="253"/>
      <c r="AZ179" s="253"/>
      <c r="BA179" s="253"/>
      <c r="BB179" s="253"/>
      <c r="BC179" s="253"/>
      <c r="BD179" s="253"/>
      <c r="BE179" s="253"/>
      <c r="BF179" s="253"/>
      <c r="BG179" s="253"/>
      <c r="BH179" s="253"/>
      <c r="BI179" s="253"/>
      <c r="BJ179" s="263" t="str">
        <f>HYPERLINK("#일위대가목록!A97","_0064 →")</f>
        <v>_0064 →</v>
      </c>
    </row>
    <row r="180" spans="1:62" ht="24" customHeight="1">
      <c r="A180" s="256" t="s">
        <v>1329</v>
      </c>
      <c r="B180" s="256" t="s">
        <v>1330</v>
      </c>
      <c r="C180" s="257">
        <v>1</v>
      </c>
      <c r="D180" s="254" t="s">
        <v>378</v>
      </c>
      <c r="E180" s="258">
        <f>일위목록!E98</f>
        <v>0</v>
      </c>
      <c r="F180" s="258">
        <f t="shared" si="10"/>
        <v>0</v>
      </c>
      <c r="G180" s="258">
        <f>일위목록!F98</f>
        <v>0</v>
      </c>
      <c r="H180" s="258"/>
      <c r="I180" s="258"/>
      <c r="J180" s="258"/>
      <c r="K180" s="258"/>
      <c r="L180" s="258"/>
      <c r="M180" s="256"/>
      <c r="N180" s="253" t="s">
        <v>68</v>
      </c>
      <c r="O180" s="253"/>
      <c r="P180" s="253" t="s">
        <v>1173</v>
      </c>
      <c r="Q180" s="253" t="s">
        <v>68</v>
      </c>
      <c r="R180" s="253" t="s">
        <v>1331</v>
      </c>
      <c r="S180" s="253"/>
      <c r="T180" s="253" t="s">
        <v>1129</v>
      </c>
      <c r="U180" s="253"/>
      <c r="V180" s="253"/>
      <c r="W180" s="253"/>
      <c r="X180" s="253"/>
      <c r="Y180" s="253"/>
      <c r="Z180" s="253"/>
      <c r="AA180" s="253"/>
      <c r="AB180" s="253"/>
      <c r="AC180" s="253"/>
      <c r="AD180" s="253"/>
      <c r="AE180" s="253"/>
      <c r="AF180" s="253"/>
      <c r="AG180" s="253"/>
      <c r="AH180" s="253"/>
      <c r="AI180" s="253"/>
      <c r="AJ180" s="253"/>
      <c r="AK180" s="253"/>
      <c r="AL180" s="253"/>
      <c r="AM180" s="253"/>
      <c r="AN180" s="253"/>
      <c r="AO180" s="253"/>
      <c r="AP180" s="253"/>
      <c r="AQ180" s="253"/>
      <c r="AR180" s="253"/>
      <c r="AS180" s="253"/>
      <c r="AT180" s="253"/>
      <c r="AU180" s="253"/>
      <c r="AV180" s="253"/>
      <c r="AW180" s="253"/>
      <c r="AX180" s="253"/>
      <c r="AY180" s="253"/>
      <c r="AZ180" s="253"/>
      <c r="BA180" s="253"/>
      <c r="BB180" s="253"/>
      <c r="BC180" s="253"/>
      <c r="BD180" s="253"/>
      <c r="BE180" s="253"/>
      <c r="BF180" s="253"/>
      <c r="BG180" s="253"/>
      <c r="BH180" s="253"/>
      <c r="BI180" s="253"/>
      <c r="BJ180" s="263" t="str">
        <f>HYPERLINK("#일위대가목록!A98","_0071 →")</f>
        <v>_0071 →</v>
      </c>
    </row>
    <row r="181" spans="1:62" ht="24" customHeight="1">
      <c r="A181" s="256" t="s">
        <v>1329</v>
      </c>
      <c r="B181" s="256" t="s">
        <v>1332</v>
      </c>
      <c r="C181" s="257">
        <v>1</v>
      </c>
      <c r="D181" s="254" t="s">
        <v>378</v>
      </c>
      <c r="E181" s="258">
        <f>일위목록!E99</f>
        <v>0</v>
      </c>
      <c r="F181" s="258">
        <f t="shared" si="10"/>
        <v>0</v>
      </c>
      <c r="G181" s="258">
        <f>일위목록!F99</f>
        <v>0</v>
      </c>
      <c r="H181" s="258"/>
      <c r="I181" s="258"/>
      <c r="J181" s="258"/>
      <c r="K181" s="258"/>
      <c r="L181" s="258"/>
      <c r="M181" s="256"/>
      <c r="N181" s="253" t="s">
        <v>68</v>
      </c>
      <c r="O181" s="253"/>
      <c r="P181" s="253" t="s">
        <v>1175</v>
      </c>
      <c r="Q181" s="253" t="s">
        <v>68</v>
      </c>
      <c r="R181" s="253" t="s">
        <v>1333</v>
      </c>
      <c r="S181" s="253"/>
      <c r="T181" s="253" t="s">
        <v>1129</v>
      </c>
      <c r="U181" s="253"/>
      <c r="V181" s="253"/>
      <c r="W181" s="253"/>
      <c r="X181" s="253"/>
      <c r="Y181" s="253"/>
      <c r="Z181" s="253"/>
      <c r="AA181" s="253"/>
      <c r="AB181" s="253"/>
      <c r="AC181" s="253"/>
      <c r="AD181" s="253"/>
      <c r="AE181" s="253"/>
      <c r="AF181" s="253"/>
      <c r="AG181" s="253"/>
      <c r="AH181" s="253"/>
      <c r="AI181" s="253"/>
      <c r="AJ181" s="253"/>
      <c r="AK181" s="253"/>
      <c r="AL181" s="253"/>
      <c r="AM181" s="253"/>
      <c r="AN181" s="253"/>
      <c r="AO181" s="253"/>
      <c r="AP181" s="253"/>
      <c r="AQ181" s="253"/>
      <c r="AR181" s="253"/>
      <c r="AS181" s="253"/>
      <c r="AT181" s="253"/>
      <c r="AU181" s="253"/>
      <c r="AV181" s="253"/>
      <c r="AW181" s="253"/>
      <c r="AX181" s="253"/>
      <c r="AY181" s="253"/>
      <c r="AZ181" s="253"/>
      <c r="BA181" s="253"/>
      <c r="BB181" s="253"/>
      <c r="BC181" s="253"/>
      <c r="BD181" s="253"/>
      <c r="BE181" s="253"/>
      <c r="BF181" s="253"/>
      <c r="BG181" s="253"/>
      <c r="BH181" s="253"/>
      <c r="BI181" s="253"/>
      <c r="BJ181" s="263" t="str">
        <f>HYPERLINK("#일위대가목록!A99","_0072 →")</f>
        <v>_0072 →</v>
      </c>
    </row>
    <row r="182" spans="1:62" ht="24" customHeight="1">
      <c r="A182" s="256" t="s">
        <v>1329</v>
      </c>
      <c r="B182" s="256" t="s">
        <v>1334</v>
      </c>
      <c r="C182" s="257">
        <v>1</v>
      </c>
      <c r="D182" s="254" t="s">
        <v>378</v>
      </c>
      <c r="E182" s="258">
        <f>일위목록!E100</f>
        <v>0</v>
      </c>
      <c r="F182" s="258">
        <f t="shared" si="10"/>
        <v>0</v>
      </c>
      <c r="G182" s="258">
        <f>일위목록!F100</f>
        <v>0</v>
      </c>
      <c r="H182" s="258"/>
      <c r="I182" s="258"/>
      <c r="J182" s="258"/>
      <c r="K182" s="258"/>
      <c r="L182" s="258"/>
      <c r="M182" s="256"/>
      <c r="N182" s="253" t="s">
        <v>68</v>
      </c>
      <c r="O182" s="253"/>
      <c r="P182" s="253" t="s">
        <v>1231</v>
      </c>
      <c r="Q182" s="253" t="s">
        <v>68</v>
      </c>
      <c r="R182" s="253" t="s">
        <v>1335</v>
      </c>
      <c r="S182" s="253"/>
      <c r="T182" s="253" t="s">
        <v>1129</v>
      </c>
      <c r="U182" s="253"/>
      <c r="V182" s="253"/>
      <c r="W182" s="253"/>
      <c r="X182" s="253"/>
      <c r="Y182" s="253"/>
      <c r="Z182" s="253"/>
      <c r="AA182" s="253"/>
      <c r="AB182" s="253"/>
      <c r="AC182" s="253"/>
      <c r="AD182" s="253"/>
      <c r="AE182" s="253"/>
      <c r="AF182" s="253"/>
      <c r="AG182" s="253"/>
      <c r="AH182" s="253"/>
      <c r="AI182" s="253"/>
      <c r="AJ182" s="253"/>
      <c r="AK182" s="253"/>
      <c r="AL182" s="253"/>
      <c r="AM182" s="253"/>
      <c r="AN182" s="253"/>
      <c r="AO182" s="253"/>
      <c r="AP182" s="253"/>
      <c r="AQ182" s="253"/>
      <c r="AR182" s="253"/>
      <c r="AS182" s="253"/>
      <c r="AT182" s="253"/>
      <c r="AU182" s="253"/>
      <c r="AV182" s="253"/>
      <c r="AW182" s="253"/>
      <c r="AX182" s="253"/>
      <c r="AY182" s="253"/>
      <c r="AZ182" s="253"/>
      <c r="BA182" s="253"/>
      <c r="BB182" s="253"/>
      <c r="BC182" s="253"/>
      <c r="BD182" s="253"/>
      <c r="BE182" s="253"/>
      <c r="BF182" s="253"/>
      <c r="BG182" s="253"/>
      <c r="BH182" s="253"/>
      <c r="BI182" s="253"/>
      <c r="BJ182" s="263" t="str">
        <f>HYPERLINK("#일위대가목록!A100","_0073 →")</f>
        <v>_0073 →</v>
      </c>
    </row>
    <row r="183" spans="1:62" ht="24" customHeight="1">
      <c r="A183" s="256" t="s">
        <v>1336</v>
      </c>
      <c r="B183" s="256" t="s">
        <v>1337</v>
      </c>
      <c r="C183" s="257">
        <v>1</v>
      </c>
      <c r="D183" s="254" t="s">
        <v>437</v>
      </c>
      <c r="E183" s="258">
        <f>일위목록!E101</f>
        <v>0</v>
      </c>
      <c r="F183" s="258">
        <f t="shared" si="10"/>
        <v>0</v>
      </c>
      <c r="G183" s="258">
        <f>일위목록!F101</f>
        <v>0</v>
      </c>
      <c r="H183" s="258"/>
      <c r="I183" s="258"/>
      <c r="J183" s="258"/>
      <c r="K183" s="258"/>
      <c r="L183" s="258"/>
      <c r="M183" s="256"/>
      <c r="N183" s="253" t="s">
        <v>68</v>
      </c>
      <c r="O183" s="253"/>
      <c r="P183" s="253" t="s">
        <v>1233</v>
      </c>
      <c r="Q183" s="253" t="s">
        <v>68</v>
      </c>
      <c r="R183" s="253" t="s">
        <v>1338</v>
      </c>
      <c r="S183" s="253"/>
      <c r="T183" s="253" t="s">
        <v>1129</v>
      </c>
      <c r="U183" s="253"/>
      <c r="V183" s="253"/>
      <c r="W183" s="253"/>
      <c r="X183" s="253"/>
      <c r="Y183" s="253"/>
      <c r="Z183" s="253"/>
      <c r="AA183" s="253"/>
      <c r="AB183" s="253"/>
      <c r="AC183" s="253"/>
      <c r="AD183" s="253"/>
      <c r="AE183" s="253"/>
      <c r="AF183" s="253"/>
      <c r="AG183" s="253"/>
      <c r="AH183" s="253"/>
      <c r="AI183" s="253"/>
      <c r="AJ183" s="253"/>
      <c r="AK183" s="253"/>
      <c r="AL183" s="253"/>
      <c r="AM183" s="253"/>
      <c r="AN183" s="253"/>
      <c r="AO183" s="253"/>
      <c r="AP183" s="253"/>
      <c r="AQ183" s="253"/>
      <c r="AR183" s="253"/>
      <c r="AS183" s="253"/>
      <c r="AT183" s="253"/>
      <c r="AU183" s="253"/>
      <c r="AV183" s="253"/>
      <c r="AW183" s="253"/>
      <c r="AX183" s="253"/>
      <c r="AY183" s="253"/>
      <c r="AZ183" s="253"/>
      <c r="BA183" s="253"/>
      <c r="BB183" s="253"/>
      <c r="BC183" s="253"/>
      <c r="BD183" s="253"/>
      <c r="BE183" s="253"/>
      <c r="BF183" s="253"/>
      <c r="BG183" s="253"/>
      <c r="BH183" s="253"/>
      <c r="BI183" s="253"/>
      <c r="BJ183" s="263" t="str">
        <f>HYPERLINK("#일위대가목록!A101","_0076 →")</f>
        <v>_0076 →</v>
      </c>
    </row>
    <row r="184" spans="1:62" ht="24" customHeight="1">
      <c r="A184" s="256" t="s">
        <v>1339</v>
      </c>
      <c r="B184" s="256" t="s">
        <v>1340</v>
      </c>
      <c r="C184" s="257">
        <v>1</v>
      </c>
      <c r="D184" s="254" t="s">
        <v>437</v>
      </c>
      <c r="E184" s="258">
        <f>일위목록!E102</f>
        <v>0</v>
      </c>
      <c r="F184" s="258">
        <f t="shared" si="10"/>
        <v>0</v>
      </c>
      <c r="G184" s="258">
        <f>일위목록!F102</f>
        <v>0</v>
      </c>
      <c r="H184" s="258"/>
      <c r="I184" s="258"/>
      <c r="J184" s="258"/>
      <c r="K184" s="258"/>
      <c r="L184" s="258"/>
      <c r="M184" s="256"/>
      <c r="N184" s="253" t="s">
        <v>68</v>
      </c>
      <c r="O184" s="253"/>
      <c r="P184" s="253" t="s">
        <v>1341</v>
      </c>
      <c r="Q184" s="253" t="s">
        <v>68</v>
      </c>
      <c r="R184" s="253" t="s">
        <v>1342</v>
      </c>
      <c r="S184" s="253"/>
      <c r="T184" s="253" t="s">
        <v>1129</v>
      </c>
      <c r="U184" s="253"/>
      <c r="V184" s="253"/>
      <c r="W184" s="253"/>
      <c r="X184" s="253"/>
      <c r="Y184" s="253"/>
      <c r="Z184" s="253"/>
      <c r="AA184" s="253"/>
      <c r="AB184" s="253"/>
      <c r="AC184" s="253"/>
      <c r="AD184" s="253"/>
      <c r="AE184" s="253"/>
      <c r="AF184" s="253"/>
      <c r="AG184" s="253"/>
      <c r="AH184" s="253"/>
      <c r="AI184" s="253"/>
      <c r="AJ184" s="253"/>
      <c r="AK184" s="253"/>
      <c r="AL184" s="253"/>
      <c r="AM184" s="253"/>
      <c r="AN184" s="253"/>
      <c r="AO184" s="253"/>
      <c r="AP184" s="253"/>
      <c r="AQ184" s="253"/>
      <c r="AR184" s="253"/>
      <c r="AS184" s="253"/>
      <c r="AT184" s="253"/>
      <c r="AU184" s="253"/>
      <c r="AV184" s="253"/>
      <c r="AW184" s="253"/>
      <c r="AX184" s="253"/>
      <c r="AY184" s="253"/>
      <c r="AZ184" s="253"/>
      <c r="BA184" s="253"/>
      <c r="BB184" s="253"/>
      <c r="BC184" s="253"/>
      <c r="BD184" s="253"/>
      <c r="BE184" s="253"/>
      <c r="BF184" s="253"/>
      <c r="BG184" s="253"/>
      <c r="BH184" s="253"/>
      <c r="BI184" s="253"/>
      <c r="BJ184" s="263" t="str">
        <f>HYPERLINK("#일위대가목록!A102","_0077 →")</f>
        <v>_0077 →</v>
      </c>
    </row>
    <row r="185" spans="1:62" ht="24" customHeight="1">
      <c r="A185" s="256" t="s">
        <v>68</v>
      </c>
      <c r="B185" s="256" t="s">
        <v>68</v>
      </c>
      <c r="C185" s="264"/>
      <c r="D185" s="254" t="s">
        <v>68</v>
      </c>
      <c r="E185" s="254"/>
      <c r="F185" s="258">
        <v>0</v>
      </c>
      <c r="G185" s="254"/>
      <c r="H185" s="258"/>
      <c r="I185" s="254"/>
      <c r="J185" s="258"/>
      <c r="K185" s="258"/>
      <c r="L185" s="258"/>
      <c r="M185" s="256"/>
      <c r="N185" s="253" t="s">
        <v>68</v>
      </c>
      <c r="O185" s="253"/>
      <c r="P185" s="253" t="s">
        <v>1343</v>
      </c>
      <c r="Q185" s="253" t="s">
        <v>68</v>
      </c>
      <c r="R185" s="253" t="s">
        <v>68</v>
      </c>
      <c r="S185" s="253"/>
      <c r="T185" s="253"/>
      <c r="U185" s="253"/>
      <c r="V185" s="253"/>
      <c r="W185" s="253"/>
      <c r="X185" s="253"/>
      <c r="Y185" s="253"/>
      <c r="Z185" s="253"/>
      <c r="AA185" s="253"/>
      <c r="AB185" s="253"/>
      <c r="AC185" s="253"/>
      <c r="AD185" s="253"/>
      <c r="AE185" s="253"/>
      <c r="AF185" s="253"/>
      <c r="AG185" s="253"/>
      <c r="AH185" s="253"/>
      <c r="AI185" s="253"/>
      <c r="AJ185" s="253"/>
      <c r="AK185" s="253"/>
      <c r="AL185" s="253"/>
      <c r="AM185" s="253"/>
      <c r="AN185" s="253"/>
      <c r="AO185" s="253"/>
      <c r="AP185" s="253"/>
      <c r="AQ185" s="253"/>
      <c r="AR185" s="253"/>
      <c r="AS185" s="253"/>
      <c r="AT185" s="253"/>
      <c r="AU185" s="253"/>
      <c r="AV185" s="253"/>
      <c r="AW185" s="253"/>
      <c r="AX185" s="253"/>
      <c r="AY185" s="253"/>
      <c r="AZ185" s="253"/>
      <c r="BA185" s="253"/>
      <c r="BB185" s="253"/>
      <c r="BC185" s="253"/>
      <c r="BD185" s="253"/>
      <c r="BE185" s="253"/>
      <c r="BF185" s="253"/>
      <c r="BG185" s="253"/>
      <c r="BH185" s="253"/>
      <c r="BI185" s="253"/>
      <c r="BJ185" s="253"/>
    </row>
    <row r="186" spans="1:62" ht="24" customHeight="1">
      <c r="A186" s="256" t="s">
        <v>1344</v>
      </c>
      <c r="B186" s="256" t="s">
        <v>68</v>
      </c>
      <c r="C186" s="264"/>
      <c r="D186" s="254" t="s">
        <v>68</v>
      </c>
      <c r="E186" s="254"/>
      <c r="F186" s="258">
        <v>0</v>
      </c>
      <c r="G186" s="254"/>
      <c r="H186" s="258"/>
      <c r="I186" s="254"/>
      <c r="J186" s="258"/>
      <c r="K186" s="258"/>
      <c r="L186" s="258"/>
      <c r="M186" s="256"/>
      <c r="N186" s="253" t="s">
        <v>68</v>
      </c>
      <c r="O186" s="253"/>
      <c r="P186" s="253" t="s">
        <v>1345</v>
      </c>
      <c r="Q186" s="253" t="s">
        <v>68</v>
      </c>
      <c r="R186" s="253" t="s">
        <v>68</v>
      </c>
      <c r="S186" s="253"/>
      <c r="T186" s="253"/>
      <c r="U186" s="253"/>
      <c r="V186" s="253"/>
      <c r="W186" s="253"/>
      <c r="X186" s="253"/>
      <c r="Y186" s="253"/>
      <c r="Z186" s="253"/>
      <c r="AA186" s="253"/>
      <c r="AB186" s="253"/>
      <c r="AC186" s="253"/>
      <c r="AD186" s="253"/>
      <c r="AE186" s="253"/>
      <c r="AF186" s="253"/>
      <c r="AG186" s="253"/>
      <c r="AH186" s="253"/>
      <c r="AI186" s="253"/>
      <c r="AJ186" s="253"/>
      <c r="AK186" s="253"/>
      <c r="AL186" s="253"/>
      <c r="AM186" s="253"/>
      <c r="AN186" s="253"/>
      <c r="AO186" s="253"/>
      <c r="AP186" s="253"/>
      <c r="AQ186" s="253"/>
      <c r="AR186" s="253"/>
      <c r="AS186" s="253"/>
      <c r="AT186" s="253"/>
      <c r="AU186" s="253"/>
      <c r="AV186" s="253"/>
      <c r="AW186" s="253"/>
      <c r="AX186" s="253"/>
      <c r="AY186" s="253"/>
      <c r="AZ186" s="253"/>
      <c r="BA186" s="253"/>
      <c r="BB186" s="253"/>
      <c r="BC186" s="253"/>
      <c r="BD186" s="253"/>
      <c r="BE186" s="253"/>
      <c r="BF186" s="253"/>
      <c r="BG186" s="253"/>
      <c r="BH186" s="253"/>
      <c r="BI186" s="253"/>
      <c r="BJ186" s="253"/>
    </row>
    <row r="187" spans="1:62" ht="24" customHeight="1">
      <c r="A187" s="256" t="s">
        <v>1346</v>
      </c>
      <c r="B187" s="256" t="s">
        <v>1295</v>
      </c>
      <c r="C187" s="257">
        <v>66</v>
      </c>
      <c r="D187" s="254" t="s">
        <v>9</v>
      </c>
      <c r="E187" s="258">
        <f>일위목록!E103</f>
        <v>0</v>
      </c>
      <c r="F187" s="258">
        <f t="shared" ref="F187:F196" si="11">TRUNC(E187*C187,0)</f>
        <v>0</v>
      </c>
      <c r="G187" s="258">
        <f>일위목록!F103</f>
        <v>0</v>
      </c>
      <c r="H187" s="258"/>
      <c r="I187" s="258"/>
      <c r="J187" s="258"/>
      <c r="K187" s="258"/>
      <c r="L187" s="258"/>
      <c r="M187" s="256"/>
      <c r="N187" s="253" t="s">
        <v>68</v>
      </c>
      <c r="O187" s="253"/>
      <c r="P187" s="253" t="s">
        <v>1347</v>
      </c>
      <c r="Q187" s="253" t="s">
        <v>68</v>
      </c>
      <c r="R187" s="253" t="s">
        <v>1348</v>
      </c>
      <c r="S187" s="253"/>
      <c r="T187" s="253" t="s">
        <v>1129</v>
      </c>
      <c r="U187" s="253"/>
      <c r="V187" s="253"/>
      <c r="W187" s="253"/>
      <c r="X187" s="253"/>
      <c r="Y187" s="253"/>
      <c r="Z187" s="253"/>
      <c r="AA187" s="253"/>
      <c r="AB187" s="253"/>
      <c r="AC187" s="253"/>
      <c r="AD187" s="253"/>
      <c r="AE187" s="253"/>
      <c r="AF187" s="253"/>
      <c r="AG187" s="253"/>
      <c r="AH187" s="253"/>
      <c r="AI187" s="253"/>
      <c r="AJ187" s="253"/>
      <c r="AK187" s="253"/>
      <c r="AL187" s="253"/>
      <c r="AM187" s="253"/>
      <c r="AN187" s="253"/>
      <c r="AO187" s="253"/>
      <c r="AP187" s="253"/>
      <c r="AQ187" s="253"/>
      <c r="AR187" s="253"/>
      <c r="AS187" s="253"/>
      <c r="AT187" s="253"/>
      <c r="AU187" s="253"/>
      <c r="AV187" s="253"/>
      <c r="AW187" s="253"/>
      <c r="AX187" s="253"/>
      <c r="AY187" s="253"/>
      <c r="AZ187" s="253"/>
      <c r="BA187" s="253"/>
      <c r="BB187" s="253"/>
      <c r="BC187" s="253"/>
      <c r="BD187" s="253"/>
      <c r="BE187" s="253"/>
      <c r="BF187" s="253"/>
      <c r="BG187" s="253"/>
      <c r="BH187" s="253"/>
      <c r="BI187" s="253"/>
      <c r="BJ187" s="263" t="str">
        <f>HYPERLINK("#일위대가목록!A103","PP12-3-1/2 →")</f>
        <v>PP12-3-1/2 →</v>
      </c>
    </row>
    <row r="188" spans="1:62" ht="24" customHeight="1">
      <c r="A188" s="256" t="s">
        <v>1300</v>
      </c>
      <c r="B188" s="256" t="s">
        <v>1349</v>
      </c>
      <c r="C188" s="257">
        <v>66</v>
      </c>
      <c r="D188" s="254" t="s">
        <v>9</v>
      </c>
      <c r="E188" s="258">
        <f>일위목록!E104</f>
        <v>0</v>
      </c>
      <c r="F188" s="258">
        <f t="shared" si="11"/>
        <v>0</v>
      </c>
      <c r="G188" s="258">
        <f>일위목록!F104</f>
        <v>0</v>
      </c>
      <c r="H188" s="258"/>
      <c r="I188" s="258"/>
      <c r="J188" s="258"/>
      <c r="K188" s="258"/>
      <c r="L188" s="258"/>
      <c r="M188" s="256"/>
      <c r="N188" s="253" t="s">
        <v>68</v>
      </c>
      <c r="O188" s="253"/>
      <c r="P188" s="253" t="s">
        <v>1350</v>
      </c>
      <c r="Q188" s="253" t="s">
        <v>68</v>
      </c>
      <c r="R188" s="253" t="s">
        <v>1351</v>
      </c>
      <c r="S188" s="253"/>
      <c r="T188" s="253" t="s">
        <v>1129</v>
      </c>
      <c r="U188" s="253"/>
      <c r="V188" s="253"/>
      <c r="W188" s="253"/>
      <c r="X188" s="253"/>
      <c r="Y188" s="253"/>
      <c r="Z188" s="253"/>
      <c r="AA188" s="253"/>
      <c r="AB188" s="253"/>
      <c r="AC188" s="253"/>
      <c r="AD188" s="253"/>
      <c r="AE188" s="253"/>
      <c r="AF188" s="253"/>
      <c r="AG188" s="253"/>
      <c r="AH188" s="253"/>
      <c r="AI188" s="253"/>
      <c r="AJ188" s="253"/>
      <c r="AK188" s="253"/>
      <c r="AL188" s="253"/>
      <c r="AM188" s="253"/>
      <c r="AN188" s="253"/>
      <c r="AO188" s="253"/>
      <c r="AP188" s="253"/>
      <c r="AQ188" s="253"/>
      <c r="AR188" s="253"/>
      <c r="AS188" s="253"/>
      <c r="AT188" s="253"/>
      <c r="AU188" s="253"/>
      <c r="AV188" s="253"/>
      <c r="AW188" s="253"/>
      <c r="AX188" s="253"/>
      <c r="AY188" s="253"/>
      <c r="AZ188" s="253"/>
      <c r="BA188" s="253"/>
      <c r="BB188" s="253"/>
      <c r="BC188" s="253"/>
      <c r="BD188" s="253"/>
      <c r="BE188" s="253"/>
      <c r="BF188" s="253"/>
      <c r="BG188" s="253"/>
      <c r="BH188" s="253"/>
      <c r="BI188" s="253"/>
      <c r="BJ188" s="263" t="str">
        <f>HYPERLINK("#일위대가목록!A104","PP11-2-2/2 →")</f>
        <v>PP11-2-2/2 →</v>
      </c>
    </row>
    <row r="189" spans="1:62" ht="24" customHeight="1">
      <c r="A189" s="256" t="s">
        <v>1352</v>
      </c>
      <c r="B189" s="256" t="s">
        <v>1353</v>
      </c>
      <c r="C189" s="257">
        <v>52</v>
      </c>
      <c r="D189" s="254" t="s">
        <v>9</v>
      </c>
      <c r="E189" s="258">
        <f>일위목록!E105</f>
        <v>0</v>
      </c>
      <c r="F189" s="258">
        <f t="shared" si="11"/>
        <v>0</v>
      </c>
      <c r="G189" s="258">
        <f>일위목록!F105</f>
        <v>0</v>
      </c>
      <c r="H189" s="258"/>
      <c r="I189" s="258"/>
      <c r="J189" s="258"/>
      <c r="K189" s="258"/>
      <c r="L189" s="258"/>
      <c r="M189" s="256"/>
      <c r="N189" s="253" t="s">
        <v>68</v>
      </c>
      <c r="O189" s="253"/>
      <c r="P189" s="253" t="s">
        <v>1354</v>
      </c>
      <c r="Q189" s="253" t="s">
        <v>68</v>
      </c>
      <c r="R189" s="253" t="s">
        <v>1355</v>
      </c>
      <c r="S189" s="253"/>
      <c r="T189" s="253" t="s">
        <v>1129</v>
      </c>
      <c r="U189" s="253"/>
      <c r="V189" s="253"/>
      <c r="W189" s="253"/>
      <c r="X189" s="253"/>
      <c r="Y189" s="253"/>
      <c r="Z189" s="253"/>
      <c r="AA189" s="253"/>
      <c r="AB189" s="253"/>
      <c r="AC189" s="253"/>
      <c r="AD189" s="253"/>
      <c r="AE189" s="253"/>
      <c r="AF189" s="253"/>
      <c r="AG189" s="253"/>
      <c r="AH189" s="253"/>
      <c r="AI189" s="253"/>
      <c r="AJ189" s="253"/>
      <c r="AK189" s="253"/>
      <c r="AL189" s="253"/>
      <c r="AM189" s="253"/>
      <c r="AN189" s="253"/>
      <c r="AO189" s="253"/>
      <c r="AP189" s="253"/>
      <c r="AQ189" s="253"/>
      <c r="AR189" s="253"/>
      <c r="AS189" s="253"/>
      <c r="AT189" s="253"/>
      <c r="AU189" s="253"/>
      <c r="AV189" s="253"/>
      <c r="AW189" s="253"/>
      <c r="AX189" s="253"/>
      <c r="AY189" s="253"/>
      <c r="AZ189" s="253"/>
      <c r="BA189" s="253"/>
      <c r="BB189" s="253"/>
      <c r="BC189" s="253"/>
      <c r="BD189" s="253"/>
      <c r="BE189" s="253"/>
      <c r="BF189" s="253"/>
      <c r="BG189" s="253"/>
      <c r="BH189" s="253"/>
      <c r="BI189" s="253"/>
      <c r="BJ189" s="263" t="str">
        <f>HYPERLINK("#일위대가목록!A105","P8-2-4/51 →")</f>
        <v>P8-2-4/51 →</v>
      </c>
    </row>
    <row r="190" spans="1:62" ht="24" customHeight="1">
      <c r="A190" s="256" t="s">
        <v>1356</v>
      </c>
      <c r="B190" s="256" t="s">
        <v>1357</v>
      </c>
      <c r="C190" s="257">
        <v>52</v>
      </c>
      <c r="D190" s="254" t="s">
        <v>9</v>
      </c>
      <c r="E190" s="258">
        <f>일위목록!E106</f>
        <v>0</v>
      </c>
      <c r="F190" s="258">
        <f t="shared" si="11"/>
        <v>0</v>
      </c>
      <c r="G190" s="258">
        <f>일위목록!F106</f>
        <v>0</v>
      </c>
      <c r="H190" s="258"/>
      <c r="I190" s="258"/>
      <c r="J190" s="258"/>
      <c r="K190" s="258"/>
      <c r="L190" s="258"/>
      <c r="M190" s="256"/>
      <c r="N190" s="253" t="s">
        <v>68</v>
      </c>
      <c r="O190" s="253"/>
      <c r="P190" s="253" t="s">
        <v>1358</v>
      </c>
      <c r="Q190" s="253" t="s">
        <v>68</v>
      </c>
      <c r="R190" s="253" t="s">
        <v>1359</v>
      </c>
      <c r="S190" s="253"/>
      <c r="T190" s="253" t="s">
        <v>1129</v>
      </c>
      <c r="U190" s="253"/>
      <c r="V190" s="253"/>
      <c r="W190" s="253"/>
      <c r="X190" s="253"/>
      <c r="Y190" s="253"/>
      <c r="Z190" s="253"/>
      <c r="AA190" s="253"/>
      <c r="AB190" s="253"/>
      <c r="AC190" s="253"/>
      <c r="AD190" s="253"/>
      <c r="AE190" s="253"/>
      <c r="AF190" s="253"/>
      <c r="AG190" s="253"/>
      <c r="AH190" s="253"/>
      <c r="AI190" s="253"/>
      <c r="AJ190" s="253"/>
      <c r="AK190" s="253"/>
      <c r="AL190" s="253"/>
      <c r="AM190" s="253"/>
      <c r="AN190" s="253"/>
      <c r="AO190" s="253"/>
      <c r="AP190" s="253"/>
      <c r="AQ190" s="253"/>
      <c r="AR190" s="253"/>
      <c r="AS190" s="253"/>
      <c r="AT190" s="253"/>
      <c r="AU190" s="253"/>
      <c r="AV190" s="253"/>
      <c r="AW190" s="253"/>
      <c r="AX190" s="253"/>
      <c r="AY190" s="253"/>
      <c r="AZ190" s="253"/>
      <c r="BA190" s="253"/>
      <c r="BB190" s="253"/>
      <c r="BC190" s="253"/>
      <c r="BD190" s="253"/>
      <c r="BE190" s="253"/>
      <c r="BF190" s="253"/>
      <c r="BG190" s="253"/>
      <c r="BH190" s="253"/>
      <c r="BI190" s="253"/>
      <c r="BJ190" s="263" t="str">
        <f>HYPERLINK("#일위대가목록!A106","P5-2-3/2 →")</f>
        <v>P5-2-3/2 →</v>
      </c>
    </row>
    <row r="191" spans="1:62" ht="24" customHeight="1">
      <c r="A191" s="256" t="s">
        <v>1360</v>
      </c>
      <c r="B191" s="256" t="s">
        <v>1361</v>
      </c>
      <c r="C191" s="257">
        <v>52</v>
      </c>
      <c r="D191" s="254" t="s">
        <v>9</v>
      </c>
      <c r="E191" s="258">
        <f>일위목록!E107</f>
        <v>0</v>
      </c>
      <c r="F191" s="258">
        <f t="shared" si="11"/>
        <v>0</v>
      </c>
      <c r="G191" s="258">
        <f>일위목록!F107</f>
        <v>0</v>
      </c>
      <c r="H191" s="258"/>
      <c r="I191" s="258"/>
      <c r="J191" s="258"/>
      <c r="K191" s="258"/>
      <c r="L191" s="258"/>
      <c r="M191" s="256"/>
      <c r="N191" s="253" t="s">
        <v>68</v>
      </c>
      <c r="O191" s="253"/>
      <c r="P191" s="253" t="s">
        <v>1362</v>
      </c>
      <c r="Q191" s="253" t="s">
        <v>68</v>
      </c>
      <c r="R191" s="253" t="s">
        <v>1363</v>
      </c>
      <c r="S191" s="253"/>
      <c r="T191" s="253" t="s">
        <v>1129</v>
      </c>
      <c r="U191" s="253"/>
      <c r="V191" s="253"/>
      <c r="W191" s="253"/>
      <c r="X191" s="253"/>
      <c r="Y191" s="253"/>
      <c r="Z191" s="253"/>
      <c r="AA191" s="253"/>
      <c r="AB191" s="253"/>
      <c r="AC191" s="253"/>
      <c r="AD191" s="253"/>
      <c r="AE191" s="253"/>
      <c r="AF191" s="253"/>
      <c r="AG191" s="253"/>
      <c r="AH191" s="253"/>
      <c r="AI191" s="253"/>
      <c r="AJ191" s="253"/>
      <c r="AK191" s="253"/>
      <c r="AL191" s="253"/>
      <c r="AM191" s="253"/>
      <c r="AN191" s="253"/>
      <c r="AO191" s="253"/>
      <c r="AP191" s="253"/>
      <c r="AQ191" s="253"/>
      <c r="AR191" s="253"/>
      <c r="AS191" s="253"/>
      <c r="AT191" s="253"/>
      <c r="AU191" s="253"/>
      <c r="AV191" s="253"/>
      <c r="AW191" s="253"/>
      <c r="AX191" s="253"/>
      <c r="AY191" s="253"/>
      <c r="AZ191" s="253"/>
      <c r="BA191" s="253"/>
      <c r="BB191" s="253"/>
      <c r="BC191" s="253"/>
      <c r="BD191" s="253"/>
      <c r="BE191" s="253"/>
      <c r="BF191" s="253"/>
      <c r="BG191" s="253"/>
      <c r="BH191" s="253"/>
      <c r="BI191" s="253"/>
      <c r="BJ191" s="263" t="str">
        <f>HYPERLINK("#일위대가목록!A107","P4-2-3/0 →")</f>
        <v>P4-2-3/0 →</v>
      </c>
    </row>
    <row r="192" spans="1:62" ht="24" customHeight="1">
      <c r="A192" s="256" t="s">
        <v>1306</v>
      </c>
      <c r="B192" s="256" t="s">
        <v>1364</v>
      </c>
      <c r="C192" s="257">
        <v>52</v>
      </c>
      <c r="D192" s="254" t="s">
        <v>9</v>
      </c>
      <c r="E192" s="258">
        <f>일위목록!E108</f>
        <v>0</v>
      </c>
      <c r="F192" s="258">
        <f t="shared" si="11"/>
        <v>0</v>
      </c>
      <c r="G192" s="258">
        <f>일위목록!F108</f>
        <v>0</v>
      </c>
      <c r="H192" s="258"/>
      <c r="I192" s="258"/>
      <c r="J192" s="258"/>
      <c r="K192" s="258"/>
      <c r="L192" s="258"/>
      <c r="M192" s="256"/>
      <c r="N192" s="253" t="s">
        <v>68</v>
      </c>
      <c r="O192" s="253"/>
      <c r="P192" s="253" t="s">
        <v>1365</v>
      </c>
      <c r="Q192" s="253" t="s">
        <v>68</v>
      </c>
      <c r="R192" s="253" t="s">
        <v>1366</v>
      </c>
      <c r="S192" s="253"/>
      <c r="T192" s="253" t="s">
        <v>1129</v>
      </c>
      <c r="U192" s="253"/>
      <c r="V192" s="253"/>
      <c r="W192" s="253"/>
      <c r="X192" s="253"/>
      <c r="Y192" s="253"/>
      <c r="Z192" s="253"/>
      <c r="AA192" s="253"/>
      <c r="AB192" s="253"/>
      <c r="AC192" s="253"/>
      <c r="AD192" s="253"/>
      <c r="AE192" s="253"/>
      <c r="AF192" s="253"/>
      <c r="AG192" s="253"/>
      <c r="AH192" s="253"/>
      <c r="AI192" s="253"/>
      <c r="AJ192" s="253"/>
      <c r="AK192" s="253"/>
      <c r="AL192" s="253"/>
      <c r="AM192" s="253"/>
      <c r="AN192" s="253"/>
      <c r="AO192" s="253"/>
      <c r="AP192" s="253"/>
      <c r="AQ192" s="253"/>
      <c r="AR192" s="253"/>
      <c r="AS192" s="253"/>
      <c r="AT192" s="253"/>
      <c r="AU192" s="253"/>
      <c r="AV192" s="253"/>
      <c r="AW192" s="253"/>
      <c r="AX192" s="253"/>
      <c r="AY192" s="253"/>
      <c r="AZ192" s="253"/>
      <c r="BA192" s="253"/>
      <c r="BB192" s="253"/>
      <c r="BC192" s="253"/>
      <c r="BD192" s="253"/>
      <c r="BE192" s="253"/>
      <c r="BF192" s="253"/>
      <c r="BG192" s="253"/>
      <c r="BH192" s="253"/>
      <c r="BI192" s="253"/>
      <c r="BJ192" s="263" t="str">
        <f>HYPERLINK("#일위대가목록!A108","PP11-1-4/2 →")</f>
        <v>PP11-1-4/2 →</v>
      </c>
    </row>
    <row r="193" spans="1:62" ht="24" customHeight="1">
      <c r="A193" s="256" t="s">
        <v>1367</v>
      </c>
      <c r="B193" s="256" t="s">
        <v>1368</v>
      </c>
      <c r="C193" s="257">
        <v>52</v>
      </c>
      <c r="D193" s="254" t="s">
        <v>9</v>
      </c>
      <c r="E193" s="258">
        <f>일위목록!E109</f>
        <v>0</v>
      </c>
      <c r="F193" s="258">
        <f t="shared" si="11"/>
        <v>0</v>
      </c>
      <c r="G193" s="258">
        <f>일위목록!F109</f>
        <v>0</v>
      </c>
      <c r="H193" s="258"/>
      <c r="I193" s="258"/>
      <c r="J193" s="258"/>
      <c r="K193" s="258"/>
      <c r="L193" s="258"/>
      <c r="M193" s="256"/>
      <c r="N193" s="253" t="s">
        <v>68</v>
      </c>
      <c r="O193" s="253"/>
      <c r="P193" s="253" t="s">
        <v>1369</v>
      </c>
      <c r="Q193" s="253" t="s">
        <v>68</v>
      </c>
      <c r="R193" s="253" t="s">
        <v>1370</v>
      </c>
      <c r="S193" s="253"/>
      <c r="T193" s="253" t="s">
        <v>1129</v>
      </c>
      <c r="U193" s="253"/>
      <c r="V193" s="253"/>
      <c r="W193" s="253"/>
      <c r="X193" s="253"/>
      <c r="Y193" s="253"/>
      <c r="Z193" s="253"/>
      <c r="AA193" s="253"/>
      <c r="AB193" s="253"/>
      <c r="AC193" s="253"/>
      <c r="AD193" s="253"/>
      <c r="AE193" s="253"/>
      <c r="AF193" s="253"/>
      <c r="AG193" s="253"/>
      <c r="AH193" s="253"/>
      <c r="AI193" s="253"/>
      <c r="AJ193" s="253"/>
      <c r="AK193" s="253"/>
      <c r="AL193" s="253"/>
      <c r="AM193" s="253"/>
      <c r="AN193" s="253"/>
      <c r="AO193" s="253"/>
      <c r="AP193" s="253"/>
      <c r="AQ193" s="253"/>
      <c r="AR193" s="253"/>
      <c r="AS193" s="253"/>
      <c r="AT193" s="253"/>
      <c r="AU193" s="253"/>
      <c r="AV193" s="253"/>
      <c r="AW193" s="253"/>
      <c r="AX193" s="253"/>
      <c r="AY193" s="253"/>
      <c r="AZ193" s="253"/>
      <c r="BA193" s="253"/>
      <c r="BB193" s="253"/>
      <c r="BC193" s="253"/>
      <c r="BD193" s="253"/>
      <c r="BE193" s="253"/>
      <c r="BF193" s="253"/>
      <c r="BG193" s="253"/>
      <c r="BH193" s="253"/>
      <c r="BI193" s="253"/>
      <c r="BJ193" s="263" t="str">
        <f>HYPERLINK("#일위대가목록!A109","PP11-2-7/2 →")</f>
        <v>PP11-2-7/2 →</v>
      </c>
    </row>
    <row r="194" spans="1:62" ht="24" customHeight="1">
      <c r="A194" s="256" t="s">
        <v>1371</v>
      </c>
      <c r="B194" s="256" t="s">
        <v>1372</v>
      </c>
      <c r="C194" s="264">
        <v>30.11</v>
      </c>
      <c r="D194" s="254" t="s">
        <v>1033</v>
      </c>
      <c r="E194" s="258">
        <f>일위목록!E110</f>
        <v>0</v>
      </c>
      <c r="F194" s="258">
        <f t="shared" si="11"/>
        <v>0</v>
      </c>
      <c r="G194" s="258">
        <f>일위목록!F110</f>
        <v>0</v>
      </c>
      <c r="H194" s="258"/>
      <c r="I194" s="258"/>
      <c r="J194" s="258"/>
      <c r="K194" s="258"/>
      <c r="L194" s="258"/>
      <c r="M194" s="256"/>
      <c r="N194" s="253" t="s">
        <v>68</v>
      </c>
      <c r="O194" s="253"/>
      <c r="P194" s="253" t="s">
        <v>1373</v>
      </c>
      <c r="Q194" s="253" t="s">
        <v>68</v>
      </c>
      <c r="R194" s="253" t="s">
        <v>1374</v>
      </c>
      <c r="S194" s="253"/>
      <c r="T194" s="253" t="s">
        <v>1129</v>
      </c>
      <c r="U194" s="253"/>
      <c r="V194" s="253"/>
      <c r="W194" s="253"/>
      <c r="X194" s="253"/>
      <c r="Y194" s="253"/>
      <c r="Z194" s="253"/>
      <c r="AA194" s="253"/>
      <c r="AB194" s="253"/>
      <c r="AC194" s="253"/>
      <c r="AD194" s="253"/>
      <c r="AE194" s="253"/>
      <c r="AF194" s="253"/>
      <c r="AG194" s="253"/>
      <c r="AH194" s="253"/>
      <c r="AI194" s="253"/>
      <c r="AJ194" s="253"/>
      <c r="AK194" s="253"/>
      <c r="AL194" s="253"/>
      <c r="AM194" s="253"/>
      <c r="AN194" s="253"/>
      <c r="AO194" s="253"/>
      <c r="AP194" s="253"/>
      <c r="AQ194" s="253"/>
      <c r="AR194" s="253"/>
      <c r="AS194" s="253"/>
      <c r="AT194" s="253"/>
      <c r="AU194" s="253"/>
      <c r="AV194" s="253"/>
      <c r="AW194" s="253"/>
      <c r="AX194" s="253"/>
      <c r="AY194" s="253"/>
      <c r="AZ194" s="253"/>
      <c r="BA194" s="253"/>
      <c r="BB194" s="253"/>
      <c r="BC194" s="253"/>
      <c r="BD194" s="253"/>
      <c r="BE194" s="253"/>
      <c r="BF194" s="253"/>
      <c r="BG194" s="253"/>
      <c r="BH194" s="253"/>
      <c r="BI194" s="253"/>
      <c r="BJ194" s="263" t="str">
        <f>HYPERLINK("#일위대가목록!A110","P8-1-5/3 →")</f>
        <v>P8-1-5/3 →</v>
      </c>
    </row>
    <row r="195" spans="1:62" ht="24" customHeight="1">
      <c r="A195" s="256" t="s">
        <v>1371</v>
      </c>
      <c r="B195" s="256" t="s">
        <v>1375</v>
      </c>
      <c r="C195" s="264">
        <v>41.32</v>
      </c>
      <c r="D195" s="254" t="s">
        <v>1033</v>
      </c>
      <c r="E195" s="258">
        <f>일위목록!E111</f>
        <v>0</v>
      </c>
      <c r="F195" s="258">
        <f t="shared" si="11"/>
        <v>0</v>
      </c>
      <c r="G195" s="258">
        <f>일위목록!F111</f>
        <v>0</v>
      </c>
      <c r="H195" s="258"/>
      <c r="I195" s="258"/>
      <c r="J195" s="258"/>
      <c r="K195" s="258"/>
      <c r="L195" s="258"/>
      <c r="M195" s="256"/>
      <c r="N195" s="253" t="s">
        <v>68</v>
      </c>
      <c r="O195" s="253"/>
      <c r="P195" s="253" t="s">
        <v>1376</v>
      </c>
      <c r="Q195" s="253" t="s">
        <v>68</v>
      </c>
      <c r="R195" s="253" t="s">
        <v>1377</v>
      </c>
      <c r="S195" s="253"/>
      <c r="T195" s="253" t="s">
        <v>1129</v>
      </c>
      <c r="U195" s="253"/>
      <c r="V195" s="253"/>
      <c r="W195" s="253"/>
      <c r="X195" s="253"/>
      <c r="Y195" s="253"/>
      <c r="Z195" s="253"/>
      <c r="AA195" s="253"/>
      <c r="AB195" s="253"/>
      <c r="AC195" s="253"/>
      <c r="AD195" s="253"/>
      <c r="AE195" s="253"/>
      <c r="AF195" s="253"/>
      <c r="AG195" s="253"/>
      <c r="AH195" s="253"/>
      <c r="AI195" s="253"/>
      <c r="AJ195" s="253"/>
      <c r="AK195" s="253"/>
      <c r="AL195" s="253"/>
      <c r="AM195" s="253"/>
      <c r="AN195" s="253"/>
      <c r="AO195" s="253"/>
      <c r="AP195" s="253"/>
      <c r="AQ195" s="253"/>
      <c r="AR195" s="253"/>
      <c r="AS195" s="253"/>
      <c r="AT195" s="253"/>
      <c r="AU195" s="253"/>
      <c r="AV195" s="253"/>
      <c r="AW195" s="253"/>
      <c r="AX195" s="253"/>
      <c r="AY195" s="253"/>
      <c r="AZ195" s="253"/>
      <c r="BA195" s="253"/>
      <c r="BB195" s="253"/>
      <c r="BC195" s="253"/>
      <c r="BD195" s="253"/>
      <c r="BE195" s="253"/>
      <c r="BF195" s="253"/>
      <c r="BG195" s="253"/>
      <c r="BH195" s="253"/>
      <c r="BI195" s="253"/>
      <c r="BJ195" s="263" t="str">
        <f>HYPERLINK("#일위대가목록!A111","P8-1-5/4 →")</f>
        <v>P8-1-5/4 →</v>
      </c>
    </row>
    <row r="196" spans="1:62" ht="24" customHeight="1">
      <c r="A196" s="256" t="s">
        <v>1378</v>
      </c>
      <c r="B196" s="256" t="s">
        <v>1379</v>
      </c>
      <c r="C196" s="257">
        <v>3</v>
      </c>
      <c r="D196" s="254" t="s">
        <v>378</v>
      </c>
      <c r="E196" s="258">
        <f>일위목록!E112</f>
        <v>0</v>
      </c>
      <c r="F196" s="258">
        <f t="shared" si="11"/>
        <v>0</v>
      </c>
      <c r="G196" s="258">
        <f>일위목록!F112</f>
        <v>0</v>
      </c>
      <c r="H196" s="258"/>
      <c r="I196" s="258"/>
      <c r="J196" s="258"/>
      <c r="K196" s="258"/>
      <c r="L196" s="258"/>
      <c r="M196" s="256"/>
      <c r="N196" s="253" t="s">
        <v>68</v>
      </c>
      <c r="O196" s="253"/>
      <c r="P196" s="253" t="s">
        <v>1380</v>
      </c>
      <c r="Q196" s="253" t="s">
        <v>68</v>
      </c>
      <c r="R196" s="253" t="s">
        <v>1381</v>
      </c>
      <c r="S196" s="253"/>
      <c r="T196" s="253" t="s">
        <v>1129</v>
      </c>
      <c r="U196" s="253"/>
      <c r="V196" s="253"/>
      <c r="W196" s="253"/>
      <c r="X196" s="253"/>
      <c r="Y196" s="253"/>
      <c r="Z196" s="253"/>
      <c r="AA196" s="253"/>
      <c r="AB196" s="253"/>
      <c r="AC196" s="253"/>
      <c r="AD196" s="253"/>
      <c r="AE196" s="253"/>
      <c r="AF196" s="253"/>
      <c r="AG196" s="253"/>
      <c r="AH196" s="253"/>
      <c r="AI196" s="253"/>
      <c r="AJ196" s="253"/>
      <c r="AK196" s="253"/>
      <c r="AL196" s="253"/>
      <c r="AM196" s="253"/>
      <c r="AN196" s="253"/>
      <c r="AO196" s="253"/>
      <c r="AP196" s="253"/>
      <c r="AQ196" s="253"/>
      <c r="AR196" s="253"/>
      <c r="AS196" s="253"/>
      <c r="AT196" s="253"/>
      <c r="AU196" s="253"/>
      <c r="AV196" s="253"/>
      <c r="AW196" s="253"/>
      <c r="AX196" s="253"/>
      <c r="AY196" s="253"/>
      <c r="AZ196" s="253"/>
      <c r="BA196" s="253"/>
      <c r="BB196" s="253"/>
      <c r="BC196" s="253"/>
      <c r="BD196" s="253"/>
      <c r="BE196" s="253"/>
      <c r="BF196" s="253"/>
      <c r="BG196" s="253"/>
      <c r="BH196" s="253"/>
      <c r="BI196" s="253"/>
      <c r="BJ196" s="263" t="str">
        <f>HYPERLINK("#일위대가목록!A112","P8-1-6/1 →")</f>
        <v>P8-1-6/1 →</v>
      </c>
    </row>
    <row r="197" spans="1:62" ht="24" customHeight="1">
      <c r="A197" s="256" t="s">
        <v>68</v>
      </c>
      <c r="B197" s="256" t="s">
        <v>68</v>
      </c>
      <c r="C197" s="264"/>
      <c r="D197" s="254" t="s">
        <v>68</v>
      </c>
      <c r="E197" s="254"/>
      <c r="F197" s="258">
        <v>0</v>
      </c>
      <c r="G197" s="254"/>
      <c r="H197" s="258"/>
      <c r="I197" s="254"/>
      <c r="J197" s="258"/>
      <c r="K197" s="258"/>
      <c r="L197" s="258"/>
      <c r="M197" s="256"/>
      <c r="N197" s="253" t="s">
        <v>68</v>
      </c>
      <c r="O197" s="253"/>
      <c r="P197" s="253" t="s">
        <v>1382</v>
      </c>
      <c r="Q197" s="253" t="s">
        <v>68</v>
      </c>
      <c r="R197" s="253" t="s">
        <v>68</v>
      </c>
      <c r="S197" s="253"/>
      <c r="T197" s="253"/>
      <c r="U197" s="253"/>
      <c r="V197" s="253"/>
      <c r="W197" s="253"/>
      <c r="X197" s="253"/>
      <c r="Y197" s="253"/>
      <c r="Z197" s="253"/>
      <c r="AA197" s="253"/>
      <c r="AB197" s="253"/>
      <c r="AC197" s="253"/>
      <c r="AD197" s="253"/>
      <c r="AE197" s="253"/>
      <c r="AF197" s="253"/>
      <c r="AG197" s="253"/>
      <c r="AH197" s="253"/>
      <c r="AI197" s="253"/>
      <c r="AJ197" s="253"/>
      <c r="AK197" s="253"/>
      <c r="AL197" s="253"/>
      <c r="AM197" s="253"/>
      <c r="AN197" s="253"/>
      <c r="AO197" s="253"/>
      <c r="AP197" s="253"/>
      <c r="AQ197" s="253"/>
      <c r="AR197" s="253"/>
      <c r="AS197" s="253"/>
      <c r="AT197" s="253"/>
      <c r="AU197" s="253"/>
      <c r="AV197" s="253"/>
      <c r="AW197" s="253"/>
      <c r="AX197" s="253"/>
      <c r="AY197" s="253"/>
      <c r="AZ197" s="253"/>
      <c r="BA197" s="253"/>
      <c r="BB197" s="253"/>
      <c r="BC197" s="253"/>
      <c r="BD197" s="253"/>
      <c r="BE197" s="253"/>
      <c r="BF197" s="253"/>
      <c r="BG197" s="253"/>
      <c r="BH197" s="253"/>
      <c r="BI197" s="253"/>
      <c r="BJ197" s="253"/>
    </row>
    <row r="198" spans="1:62" ht="24" customHeight="1">
      <c r="A198" s="256" t="s">
        <v>1383</v>
      </c>
      <c r="B198" s="256" t="s">
        <v>68</v>
      </c>
      <c r="C198" s="264"/>
      <c r="D198" s="254" t="s">
        <v>68</v>
      </c>
      <c r="E198" s="254"/>
      <c r="F198" s="258">
        <v>0</v>
      </c>
      <c r="G198" s="254"/>
      <c r="H198" s="258"/>
      <c r="I198" s="254"/>
      <c r="J198" s="258"/>
      <c r="K198" s="258"/>
      <c r="L198" s="258"/>
      <c r="M198" s="256"/>
      <c r="N198" s="253" t="s">
        <v>68</v>
      </c>
      <c r="O198" s="253"/>
      <c r="P198" s="253" t="s">
        <v>1384</v>
      </c>
      <c r="Q198" s="253" t="s">
        <v>68</v>
      </c>
      <c r="R198" s="253" t="s">
        <v>68</v>
      </c>
      <c r="S198" s="253"/>
      <c r="T198" s="253"/>
      <c r="U198" s="253"/>
      <c r="V198" s="253"/>
      <c r="W198" s="253"/>
      <c r="X198" s="253"/>
      <c r="Y198" s="253"/>
      <c r="Z198" s="253"/>
      <c r="AA198" s="253"/>
      <c r="AB198" s="253"/>
      <c r="AC198" s="253"/>
      <c r="AD198" s="253"/>
      <c r="AE198" s="253"/>
      <c r="AF198" s="253"/>
      <c r="AG198" s="253"/>
      <c r="AH198" s="253"/>
      <c r="AI198" s="253"/>
      <c r="AJ198" s="253"/>
      <c r="AK198" s="253"/>
      <c r="AL198" s="253"/>
      <c r="AM198" s="253"/>
      <c r="AN198" s="253"/>
      <c r="AO198" s="253"/>
      <c r="AP198" s="253"/>
      <c r="AQ198" s="253"/>
      <c r="AR198" s="253"/>
      <c r="AS198" s="253"/>
      <c r="AT198" s="253"/>
      <c r="AU198" s="253"/>
      <c r="AV198" s="253"/>
      <c r="AW198" s="253"/>
      <c r="AX198" s="253"/>
      <c r="AY198" s="253"/>
      <c r="AZ198" s="253"/>
      <c r="BA198" s="253"/>
      <c r="BB198" s="253"/>
      <c r="BC198" s="253"/>
      <c r="BD198" s="253"/>
      <c r="BE198" s="253"/>
      <c r="BF198" s="253"/>
      <c r="BG198" s="253"/>
      <c r="BH198" s="253"/>
      <c r="BI198" s="253"/>
      <c r="BJ198" s="253"/>
    </row>
    <row r="199" spans="1:62" ht="24" customHeight="1">
      <c r="A199" s="256" t="s">
        <v>1385</v>
      </c>
      <c r="B199" s="256" t="s">
        <v>1386</v>
      </c>
      <c r="C199" s="257">
        <v>1</v>
      </c>
      <c r="D199" s="254" t="s">
        <v>378</v>
      </c>
      <c r="E199" s="258">
        <f>일위목록!E113</f>
        <v>0</v>
      </c>
      <c r="F199" s="258">
        <f>TRUNC(E199*C199,0)</f>
        <v>0</v>
      </c>
      <c r="G199" s="258">
        <f>일위목록!F113</f>
        <v>0</v>
      </c>
      <c r="H199" s="258"/>
      <c r="I199" s="258"/>
      <c r="J199" s="258"/>
      <c r="K199" s="258"/>
      <c r="L199" s="258"/>
      <c r="M199" s="256"/>
      <c r="N199" s="253" t="s">
        <v>68</v>
      </c>
      <c r="O199" s="253"/>
      <c r="P199" s="253" t="s">
        <v>1387</v>
      </c>
      <c r="Q199" s="253" t="s">
        <v>68</v>
      </c>
      <c r="R199" s="253" t="s">
        <v>1388</v>
      </c>
      <c r="S199" s="253"/>
      <c r="T199" s="253" t="s">
        <v>1129</v>
      </c>
      <c r="U199" s="253"/>
      <c r="V199" s="253"/>
      <c r="W199" s="253"/>
      <c r="X199" s="253"/>
      <c r="Y199" s="253"/>
      <c r="Z199" s="253"/>
      <c r="AA199" s="253"/>
      <c r="AB199" s="253"/>
      <c r="AC199" s="253"/>
      <c r="AD199" s="253"/>
      <c r="AE199" s="253"/>
      <c r="AF199" s="253"/>
      <c r="AG199" s="253"/>
      <c r="AH199" s="253"/>
      <c r="AI199" s="253"/>
      <c r="AJ199" s="253"/>
      <c r="AK199" s="253"/>
      <c r="AL199" s="253"/>
      <c r="AM199" s="253"/>
      <c r="AN199" s="253"/>
      <c r="AO199" s="253"/>
      <c r="AP199" s="253"/>
      <c r="AQ199" s="253"/>
      <c r="AR199" s="253"/>
      <c r="AS199" s="253"/>
      <c r="AT199" s="253"/>
      <c r="AU199" s="253"/>
      <c r="AV199" s="253"/>
      <c r="AW199" s="253"/>
      <c r="AX199" s="253"/>
      <c r="AY199" s="253"/>
      <c r="AZ199" s="253"/>
      <c r="BA199" s="253"/>
      <c r="BB199" s="253"/>
      <c r="BC199" s="253"/>
      <c r="BD199" s="253"/>
      <c r="BE199" s="253"/>
      <c r="BF199" s="253"/>
      <c r="BG199" s="253"/>
      <c r="BH199" s="253"/>
      <c r="BI199" s="253"/>
      <c r="BJ199" s="263" t="str">
        <f>HYPERLINK("#일위대가목록!A113","_0080 →")</f>
        <v>_0080 →</v>
      </c>
    </row>
    <row r="200" spans="1:62" ht="24" customHeight="1">
      <c r="A200" s="256" t="s">
        <v>68</v>
      </c>
      <c r="B200" s="256" t="s">
        <v>68</v>
      </c>
      <c r="C200" s="264"/>
      <c r="D200" s="254" t="s">
        <v>68</v>
      </c>
      <c r="E200" s="254"/>
      <c r="F200" s="258">
        <v>0</v>
      </c>
      <c r="G200" s="254"/>
      <c r="H200" s="258"/>
      <c r="I200" s="254"/>
      <c r="J200" s="258"/>
      <c r="K200" s="258"/>
      <c r="L200" s="258"/>
      <c r="M200" s="256"/>
      <c r="N200" s="253" t="s">
        <v>68</v>
      </c>
      <c r="O200" s="253"/>
      <c r="P200" s="253" t="s">
        <v>1389</v>
      </c>
      <c r="Q200" s="253" t="s">
        <v>68</v>
      </c>
      <c r="R200" s="253" t="s">
        <v>68</v>
      </c>
      <c r="S200" s="253"/>
      <c r="T200" s="253"/>
      <c r="U200" s="253"/>
      <c r="V200" s="253"/>
      <c r="W200" s="253"/>
      <c r="X200" s="253"/>
      <c r="Y200" s="253"/>
      <c r="Z200" s="253"/>
      <c r="AA200" s="253"/>
      <c r="AB200" s="253"/>
      <c r="AC200" s="253"/>
      <c r="AD200" s="253"/>
      <c r="AE200" s="253"/>
      <c r="AF200" s="253"/>
      <c r="AG200" s="253"/>
      <c r="AH200" s="253"/>
      <c r="AI200" s="253"/>
      <c r="AJ200" s="253"/>
      <c r="AK200" s="253"/>
      <c r="AL200" s="253"/>
      <c r="AM200" s="253"/>
      <c r="AN200" s="253"/>
      <c r="AO200" s="253"/>
      <c r="AP200" s="253"/>
      <c r="AQ200" s="253"/>
      <c r="AR200" s="253"/>
      <c r="AS200" s="253"/>
      <c r="AT200" s="253"/>
      <c r="AU200" s="253"/>
      <c r="AV200" s="253"/>
      <c r="AW200" s="253"/>
      <c r="AX200" s="253"/>
      <c r="AY200" s="253"/>
      <c r="AZ200" s="253"/>
      <c r="BA200" s="253"/>
      <c r="BB200" s="253"/>
      <c r="BC200" s="253"/>
      <c r="BD200" s="253"/>
      <c r="BE200" s="253"/>
      <c r="BF200" s="253"/>
      <c r="BG200" s="253"/>
      <c r="BH200" s="253"/>
      <c r="BI200" s="253"/>
      <c r="BJ200" s="253"/>
    </row>
    <row r="201" spans="1:62" ht="24" customHeight="1">
      <c r="A201" s="273" t="s">
        <v>1255</v>
      </c>
      <c r="B201" s="273" t="s">
        <v>68</v>
      </c>
      <c r="C201" s="274">
        <v>1</v>
      </c>
      <c r="D201" s="275" t="s">
        <v>1094</v>
      </c>
      <c r="E201" s="275"/>
      <c r="F201" s="276">
        <f>TRUNC(F202+F203+F204+F205+F206+F207+F208,0)</f>
        <v>0</v>
      </c>
      <c r="G201" s="275"/>
      <c r="H201" s="276"/>
      <c r="I201" s="275"/>
      <c r="J201" s="276"/>
      <c r="K201" s="275"/>
      <c r="L201" s="276"/>
      <c r="M201" s="273"/>
      <c r="N201" s="253" t="s">
        <v>68</v>
      </c>
      <c r="O201" s="253" t="s">
        <v>1256</v>
      </c>
      <c r="P201" s="253"/>
      <c r="Q201" s="253"/>
      <c r="R201" s="253"/>
      <c r="S201" s="253"/>
      <c r="T201" s="253"/>
      <c r="U201" s="253"/>
      <c r="V201" s="253"/>
      <c r="W201" s="253"/>
      <c r="X201" s="253"/>
      <c r="Y201" s="253"/>
      <c r="Z201" s="253"/>
      <c r="AA201" s="253"/>
      <c r="AB201" s="253"/>
      <c r="AC201" s="253"/>
      <c r="AD201" s="253"/>
      <c r="AE201" s="253"/>
      <c r="AF201" s="253"/>
      <c r="AG201" s="253"/>
      <c r="AH201" s="253"/>
      <c r="AI201" s="253"/>
      <c r="AJ201" s="253"/>
      <c r="AK201" s="253"/>
      <c r="AL201" s="253"/>
      <c r="AM201" s="253"/>
      <c r="AN201" s="253"/>
      <c r="AO201" s="253"/>
      <c r="AP201" s="253"/>
      <c r="AQ201" s="253"/>
      <c r="AR201" s="253"/>
      <c r="AS201" s="253"/>
      <c r="AT201" s="253"/>
      <c r="AU201" s="253"/>
      <c r="AV201" s="253"/>
      <c r="AW201" s="253"/>
      <c r="AX201" s="253"/>
      <c r="AY201" s="253"/>
      <c r="AZ201" s="253"/>
      <c r="BA201" s="253"/>
      <c r="BB201" s="253"/>
      <c r="BC201" s="253"/>
      <c r="BD201" s="253"/>
      <c r="BE201" s="253"/>
      <c r="BF201" s="253"/>
      <c r="BG201" s="253"/>
      <c r="BH201" s="253"/>
      <c r="BI201" s="253"/>
      <c r="BJ201" s="253"/>
    </row>
    <row r="202" spans="1:62" ht="24" customHeight="1">
      <c r="A202" s="256" t="s">
        <v>1390</v>
      </c>
      <c r="B202" s="256" t="s">
        <v>1391</v>
      </c>
      <c r="C202" s="257">
        <v>2</v>
      </c>
      <c r="D202" s="254" t="s">
        <v>149</v>
      </c>
      <c r="E202" s="258">
        <f>일위목록!E114</f>
        <v>0</v>
      </c>
      <c r="F202" s="258">
        <f t="shared" ref="F202:F208" si="12">TRUNC(E202*C202,0)</f>
        <v>0</v>
      </c>
      <c r="G202" s="258">
        <f>일위목록!F114</f>
        <v>0</v>
      </c>
      <c r="H202" s="258"/>
      <c r="I202" s="258"/>
      <c r="J202" s="258"/>
      <c r="K202" s="258"/>
      <c r="L202" s="258"/>
      <c r="M202" s="256"/>
      <c r="N202" s="253" t="s">
        <v>68</v>
      </c>
      <c r="O202" s="253"/>
      <c r="P202" s="253" t="s">
        <v>1095</v>
      </c>
      <c r="Q202" s="253" t="s">
        <v>68</v>
      </c>
      <c r="R202" s="253" t="s">
        <v>1392</v>
      </c>
      <c r="S202" s="253"/>
      <c r="T202" s="253" t="s">
        <v>1129</v>
      </c>
      <c r="U202" s="253"/>
      <c r="V202" s="253"/>
      <c r="W202" s="253"/>
      <c r="X202" s="253"/>
      <c r="Y202" s="253"/>
      <c r="Z202" s="253"/>
      <c r="AA202" s="253"/>
      <c r="AB202" s="253"/>
      <c r="AC202" s="253"/>
      <c r="AD202" s="253"/>
      <c r="AE202" s="253"/>
      <c r="AF202" s="253"/>
      <c r="AG202" s="253"/>
      <c r="AH202" s="253"/>
      <c r="AI202" s="253"/>
      <c r="AJ202" s="253"/>
      <c r="AK202" s="253"/>
      <c r="AL202" s="253"/>
      <c r="AM202" s="253"/>
      <c r="AN202" s="253"/>
      <c r="AO202" s="253"/>
      <c r="AP202" s="253"/>
      <c r="AQ202" s="253"/>
      <c r="AR202" s="253"/>
      <c r="AS202" s="253"/>
      <c r="AT202" s="253"/>
      <c r="AU202" s="253"/>
      <c r="AV202" s="253"/>
      <c r="AW202" s="253"/>
      <c r="AX202" s="253"/>
      <c r="AY202" s="253"/>
      <c r="AZ202" s="253"/>
      <c r="BA202" s="253"/>
      <c r="BB202" s="253"/>
      <c r="BC202" s="253"/>
      <c r="BD202" s="253"/>
      <c r="BE202" s="253"/>
      <c r="BF202" s="253"/>
      <c r="BG202" s="253"/>
      <c r="BH202" s="253"/>
      <c r="BI202" s="253"/>
      <c r="BJ202" s="263" t="str">
        <f>HYPERLINK("#일위대가목록!A114","S8-2-4/2 →")</f>
        <v>S8-2-4/2 →</v>
      </c>
    </row>
    <row r="203" spans="1:62" ht="24" customHeight="1">
      <c r="A203" s="256" t="s">
        <v>1390</v>
      </c>
      <c r="B203" s="256" t="s">
        <v>1393</v>
      </c>
      <c r="C203" s="257">
        <v>1</v>
      </c>
      <c r="D203" s="254" t="s">
        <v>149</v>
      </c>
      <c r="E203" s="258">
        <f>일위목록!E115</f>
        <v>0</v>
      </c>
      <c r="F203" s="258">
        <f t="shared" si="12"/>
        <v>0</v>
      </c>
      <c r="G203" s="258">
        <f>일위목록!F115</f>
        <v>0</v>
      </c>
      <c r="H203" s="258"/>
      <c r="I203" s="258"/>
      <c r="J203" s="258"/>
      <c r="K203" s="258"/>
      <c r="L203" s="258"/>
      <c r="M203" s="256"/>
      <c r="N203" s="253" t="s">
        <v>68</v>
      </c>
      <c r="O203" s="253"/>
      <c r="P203" s="253" t="s">
        <v>1098</v>
      </c>
      <c r="Q203" s="253" t="s">
        <v>68</v>
      </c>
      <c r="R203" s="253" t="s">
        <v>1394</v>
      </c>
      <c r="S203" s="253"/>
      <c r="T203" s="253" t="s">
        <v>1129</v>
      </c>
      <c r="U203" s="253"/>
      <c r="V203" s="253"/>
      <c r="W203" s="253"/>
      <c r="X203" s="253"/>
      <c r="Y203" s="253"/>
      <c r="Z203" s="253"/>
      <c r="AA203" s="253"/>
      <c r="AB203" s="253"/>
      <c r="AC203" s="253"/>
      <c r="AD203" s="253"/>
      <c r="AE203" s="253"/>
      <c r="AF203" s="253"/>
      <c r="AG203" s="253"/>
      <c r="AH203" s="253"/>
      <c r="AI203" s="253"/>
      <c r="AJ203" s="253"/>
      <c r="AK203" s="253"/>
      <c r="AL203" s="253"/>
      <c r="AM203" s="253"/>
      <c r="AN203" s="253"/>
      <c r="AO203" s="253"/>
      <c r="AP203" s="253"/>
      <c r="AQ203" s="253"/>
      <c r="AR203" s="253"/>
      <c r="AS203" s="253"/>
      <c r="AT203" s="253"/>
      <c r="AU203" s="253"/>
      <c r="AV203" s="253"/>
      <c r="AW203" s="253"/>
      <c r="AX203" s="253"/>
      <c r="AY203" s="253"/>
      <c r="AZ203" s="253"/>
      <c r="BA203" s="253"/>
      <c r="BB203" s="253"/>
      <c r="BC203" s="253"/>
      <c r="BD203" s="253"/>
      <c r="BE203" s="253"/>
      <c r="BF203" s="253"/>
      <c r="BG203" s="253"/>
      <c r="BH203" s="253"/>
      <c r="BI203" s="253"/>
      <c r="BJ203" s="263" t="str">
        <f>HYPERLINK("#일위대가목록!A115","S8-2-4/3 →")</f>
        <v>S8-2-4/3 →</v>
      </c>
    </row>
    <row r="204" spans="1:62" ht="24" customHeight="1">
      <c r="A204" s="256" t="s">
        <v>1395</v>
      </c>
      <c r="B204" s="256" t="s">
        <v>1396</v>
      </c>
      <c r="C204" s="257">
        <v>1</v>
      </c>
      <c r="D204" s="254" t="s">
        <v>149</v>
      </c>
      <c r="E204" s="258">
        <f>일위목록!E116</f>
        <v>0</v>
      </c>
      <c r="F204" s="258">
        <f t="shared" si="12"/>
        <v>0</v>
      </c>
      <c r="G204" s="258">
        <f>일위목록!F116</f>
        <v>0</v>
      </c>
      <c r="H204" s="258"/>
      <c r="I204" s="258"/>
      <c r="J204" s="258"/>
      <c r="K204" s="258"/>
      <c r="L204" s="258"/>
      <c r="M204" s="256"/>
      <c r="N204" s="253" t="s">
        <v>68</v>
      </c>
      <c r="O204" s="253"/>
      <c r="P204" s="253" t="s">
        <v>1101</v>
      </c>
      <c r="Q204" s="253" t="s">
        <v>68</v>
      </c>
      <c r="R204" s="253" t="s">
        <v>1397</v>
      </c>
      <c r="S204" s="253"/>
      <c r="T204" s="253" t="s">
        <v>1129</v>
      </c>
      <c r="U204" s="253"/>
      <c r="V204" s="253"/>
      <c r="W204" s="253"/>
      <c r="X204" s="253"/>
      <c r="Y204" s="253"/>
      <c r="Z204" s="253"/>
      <c r="AA204" s="253"/>
      <c r="AB204" s="253"/>
      <c r="AC204" s="253"/>
      <c r="AD204" s="253"/>
      <c r="AE204" s="253"/>
      <c r="AF204" s="253"/>
      <c r="AG204" s="253"/>
      <c r="AH204" s="253"/>
      <c r="AI204" s="253"/>
      <c r="AJ204" s="253"/>
      <c r="AK204" s="253"/>
      <c r="AL204" s="253"/>
      <c r="AM204" s="253"/>
      <c r="AN204" s="253"/>
      <c r="AO204" s="253"/>
      <c r="AP204" s="253"/>
      <c r="AQ204" s="253"/>
      <c r="AR204" s="253"/>
      <c r="AS204" s="253"/>
      <c r="AT204" s="253"/>
      <c r="AU204" s="253"/>
      <c r="AV204" s="253"/>
      <c r="AW204" s="253"/>
      <c r="AX204" s="253"/>
      <c r="AY204" s="253"/>
      <c r="AZ204" s="253"/>
      <c r="BA204" s="253"/>
      <c r="BB204" s="253"/>
      <c r="BC204" s="253"/>
      <c r="BD204" s="253"/>
      <c r="BE204" s="253"/>
      <c r="BF204" s="253"/>
      <c r="BG204" s="253"/>
      <c r="BH204" s="253"/>
      <c r="BI204" s="253"/>
      <c r="BJ204" s="263" t="str">
        <f>HYPERLINK("#일위대가목록!A116","S8-2-4/5 →")</f>
        <v>S8-2-4/5 →</v>
      </c>
    </row>
    <row r="205" spans="1:62" ht="24" customHeight="1">
      <c r="A205" s="256" t="s">
        <v>1398</v>
      </c>
      <c r="B205" s="256" t="s">
        <v>1399</v>
      </c>
      <c r="C205" s="257">
        <v>60</v>
      </c>
      <c r="D205" s="254" t="s">
        <v>1400</v>
      </c>
      <c r="E205" s="258">
        <f>자재조서!E26</f>
        <v>0</v>
      </c>
      <c r="F205" s="258">
        <f t="shared" si="12"/>
        <v>0</v>
      </c>
      <c r="G205" s="258">
        <v>0</v>
      </c>
      <c r="H205" s="258"/>
      <c r="I205" s="258"/>
      <c r="J205" s="258"/>
      <c r="K205" s="258"/>
      <c r="L205" s="258"/>
      <c r="M205" s="256"/>
      <c r="N205" s="253" t="s">
        <v>68</v>
      </c>
      <c r="O205" s="253"/>
      <c r="P205" s="253" t="s">
        <v>1107</v>
      </c>
      <c r="Q205" s="253" t="s">
        <v>68</v>
      </c>
      <c r="R205" s="253" t="s">
        <v>1401</v>
      </c>
      <c r="S205" s="253"/>
      <c r="T205" s="253"/>
      <c r="U205" s="253"/>
      <c r="V205" s="253"/>
      <c r="W205" s="253"/>
      <c r="X205" s="253"/>
      <c r="Y205" s="253"/>
      <c r="Z205" s="253"/>
      <c r="AA205" s="253"/>
      <c r="AB205" s="253"/>
      <c r="AC205" s="253"/>
      <c r="AD205" s="253"/>
      <c r="AE205" s="253"/>
      <c r="AF205" s="253"/>
      <c r="AG205" s="253"/>
      <c r="AH205" s="253"/>
      <c r="AI205" s="253"/>
      <c r="AJ205" s="253"/>
      <c r="AK205" s="253"/>
      <c r="AL205" s="253"/>
      <c r="AM205" s="253"/>
      <c r="AN205" s="253"/>
      <c r="AO205" s="253"/>
      <c r="AP205" s="253"/>
      <c r="AQ205" s="253"/>
      <c r="AR205" s="253"/>
      <c r="AS205" s="253"/>
      <c r="AT205" s="253"/>
      <c r="AU205" s="253"/>
      <c r="AV205" s="253"/>
      <c r="AW205" s="253"/>
      <c r="AX205" s="253"/>
      <c r="AY205" s="253"/>
      <c r="AZ205" s="253"/>
      <c r="BA205" s="253"/>
      <c r="BB205" s="253"/>
      <c r="BC205" s="253"/>
      <c r="BD205" s="253"/>
      <c r="BE205" s="253"/>
      <c r="BF205" s="253"/>
      <c r="BG205" s="253"/>
      <c r="BH205" s="253"/>
      <c r="BI205" s="253"/>
      <c r="BJ205" s="263" t="str">
        <f>HYPERLINK("#자재조서!A26","M5103009 →")</f>
        <v>M5103009 →</v>
      </c>
    </row>
    <row r="206" spans="1:62" ht="24" customHeight="1">
      <c r="A206" s="256" t="s">
        <v>1402</v>
      </c>
      <c r="B206" s="256" t="s">
        <v>1403</v>
      </c>
      <c r="C206" s="257">
        <v>16</v>
      </c>
      <c r="D206" s="254" t="s">
        <v>437</v>
      </c>
      <c r="E206" s="258">
        <f>자재조서!E27</f>
        <v>0</v>
      </c>
      <c r="F206" s="258">
        <f t="shared" si="12"/>
        <v>0</v>
      </c>
      <c r="G206" s="258">
        <v>0</v>
      </c>
      <c r="H206" s="258"/>
      <c r="I206" s="258"/>
      <c r="J206" s="258"/>
      <c r="K206" s="258"/>
      <c r="L206" s="258"/>
      <c r="M206" s="256"/>
      <c r="N206" s="253" t="s">
        <v>68</v>
      </c>
      <c r="O206" s="253"/>
      <c r="P206" s="253" t="s">
        <v>1108</v>
      </c>
      <c r="Q206" s="253" t="s">
        <v>68</v>
      </c>
      <c r="R206" s="253" t="s">
        <v>1404</v>
      </c>
      <c r="S206" s="253"/>
      <c r="T206" s="253"/>
      <c r="U206" s="253"/>
      <c r="V206" s="253"/>
      <c r="W206" s="253"/>
      <c r="X206" s="253"/>
      <c r="Y206" s="253"/>
      <c r="Z206" s="253"/>
      <c r="AA206" s="253"/>
      <c r="AB206" s="253"/>
      <c r="AC206" s="253"/>
      <c r="AD206" s="253"/>
      <c r="AE206" s="253"/>
      <c r="AF206" s="253"/>
      <c r="AG206" s="253"/>
      <c r="AH206" s="253"/>
      <c r="AI206" s="253"/>
      <c r="AJ206" s="253"/>
      <c r="AK206" s="253"/>
      <c r="AL206" s="253"/>
      <c r="AM206" s="253"/>
      <c r="AN206" s="253"/>
      <c r="AO206" s="253"/>
      <c r="AP206" s="253"/>
      <c r="AQ206" s="253"/>
      <c r="AR206" s="253"/>
      <c r="AS206" s="253"/>
      <c r="AT206" s="253"/>
      <c r="AU206" s="253"/>
      <c r="AV206" s="253"/>
      <c r="AW206" s="253"/>
      <c r="AX206" s="253"/>
      <c r="AY206" s="253"/>
      <c r="AZ206" s="253"/>
      <c r="BA206" s="253"/>
      <c r="BB206" s="253"/>
      <c r="BC206" s="253"/>
      <c r="BD206" s="253"/>
      <c r="BE206" s="253"/>
      <c r="BF206" s="253"/>
      <c r="BG206" s="253"/>
      <c r="BH206" s="253"/>
      <c r="BI206" s="253"/>
      <c r="BJ206" s="263" t="str">
        <f>HYPERLINK("#자재조서!A27","M5106011 →")</f>
        <v>M5106011 →</v>
      </c>
    </row>
    <row r="207" spans="1:62" ht="24" customHeight="1">
      <c r="A207" s="256" t="s">
        <v>1405</v>
      </c>
      <c r="B207" s="256" t="s">
        <v>1403</v>
      </c>
      <c r="C207" s="257">
        <v>16</v>
      </c>
      <c r="D207" s="254" t="s">
        <v>437</v>
      </c>
      <c r="E207" s="258">
        <f>자재조서!E28</f>
        <v>0</v>
      </c>
      <c r="F207" s="258">
        <f t="shared" si="12"/>
        <v>0</v>
      </c>
      <c r="G207" s="258">
        <v>0</v>
      </c>
      <c r="H207" s="258"/>
      <c r="I207" s="258"/>
      <c r="J207" s="258"/>
      <c r="K207" s="258"/>
      <c r="L207" s="258"/>
      <c r="M207" s="256"/>
      <c r="N207" s="253" t="s">
        <v>68</v>
      </c>
      <c r="O207" s="253"/>
      <c r="P207" s="253" t="s">
        <v>1109</v>
      </c>
      <c r="Q207" s="253" t="s">
        <v>68</v>
      </c>
      <c r="R207" s="253" t="s">
        <v>1406</v>
      </c>
      <c r="S207" s="253"/>
      <c r="T207" s="253"/>
      <c r="U207" s="253"/>
      <c r="V207" s="253"/>
      <c r="W207" s="253"/>
      <c r="X207" s="253"/>
      <c r="Y207" s="253"/>
      <c r="Z207" s="253"/>
      <c r="AA207" s="253"/>
      <c r="AB207" s="253"/>
      <c r="AC207" s="253"/>
      <c r="AD207" s="253"/>
      <c r="AE207" s="253"/>
      <c r="AF207" s="253"/>
      <c r="AG207" s="253"/>
      <c r="AH207" s="253"/>
      <c r="AI207" s="253"/>
      <c r="AJ207" s="253"/>
      <c r="AK207" s="253"/>
      <c r="AL207" s="253"/>
      <c r="AM207" s="253"/>
      <c r="AN207" s="253"/>
      <c r="AO207" s="253"/>
      <c r="AP207" s="253"/>
      <c r="AQ207" s="253"/>
      <c r="AR207" s="253"/>
      <c r="AS207" s="253"/>
      <c r="AT207" s="253"/>
      <c r="AU207" s="253"/>
      <c r="AV207" s="253"/>
      <c r="AW207" s="253"/>
      <c r="AX207" s="253"/>
      <c r="AY207" s="253"/>
      <c r="AZ207" s="253"/>
      <c r="BA207" s="253"/>
      <c r="BB207" s="253"/>
      <c r="BC207" s="253"/>
      <c r="BD207" s="253"/>
      <c r="BE207" s="253"/>
      <c r="BF207" s="253"/>
      <c r="BG207" s="253"/>
      <c r="BH207" s="253"/>
      <c r="BI207" s="253"/>
      <c r="BJ207" s="263" t="str">
        <f>HYPERLINK("#자재조서!A28","M5115011 →")</f>
        <v>M5115011 →</v>
      </c>
    </row>
    <row r="208" spans="1:62" ht="24" customHeight="1">
      <c r="A208" s="256" t="s">
        <v>1407</v>
      </c>
      <c r="B208" s="256" t="s">
        <v>1408</v>
      </c>
      <c r="C208" s="257">
        <v>15</v>
      </c>
      <c r="D208" s="254" t="s">
        <v>378</v>
      </c>
      <c r="E208" s="258">
        <f>일위목록!E117</f>
        <v>0</v>
      </c>
      <c r="F208" s="258">
        <f t="shared" si="12"/>
        <v>0</v>
      </c>
      <c r="G208" s="258">
        <f>일위목록!F117</f>
        <v>0</v>
      </c>
      <c r="H208" s="258"/>
      <c r="I208" s="258"/>
      <c r="J208" s="258"/>
      <c r="K208" s="258"/>
      <c r="L208" s="258"/>
      <c r="M208" s="256"/>
      <c r="N208" s="253" t="s">
        <v>68</v>
      </c>
      <c r="O208" s="253"/>
      <c r="P208" s="253" t="s">
        <v>1110</v>
      </c>
      <c r="Q208" s="253" t="s">
        <v>68</v>
      </c>
      <c r="R208" s="253" t="s">
        <v>1409</v>
      </c>
      <c r="S208" s="253"/>
      <c r="T208" s="253" t="s">
        <v>1129</v>
      </c>
      <c r="U208" s="253"/>
      <c r="V208" s="253"/>
      <c r="W208" s="253"/>
      <c r="X208" s="253"/>
      <c r="Y208" s="253"/>
      <c r="Z208" s="253"/>
      <c r="AA208" s="253"/>
      <c r="AB208" s="253"/>
      <c r="AC208" s="253"/>
      <c r="AD208" s="253"/>
      <c r="AE208" s="253"/>
      <c r="AF208" s="253"/>
      <c r="AG208" s="253"/>
      <c r="AH208" s="253"/>
      <c r="AI208" s="253"/>
      <c r="AJ208" s="253"/>
      <c r="AK208" s="253"/>
      <c r="AL208" s="253"/>
      <c r="AM208" s="253"/>
      <c r="AN208" s="253"/>
      <c r="AO208" s="253"/>
      <c r="AP208" s="253"/>
      <c r="AQ208" s="253"/>
      <c r="AR208" s="253"/>
      <c r="AS208" s="253"/>
      <c r="AT208" s="253"/>
      <c r="AU208" s="253"/>
      <c r="AV208" s="253"/>
      <c r="AW208" s="253"/>
      <c r="AX208" s="253"/>
      <c r="AY208" s="253"/>
      <c r="AZ208" s="253"/>
      <c r="BA208" s="253"/>
      <c r="BB208" s="253"/>
      <c r="BC208" s="253"/>
      <c r="BD208" s="253"/>
      <c r="BE208" s="253"/>
      <c r="BF208" s="253"/>
      <c r="BG208" s="253"/>
      <c r="BH208" s="253"/>
      <c r="BI208" s="253"/>
      <c r="BJ208" s="263" t="str">
        <f>HYPERLINK("#일위대가목록!A117","S1-2-1/4 →")</f>
        <v>S1-2-1/4 →</v>
      </c>
    </row>
    <row r="209" spans="1:62" ht="24" customHeight="1">
      <c r="A209" s="256" t="s">
        <v>68</v>
      </c>
      <c r="B209" s="256" t="s">
        <v>68</v>
      </c>
      <c r="C209" s="264"/>
      <c r="D209" s="254" t="s">
        <v>68</v>
      </c>
      <c r="E209" s="254"/>
      <c r="F209" s="258">
        <v>0</v>
      </c>
      <c r="G209" s="254"/>
      <c r="H209" s="258"/>
      <c r="I209" s="254"/>
      <c r="J209" s="258"/>
      <c r="K209" s="258"/>
      <c r="L209" s="258"/>
      <c r="M209" s="256"/>
      <c r="N209" s="253" t="s">
        <v>68</v>
      </c>
      <c r="O209" s="253"/>
      <c r="P209" s="253" t="s">
        <v>1111</v>
      </c>
      <c r="Q209" s="253" t="s">
        <v>68</v>
      </c>
      <c r="R209" s="253" t="s">
        <v>68</v>
      </c>
      <c r="S209" s="253"/>
      <c r="T209" s="253"/>
      <c r="U209" s="253"/>
      <c r="V209" s="253"/>
      <c r="W209" s="253"/>
      <c r="X209" s="253"/>
      <c r="Y209" s="253"/>
      <c r="Z209" s="253"/>
      <c r="AA209" s="253"/>
      <c r="AB209" s="253"/>
      <c r="AC209" s="253"/>
      <c r="AD209" s="253"/>
      <c r="AE209" s="253"/>
      <c r="AF209" s="253"/>
      <c r="AG209" s="253"/>
      <c r="AH209" s="253"/>
      <c r="AI209" s="253"/>
      <c r="AJ209" s="253"/>
      <c r="AK209" s="253"/>
      <c r="AL209" s="253"/>
      <c r="AM209" s="253"/>
      <c r="AN209" s="253"/>
      <c r="AO209" s="253"/>
      <c r="AP209" s="253"/>
      <c r="AQ209" s="253"/>
      <c r="AR209" s="253"/>
      <c r="AS209" s="253"/>
      <c r="AT209" s="253"/>
      <c r="AU209" s="253"/>
      <c r="AV209" s="253"/>
      <c r="AW209" s="253"/>
      <c r="AX209" s="253"/>
      <c r="AY209" s="253"/>
      <c r="AZ209" s="253"/>
      <c r="BA209" s="253"/>
      <c r="BB209" s="253"/>
      <c r="BC209" s="253"/>
      <c r="BD209" s="253"/>
      <c r="BE209" s="253"/>
      <c r="BF209" s="253"/>
      <c r="BG209" s="253"/>
      <c r="BH209" s="253"/>
      <c r="BI209" s="253"/>
      <c r="BJ209" s="253"/>
    </row>
    <row r="210" spans="1:62" ht="24" customHeight="1">
      <c r="A210" s="273" t="s">
        <v>1257</v>
      </c>
      <c r="B210" s="273" t="s">
        <v>68</v>
      </c>
      <c r="C210" s="274">
        <v>1</v>
      </c>
      <c r="D210" s="275" t="s">
        <v>1094</v>
      </c>
      <c r="E210" s="275"/>
      <c r="F210" s="276">
        <f>TRUNC(F211+F212+F213+F214+F215+F216+F217+F218+F219+F220+F221+F222+F223+F224+F225+F226+F227+F228+F229+F230+F231+F232+F233+F234+F235+F236+F237,0)</f>
        <v>0</v>
      </c>
      <c r="G210" s="275"/>
      <c r="H210" s="276"/>
      <c r="I210" s="275"/>
      <c r="J210" s="276"/>
      <c r="K210" s="275"/>
      <c r="L210" s="276"/>
      <c r="M210" s="273"/>
      <c r="N210" s="253" t="s">
        <v>68</v>
      </c>
      <c r="O210" s="253" t="s">
        <v>1258</v>
      </c>
      <c r="P210" s="253"/>
      <c r="Q210" s="253"/>
      <c r="R210" s="253"/>
      <c r="S210" s="253"/>
      <c r="T210" s="253"/>
      <c r="U210" s="253"/>
      <c r="V210" s="253"/>
      <c r="W210" s="253"/>
      <c r="X210" s="253"/>
      <c r="Y210" s="253"/>
      <c r="Z210" s="253"/>
      <c r="AA210" s="253"/>
      <c r="AB210" s="253"/>
      <c r="AC210" s="253"/>
      <c r="AD210" s="253"/>
      <c r="AE210" s="253"/>
      <c r="AF210" s="253"/>
      <c r="AG210" s="253"/>
      <c r="AH210" s="253"/>
      <c r="AI210" s="253"/>
      <c r="AJ210" s="253"/>
      <c r="AK210" s="253"/>
      <c r="AL210" s="253"/>
      <c r="AM210" s="253"/>
      <c r="AN210" s="253"/>
      <c r="AO210" s="253"/>
      <c r="AP210" s="253"/>
      <c r="AQ210" s="253"/>
      <c r="AR210" s="253"/>
      <c r="AS210" s="253"/>
      <c r="AT210" s="253"/>
      <c r="AU210" s="253"/>
      <c r="AV210" s="253"/>
      <c r="AW210" s="253"/>
      <c r="AX210" s="253"/>
      <c r="AY210" s="253"/>
      <c r="AZ210" s="253"/>
      <c r="BA210" s="253"/>
      <c r="BB210" s="253"/>
      <c r="BC210" s="253"/>
      <c r="BD210" s="253"/>
      <c r="BE210" s="253"/>
      <c r="BF210" s="253"/>
      <c r="BG210" s="253"/>
      <c r="BH210" s="253"/>
      <c r="BI210" s="253"/>
      <c r="BJ210" s="253"/>
    </row>
    <row r="211" spans="1:62" ht="24" customHeight="1">
      <c r="A211" s="256" t="s">
        <v>1410</v>
      </c>
      <c r="B211" s="256" t="s">
        <v>1411</v>
      </c>
      <c r="C211" s="257">
        <v>1</v>
      </c>
      <c r="D211" s="254" t="s">
        <v>1412</v>
      </c>
      <c r="E211" s="258">
        <f>일위목록!E118</f>
        <v>0</v>
      </c>
      <c r="F211" s="258">
        <f t="shared" ref="F211:F237" si="13">TRUNC(E211*C211,0)</f>
        <v>0</v>
      </c>
      <c r="G211" s="258">
        <f>일위목록!F118</f>
        <v>0</v>
      </c>
      <c r="H211" s="258"/>
      <c r="I211" s="258"/>
      <c r="J211" s="258"/>
      <c r="K211" s="258"/>
      <c r="L211" s="258"/>
      <c r="M211" s="256"/>
      <c r="N211" s="253" t="s">
        <v>68</v>
      </c>
      <c r="O211" s="253"/>
      <c r="P211" s="253" t="s">
        <v>1095</v>
      </c>
      <c r="Q211" s="253" t="s">
        <v>68</v>
      </c>
      <c r="R211" s="253" t="s">
        <v>1413</v>
      </c>
      <c r="S211" s="253"/>
      <c r="T211" s="253" t="s">
        <v>1129</v>
      </c>
      <c r="U211" s="253"/>
      <c r="V211" s="253"/>
      <c r="W211" s="253"/>
      <c r="X211" s="253"/>
      <c r="Y211" s="253"/>
      <c r="Z211" s="253"/>
      <c r="AA211" s="253"/>
      <c r="AB211" s="253"/>
      <c r="AC211" s="253"/>
      <c r="AD211" s="253"/>
      <c r="AE211" s="253"/>
      <c r="AF211" s="253"/>
      <c r="AG211" s="253"/>
      <c r="AH211" s="253"/>
      <c r="AI211" s="253"/>
      <c r="AJ211" s="253"/>
      <c r="AK211" s="253"/>
      <c r="AL211" s="253"/>
      <c r="AM211" s="253"/>
      <c r="AN211" s="253"/>
      <c r="AO211" s="253"/>
      <c r="AP211" s="253"/>
      <c r="AQ211" s="253"/>
      <c r="AR211" s="253"/>
      <c r="AS211" s="253"/>
      <c r="AT211" s="253"/>
      <c r="AU211" s="253"/>
      <c r="AV211" s="253"/>
      <c r="AW211" s="253"/>
      <c r="AX211" s="253"/>
      <c r="AY211" s="253"/>
      <c r="AZ211" s="253"/>
      <c r="BA211" s="253"/>
      <c r="BB211" s="253"/>
      <c r="BC211" s="253"/>
      <c r="BD211" s="253"/>
      <c r="BE211" s="253"/>
      <c r="BF211" s="253"/>
      <c r="BG211" s="253"/>
      <c r="BH211" s="253"/>
      <c r="BI211" s="253"/>
      <c r="BJ211" s="263" t="str">
        <f>HYPERLINK("#일위대가목록!A118","S4-2-2/1 →")</f>
        <v>S4-2-2/1 →</v>
      </c>
    </row>
    <row r="212" spans="1:62" ht="24" customHeight="1">
      <c r="A212" s="256" t="s">
        <v>1410</v>
      </c>
      <c r="B212" s="256" t="s">
        <v>1414</v>
      </c>
      <c r="C212" s="257">
        <v>1</v>
      </c>
      <c r="D212" s="254" t="s">
        <v>1412</v>
      </c>
      <c r="E212" s="258">
        <f>일위목록!E119</f>
        <v>0</v>
      </c>
      <c r="F212" s="258">
        <f t="shared" si="13"/>
        <v>0</v>
      </c>
      <c r="G212" s="258">
        <f>일위목록!F119</f>
        <v>0</v>
      </c>
      <c r="H212" s="258"/>
      <c r="I212" s="258"/>
      <c r="J212" s="258"/>
      <c r="K212" s="258"/>
      <c r="L212" s="258"/>
      <c r="M212" s="256"/>
      <c r="N212" s="253" t="s">
        <v>68</v>
      </c>
      <c r="O212" s="253"/>
      <c r="P212" s="253" t="s">
        <v>1098</v>
      </c>
      <c r="Q212" s="253" t="s">
        <v>68</v>
      </c>
      <c r="R212" s="253" t="s">
        <v>1415</v>
      </c>
      <c r="S212" s="253"/>
      <c r="T212" s="253" t="s">
        <v>1129</v>
      </c>
      <c r="U212" s="253"/>
      <c r="V212" s="253"/>
      <c r="W212" s="253"/>
      <c r="X212" s="253"/>
      <c r="Y212" s="253"/>
      <c r="Z212" s="253"/>
      <c r="AA212" s="253"/>
      <c r="AB212" s="253"/>
      <c r="AC212" s="253"/>
      <c r="AD212" s="253"/>
      <c r="AE212" s="253"/>
      <c r="AF212" s="253"/>
      <c r="AG212" s="253"/>
      <c r="AH212" s="253"/>
      <c r="AI212" s="253"/>
      <c r="AJ212" s="253"/>
      <c r="AK212" s="253"/>
      <c r="AL212" s="253"/>
      <c r="AM212" s="253"/>
      <c r="AN212" s="253"/>
      <c r="AO212" s="253"/>
      <c r="AP212" s="253"/>
      <c r="AQ212" s="253"/>
      <c r="AR212" s="253"/>
      <c r="AS212" s="253"/>
      <c r="AT212" s="253"/>
      <c r="AU212" s="253"/>
      <c r="AV212" s="253"/>
      <c r="AW212" s="253"/>
      <c r="AX212" s="253"/>
      <c r="AY212" s="253"/>
      <c r="AZ212" s="253"/>
      <c r="BA212" s="253"/>
      <c r="BB212" s="253"/>
      <c r="BC212" s="253"/>
      <c r="BD212" s="253"/>
      <c r="BE212" s="253"/>
      <c r="BF212" s="253"/>
      <c r="BG212" s="253"/>
      <c r="BH212" s="253"/>
      <c r="BI212" s="253"/>
      <c r="BJ212" s="263" t="str">
        <f>HYPERLINK("#일위대가목록!A119","S4-2-2/3 →")</f>
        <v>S4-2-2/3 →</v>
      </c>
    </row>
    <row r="213" spans="1:62" ht="24" customHeight="1">
      <c r="A213" s="256" t="s">
        <v>1416</v>
      </c>
      <c r="B213" s="256" t="s">
        <v>1417</v>
      </c>
      <c r="C213" s="257">
        <v>26</v>
      </c>
      <c r="D213" s="254" t="s">
        <v>1033</v>
      </c>
      <c r="E213" s="258">
        <f>자재조서!E54</f>
        <v>0</v>
      </c>
      <c r="F213" s="258">
        <f t="shared" si="13"/>
        <v>0</v>
      </c>
      <c r="G213" s="258">
        <v>0</v>
      </c>
      <c r="H213" s="258"/>
      <c r="I213" s="258"/>
      <c r="J213" s="258"/>
      <c r="K213" s="258"/>
      <c r="L213" s="258"/>
      <c r="M213" s="256"/>
      <c r="N213" s="253" t="s">
        <v>68</v>
      </c>
      <c r="O213" s="253"/>
      <c r="P213" s="253" t="s">
        <v>1101</v>
      </c>
      <c r="Q213" s="253" t="s">
        <v>68</v>
      </c>
      <c r="R213" s="253" t="s">
        <v>1418</v>
      </c>
      <c r="S213" s="253"/>
      <c r="T213" s="253"/>
      <c r="U213" s="253"/>
      <c r="V213" s="253"/>
      <c r="W213" s="253"/>
      <c r="X213" s="253"/>
      <c r="Y213" s="253"/>
      <c r="Z213" s="253"/>
      <c r="AA213" s="253"/>
      <c r="AB213" s="253"/>
      <c r="AC213" s="253"/>
      <c r="AD213" s="253"/>
      <c r="AE213" s="253"/>
      <c r="AF213" s="253"/>
      <c r="AG213" s="253"/>
      <c r="AH213" s="253"/>
      <c r="AI213" s="253"/>
      <c r="AJ213" s="253"/>
      <c r="AK213" s="253"/>
      <c r="AL213" s="253"/>
      <c r="AM213" s="253"/>
      <c r="AN213" s="253"/>
      <c r="AO213" s="253"/>
      <c r="AP213" s="253"/>
      <c r="AQ213" s="253"/>
      <c r="AR213" s="253"/>
      <c r="AS213" s="253"/>
      <c r="AT213" s="253"/>
      <c r="AU213" s="253"/>
      <c r="AV213" s="253"/>
      <c r="AW213" s="253"/>
      <c r="AX213" s="253"/>
      <c r="AY213" s="253"/>
      <c r="AZ213" s="253"/>
      <c r="BA213" s="253"/>
      <c r="BB213" s="253"/>
      <c r="BC213" s="253"/>
      <c r="BD213" s="253"/>
      <c r="BE213" s="253"/>
      <c r="BF213" s="253"/>
      <c r="BG213" s="253"/>
      <c r="BH213" s="253"/>
      <c r="BI213" s="253"/>
      <c r="BJ213" s="263" t="str">
        <f>HYPERLINK("#자재조서!A54","MZZ1011427 →")</f>
        <v>MZZ1011427 →</v>
      </c>
    </row>
    <row r="214" spans="1:62" ht="24" customHeight="1">
      <c r="A214" s="256" t="s">
        <v>1419</v>
      </c>
      <c r="B214" s="256" t="s">
        <v>1417</v>
      </c>
      <c r="C214" s="257">
        <v>4</v>
      </c>
      <c r="D214" s="254" t="s">
        <v>1412</v>
      </c>
      <c r="E214" s="258">
        <f>자재조서!E59</f>
        <v>0</v>
      </c>
      <c r="F214" s="258">
        <f t="shared" si="13"/>
        <v>0</v>
      </c>
      <c r="G214" s="258">
        <v>0</v>
      </c>
      <c r="H214" s="258"/>
      <c r="I214" s="258"/>
      <c r="J214" s="258"/>
      <c r="K214" s="258"/>
      <c r="L214" s="258"/>
      <c r="M214" s="256"/>
      <c r="N214" s="253" t="s">
        <v>68</v>
      </c>
      <c r="O214" s="253"/>
      <c r="P214" s="253" t="s">
        <v>1104</v>
      </c>
      <c r="Q214" s="253" t="s">
        <v>68</v>
      </c>
      <c r="R214" s="253" t="s">
        <v>1420</v>
      </c>
      <c r="S214" s="253"/>
      <c r="T214" s="253"/>
      <c r="U214" s="253"/>
      <c r="V214" s="253"/>
      <c r="W214" s="253"/>
      <c r="X214" s="253"/>
      <c r="Y214" s="253"/>
      <c r="Z214" s="253"/>
      <c r="AA214" s="253"/>
      <c r="AB214" s="253"/>
      <c r="AC214" s="253"/>
      <c r="AD214" s="253"/>
      <c r="AE214" s="253"/>
      <c r="AF214" s="253"/>
      <c r="AG214" s="253"/>
      <c r="AH214" s="253"/>
      <c r="AI214" s="253"/>
      <c r="AJ214" s="253"/>
      <c r="AK214" s="253"/>
      <c r="AL214" s="253"/>
      <c r="AM214" s="253"/>
      <c r="AN214" s="253"/>
      <c r="AO214" s="253"/>
      <c r="AP214" s="253"/>
      <c r="AQ214" s="253"/>
      <c r="AR214" s="253"/>
      <c r="AS214" s="253"/>
      <c r="AT214" s="253"/>
      <c r="AU214" s="253"/>
      <c r="AV214" s="253"/>
      <c r="AW214" s="253"/>
      <c r="AX214" s="253"/>
      <c r="AY214" s="253"/>
      <c r="AZ214" s="253"/>
      <c r="BA214" s="253"/>
      <c r="BB214" s="253"/>
      <c r="BC214" s="253"/>
      <c r="BD214" s="253"/>
      <c r="BE214" s="253"/>
      <c r="BF214" s="253"/>
      <c r="BG214" s="253"/>
      <c r="BH214" s="253"/>
      <c r="BI214" s="253"/>
      <c r="BJ214" s="263" t="str">
        <f>HYPERLINK("#자재조서!A59","MZZ1011523 →")</f>
        <v>MZZ1011523 →</v>
      </c>
    </row>
    <row r="215" spans="1:62" ht="24" customHeight="1">
      <c r="A215" s="256" t="s">
        <v>1421</v>
      </c>
      <c r="B215" s="256" t="s">
        <v>1417</v>
      </c>
      <c r="C215" s="257">
        <v>2</v>
      </c>
      <c r="D215" s="254" t="s">
        <v>1412</v>
      </c>
      <c r="E215" s="258">
        <f>자재조서!E57</f>
        <v>0</v>
      </c>
      <c r="F215" s="258">
        <f t="shared" si="13"/>
        <v>0</v>
      </c>
      <c r="G215" s="258">
        <v>0</v>
      </c>
      <c r="H215" s="258"/>
      <c r="I215" s="258"/>
      <c r="J215" s="258"/>
      <c r="K215" s="258"/>
      <c r="L215" s="258"/>
      <c r="M215" s="256"/>
      <c r="N215" s="253" t="s">
        <v>68</v>
      </c>
      <c r="O215" s="253"/>
      <c r="P215" s="253" t="s">
        <v>1107</v>
      </c>
      <c r="Q215" s="253" t="s">
        <v>68</v>
      </c>
      <c r="R215" s="253" t="s">
        <v>1422</v>
      </c>
      <c r="S215" s="253"/>
      <c r="T215" s="253"/>
      <c r="U215" s="253"/>
      <c r="V215" s="253"/>
      <c r="W215" s="253"/>
      <c r="X215" s="253"/>
      <c r="Y215" s="253"/>
      <c r="Z215" s="253"/>
      <c r="AA215" s="253"/>
      <c r="AB215" s="253"/>
      <c r="AC215" s="253"/>
      <c r="AD215" s="253"/>
      <c r="AE215" s="253"/>
      <c r="AF215" s="253"/>
      <c r="AG215" s="253"/>
      <c r="AH215" s="253"/>
      <c r="AI215" s="253"/>
      <c r="AJ215" s="253"/>
      <c r="AK215" s="253"/>
      <c r="AL215" s="253"/>
      <c r="AM215" s="253"/>
      <c r="AN215" s="253"/>
      <c r="AO215" s="253"/>
      <c r="AP215" s="253"/>
      <c r="AQ215" s="253"/>
      <c r="AR215" s="253"/>
      <c r="AS215" s="253"/>
      <c r="AT215" s="253"/>
      <c r="AU215" s="253"/>
      <c r="AV215" s="253"/>
      <c r="AW215" s="253"/>
      <c r="AX215" s="253"/>
      <c r="AY215" s="253"/>
      <c r="AZ215" s="253"/>
      <c r="BA215" s="253"/>
      <c r="BB215" s="253"/>
      <c r="BC215" s="253"/>
      <c r="BD215" s="253"/>
      <c r="BE215" s="253"/>
      <c r="BF215" s="253"/>
      <c r="BG215" s="253"/>
      <c r="BH215" s="253"/>
      <c r="BI215" s="253"/>
      <c r="BJ215" s="263" t="str">
        <f>HYPERLINK("#자재조서!A57","MZZ1011473 →")</f>
        <v>MZZ1011473 →</v>
      </c>
    </row>
    <row r="216" spans="1:62" ht="24" customHeight="1">
      <c r="A216" s="256" t="s">
        <v>1423</v>
      </c>
      <c r="B216" s="256" t="s">
        <v>1417</v>
      </c>
      <c r="C216" s="257">
        <v>7</v>
      </c>
      <c r="D216" s="254" t="s">
        <v>1412</v>
      </c>
      <c r="E216" s="258">
        <f>자재조서!E55</f>
        <v>0</v>
      </c>
      <c r="F216" s="258">
        <f t="shared" si="13"/>
        <v>0</v>
      </c>
      <c r="G216" s="258">
        <v>0</v>
      </c>
      <c r="H216" s="258"/>
      <c r="I216" s="258"/>
      <c r="J216" s="258"/>
      <c r="K216" s="258"/>
      <c r="L216" s="258"/>
      <c r="M216" s="256"/>
      <c r="N216" s="253" t="s">
        <v>68</v>
      </c>
      <c r="O216" s="253"/>
      <c r="P216" s="253" t="s">
        <v>1108</v>
      </c>
      <c r="Q216" s="253" t="s">
        <v>68</v>
      </c>
      <c r="R216" s="253" t="s">
        <v>1424</v>
      </c>
      <c r="S216" s="253"/>
      <c r="T216" s="253"/>
      <c r="U216" s="253"/>
      <c r="V216" s="253"/>
      <c r="W216" s="253"/>
      <c r="X216" s="253"/>
      <c r="Y216" s="253"/>
      <c r="Z216" s="253"/>
      <c r="AA216" s="253"/>
      <c r="AB216" s="253"/>
      <c r="AC216" s="253"/>
      <c r="AD216" s="253"/>
      <c r="AE216" s="253"/>
      <c r="AF216" s="253"/>
      <c r="AG216" s="253"/>
      <c r="AH216" s="253"/>
      <c r="AI216" s="253"/>
      <c r="AJ216" s="253"/>
      <c r="AK216" s="253"/>
      <c r="AL216" s="253"/>
      <c r="AM216" s="253"/>
      <c r="AN216" s="253"/>
      <c r="AO216" s="253"/>
      <c r="AP216" s="253"/>
      <c r="AQ216" s="253"/>
      <c r="AR216" s="253"/>
      <c r="AS216" s="253"/>
      <c r="AT216" s="253"/>
      <c r="AU216" s="253"/>
      <c r="AV216" s="253"/>
      <c r="AW216" s="253"/>
      <c r="AX216" s="253"/>
      <c r="AY216" s="253"/>
      <c r="AZ216" s="253"/>
      <c r="BA216" s="253"/>
      <c r="BB216" s="253"/>
      <c r="BC216" s="253"/>
      <c r="BD216" s="253"/>
      <c r="BE216" s="253"/>
      <c r="BF216" s="253"/>
      <c r="BG216" s="253"/>
      <c r="BH216" s="253"/>
      <c r="BI216" s="253"/>
      <c r="BJ216" s="263" t="str">
        <f>HYPERLINK("#자재조서!A55","MZZ1011442 →")</f>
        <v>MZZ1011442 →</v>
      </c>
    </row>
    <row r="217" spans="1:62" ht="24" customHeight="1">
      <c r="A217" s="256" t="s">
        <v>1425</v>
      </c>
      <c r="B217" s="256" t="s">
        <v>1426</v>
      </c>
      <c r="C217" s="257">
        <v>26</v>
      </c>
      <c r="D217" s="254" t="s">
        <v>1033</v>
      </c>
      <c r="E217" s="258">
        <f>일위목록!E120</f>
        <v>0</v>
      </c>
      <c r="F217" s="258">
        <f t="shared" si="13"/>
        <v>0</v>
      </c>
      <c r="G217" s="258">
        <f>일위목록!F120</f>
        <v>0</v>
      </c>
      <c r="H217" s="258"/>
      <c r="I217" s="258"/>
      <c r="J217" s="258"/>
      <c r="K217" s="258"/>
      <c r="L217" s="258"/>
      <c r="M217" s="256"/>
      <c r="N217" s="253" t="s">
        <v>68</v>
      </c>
      <c r="O217" s="253"/>
      <c r="P217" s="253" t="s">
        <v>1109</v>
      </c>
      <c r="Q217" s="253" t="s">
        <v>68</v>
      </c>
      <c r="R217" s="253" t="s">
        <v>1427</v>
      </c>
      <c r="S217" s="253"/>
      <c r="T217" s="253" t="s">
        <v>1129</v>
      </c>
      <c r="U217" s="253"/>
      <c r="V217" s="253"/>
      <c r="W217" s="253"/>
      <c r="X217" s="253"/>
      <c r="Y217" s="253"/>
      <c r="Z217" s="253"/>
      <c r="AA217" s="253"/>
      <c r="AB217" s="253"/>
      <c r="AC217" s="253"/>
      <c r="AD217" s="253"/>
      <c r="AE217" s="253"/>
      <c r="AF217" s="253"/>
      <c r="AG217" s="253"/>
      <c r="AH217" s="253"/>
      <c r="AI217" s="253"/>
      <c r="AJ217" s="253"/>
      <c r="AK217" s="253"/>
      <c r="AL217" s="253"/>
      <c r="AM217" s="253"/>
      <c r="AN217" s="253"/>
      <c r="AO217" s="253"/>
      <c r="AP217" s="253"/>
      <c r="AQ217" s="253"/>
      <c r="AR217" s="253"/>
      <c r="AS217" s="253"/>
      <c r="AT217" s="253"/>
      <c r="AU217" s="253"/>
      <c r="AV217" s="253"/>
      <c r="AW217" s="253"/>
      <c r="AX217" s="253"/>
      <c r="AY217" s="253"/>
      <c r="AZ217" s="253"/>
      <c r="BA217" s="253"/>
      <c r="BB217" s="253"/>
      <c r="BC217" s="253"/>
      <c r="BD217" s="253"/>
      <c r="BE217" s="253"/>
      <c r="BF217" s="253"/>
      <c r="BG217" s="253"/>
      <c r="BH217" s="253"/>
      <c r="BI217" s="253"/>
      <c r="BJ217" s="263" t="str">
        <f>HYPERLINK("#일위대가목록!A120","S1-5-2/05 →")</f>
        <v>S1-5-2/05 →</v>
      </c>
    </row>
    <row r="218" spans="1:62" ht="24" customHeight="1">
      <c r="A218" s="256" t="s">
        <v>1428</v>
      </c>
      <c r="B218" s="256" t="s">
        <v>1429</v>
      </c>
      <c r="C218" s="257">
        <v>32</v>
      </c>
      <c r="D218" s="254" t="s">
        <v>1033</v>
      </c>
      <c r="E218" s="258">
        <f>자재조서!E42</f>
        <v>0</v>
      </c>
      <c r="F218" s="258">
        <f t="shared" si="13"/>
        <v>0</v>
      </c>
      <c r="G218" s="258">
        <v>0</v>
      </c>
      <c r="H218" s="258"/>
      <c r="I218" s="258"/>
      <c r="J218" s="258"/>
      <c r="K218" s="258"/>
      <c r="L218" s="258"/>
      <c r="M218" s="256"/>
      <c r="N218" s="253" t="s">
        <v>68</v>
      </c>
      <c r="O218" s="253"/>
      <c r="P218" s="253" t="s">
        <v>1110</v>
      </c>
      <c r="Q218" s="253" t="s">
        <v>68</v>
      </c>
      <c r="R218" s="253" t="s">
        <v>1430</v>
      </c>
      <c r="S218" s="253"/>
      <c r="T218" s="253"/>
      <c r="U218" s="253"/>
      <c r="V218" s="253"/>
      <c r="W218" s="253"/>
      <c r="X218" s="253"/>
      <c r="Y218" s="253"/>
      <c r="Z218" s="253"/>
      <c r="AA218" s="253"/>
      <c r="AB218" s="253"/>
      <c r="AC218" s="253"/>
      <c r="AD218" s="253"/>
      <c r="AE218" s="253"/>
      <c r="AF218" s="253"/>
      <c r="AG218" s="253"/>
      <c r="AH218" s="253"/>
      <c r="AI218" s="253"/>
      <c r="AJ218" s="253"/>
      <c r="AK218" s="253"/>
      <c r="AL218" s="253"/>
      <c r="AM218" s="253"/>
      <c r="AN218" s="253"/>
      <c r="AO218" s="253"/>
      <c r="AP218" s="253"/>
      <c r="AQ218" s="253"/>
      <c r="AR218" s="253"/>
      <c r="AS218" s="253"/>
      <c r="AT218" s="253"/>
      <c r="AU218" s="253"/>
      <c r="AV218" s="253"/>
      <c r="AW218" s="253"/>
      <c r="AX218" s="253"/>
      <c r="AY218" s="253"/>
      <c r="AZ218" s="253"/>
      <c r="BA218" s="253"/>
      <c r="BB218" s="253"/>
      <c r="BC218" s="253"/>
      <c r="BD218" s="253"/>
      <c r="BE218" s="253"/>
      <c r="BF218" s="253"/>
      <c r="BG218" s="253"/>
      <c r="BH218" s="253"/>
      <c r="BI218" s="253"/>
      <c r="BJ218" s="263" t="str">
        <f>HYPERLINK("#자재조서!A42","MZZ1002902 →")</f>
        <v>MZZ1002902 →</v>
      </c>
    </row>
    <row r="219" spans="1:62" ht="24" customHeight="1">
      <c r="A219" s="256" t="s">
        <v>1419</v>
      </c>
      <c r="B219" s="256" t="s">
        <v>1431</v>
      </c>
      <c r="C219" s="257">
        <v>6</v>
      </c>
      <c r="D219" s="254" t="s">
        <v>1412</v>
      </c>
      <c r="E219" s="258">
        <f>자재조서!E60</f>
        <v>0</v>
      </c>
      <c r="F219" s="258">
        <f t="shared" si="13"/>
        <v>0</v>
      </c>
      <c r="G219" s="258">
        <v>0</v>
      </c>
      <c r="H219" s="258"/>
      <c r="I219" s="258"/>
      <c r="J219" s="258"/>
      <c r="K219" s="258"/>
      <c r="L219" s="258"/>
      <c r="M219" s="256"/>
      <c r="N219" s="253" t="s">
        <v>68</v>
      </c>
      <c r="O219" s="253"/>
      <c r="P219" s="253" t="s">
        <v>1111</v>
      </c>
      <c r="Q219" s="253" t="s">
        <v>68</v>
      </c>
      <c r="R219" s="253" t="s">
        <v>1432</v>
      </c>
      <c r="S219" s="253"/>
      <c r="T219" s="253"/>
      <c r="U219" s="253"/>
      <c r="V219" s="253"/>
      <c r="W219" s="253"/>
      <c r="X219" s="253"/>
      <c r="Y219" s="253"/>
      <c r="Z219" s="253"/>
      <c r="AA219" s="253"/>
      <c r="AB219" s="253"/>
      <c r="AC219" s="253"/>
      <c r="AD219" s="253"/>
      <c r="AE219" s="253"/>
      <c r="AF219" s="253"/>
      <c r="AG219" s="253"/>
      <c r="AH219" s="253"/>
      <c r="AI219" s="253"/>
      <c r="AJ219" s="253"/>
      <c r="AK219" s="253"/>
      <c r="AL219" s="253"/>
      <c r="AM219" s="253"/>
      <c r="AN219" s="253"/>
      <c r="AO219" s="253"/>
      <c r="AP219" s="253"/>
      <c r="AQ219" s="253"/>
      <c r="AR219" s="253"/>
      <c r="AS219" s="253"/>
      <c r="AT219" s="253"/>
      <c r="AU219" s="253"/>
      <c r="AV219" s="253"/>
      <c r="AW219" s="253"/>
      <c r="AX219" s="253"/>
      <c r="AY219" s="253"/>
      <c r="AZ219" s="253"/>
      <c r="BA219" s="253"/>
      <c r="BB219" s="253"/>
      <c r="BC219" s="253"/>
      <c r="BD219" s="253"/>
      <c r="BE219" s="253"/>
      <c r="BF219" s="253"/>
      <c r="BG219" s="253"/>
      <c r="BH219" s="253"/>
      <c r="BI219" s="253"/>
      <c r="BJ219" s="263" t="str">
        <f>HYPERLINK("#자재조서!A60","MZZ1011527 →")</f>
        <v>MZZ1011527 →</v>
      </c>
    </row>
    <row r="220" spans="1:62" ht="24" customHeight="1">
      <c r="A220" s="256" t="s">
        <v>1423</v>
      </c>
      <c r="B220" s="256" t="s">
        <v>1431</v>
      </c>
      <c r="C220" s="257">
        <v>4</v>
      </c>
      <c r="D220" s="254" t="s">
        <v>1412</v>
      </c>
      <c r="E220" s="258">
        <f>자재조서!E56</f>
        <v>0</v>
      </c>
      <c r="F220" s="258">
        <f t="shared" si="13"/>
        <v>0</v>
      </c>
      <c r="G220" s="258">
        <v>0</v>
      </c>
      <c r="H220" s="258"/>
      <c r="I220" s="258"/>
      <c r="J220" s="258"/>
      <c r="K220" s="258"/>
      <c r="L220" s="258"/>
      <c r="M220" s="256"/>
      <c r="N220" s="253" t="s">
        <v>68</v>
      </c>
      <c r="O220" s="253"/>
      <c r="P220" s="253" t="s">
        <v>1112</v>
      </c>
      <c r="Q220" s="253" t="s">
        <v>68</v>
      </c>
      <c r="R220" s="253" t="s">
        <v>1433</v>
      </c>
      <c r="S220" s="253"/>
      <c r="T220" s="253"/>
      <c r="U220" s="253"/>
      <c r="V220" s="253"/>
      <c r="W220" s="253"/>
      <c r="X220" s="253"/>
      <c r="Y220" s="253"/>
      <c r="Z220" s="253"/>
      <c r="AA220" s="253"/>
      <c r="AB220" s="253"/>
      <c r="AC220" s="253"/>
      <c r="AD220" s="253"/>
      <c r="AE220" s="253"/>
      <c r="AF220" s="253"/>
      <c r="AG220" s="253"/>
      <c r="AH220" s="253"/>
      <c r="AI220" s="253"/>
      <c r="AJ220" s="253"/>
      <c r="AK220" s="253"/>
      <c r="AL220" s="253"/>
      <c r="AM220" s="253"/>
      <c r="AN220" s="253"/>
      <c r="AO220" s="253"/>
      <c r="AP220" s="253"/>
      <c r="AQ220" s="253"/>
      <c r="AR220" s="253"/>
      <c r="AS220" s="253"/>
      <c r="AT220" s="253"/>
      <c r="AU220" s="253"/>
      <c r="AV220" s="253"/>
      <c r="AW220" s="253"/>
      <c r="AX220" s="253"/>
      <c r="AY220" s="253"/>
      <c r="AZ220" s="253"/>
      <c r="BA220" s="253"/>
      <c r="BB220" s="253"/>
      <c r="BC220" s="253"/>
      <c r="BD220" s="253"/>
      <c r="BE220" s="253"/>
      <c r="BF220" s="253"/>
      <c r="BG220" s="253"/>
      <c r="BH220" s="253"/>
      <c r="BI220" s="253"/>
      <c r="BJ220" s="263" t="str">
        <f>HYPERLINK("#자재조서!A56","MZZ1011446 →")</f>
        <v>MZZ1011446 →</v>
      </c>
    </row>
    <row r="221" spans="1:62" ht="24" customHeight="1">
      <c r="A221" s="256" t="s">
        <v>1421</v>
      </c>
      <c r="B221" s="256" t="s">
        <v>1431</v>
      </c>
      <c r="C221" s="257">
        <v>8</v>
      </c>
      <c r="D221" s="254" t="s">
        <v>1412</v>
      </c>
      <c r="E221" s="258">
        <f>자재조서!E58</f>
        <v>0</v>
      </c>
      <c r="F221" s="258">
        <f t="shared" si="13"/>
        <v>0</v>
      </c>
      <c r="G221" s="258">
        <v>0</v>
      </c>
      <c r="H221" s="258"/>
      <c r="I221" s="258"/>
      <c r="J221" s="258"/>
      <c r="K221" s="258"/>
      <c r="L221" s="258"/>
      <c r="M221" s="256"/>
      <c r="N221" s="253" t="s">
        <v>68</v>
      </c>
      <c r="O221" s="253"/>
      <c r="P221" s="253" t="s">
        <v>1113</v>
      </c>
      <c r="Q221" s="253" t="s">
        <v>68</v>
      </c>
      <c r="R221" s="253" t="s">
        <v>1434</v>
      </c>
      <c r="S221" s="253"/>
      <c r="T221" s="253"/>
      <c r="U221" s="253"/>
      <c r="V221" s="253"/>
      <c r="W221" s="253"/>
      <c r="X221" s="253"/>
      <c r="Y221" s="253"/>
      <c r="Z221" s="253"/>
      <c r="AA221" s="253"/>
      <c r="AB221" s="253"/>
      <c r="AC221" s="253"/>
      <c r="AD221" s="253"/>
      <c r="AE221" s="253"/>
      <c r="AF221" s="253"/>
      <c r="AG221" s="253"/>
      <c r="AH221" s="253"/>
      <c r="AI221" s="253"/>
      <c r="AJ221" s="253"/>
      <c r="AK221" s="253"/>
      <c r="AL221" s="253"/>
      <c r="AM221" s="253"/>
      <c r="AN221" s="253"/>
      <c r="AO221" s="253"/>
      <c r="AP221" s="253"/>
      <c r="AQ221" s="253"/>
      <c r="AR221" s="253"/>
      <c r="AS221" s="253"/>
      <c r="AT221" s="253"/>
      <c r="AU221" s="253"/>
      <c r="AV221" s="253"/>
      <c r="AW221" s="253"/>
      <c r="AX221" s="253"/>
      <c r="AY221" s="253"/>
      <c r="AZ221" s="253"/>
      <c r="BA221" s="253"/>
      <c r="BB221" s="253"/>
      <c r="BC221" s="253"/>
      <c r="BD221" s="253"/>
      <c r="BE221" s="253"/>
      <c r="BF221" s="253"/>
      <c r="BG221" s="253"/>
      <c r="BH221" s="253"/>
      <c r="BI221" s="253"/>
      <c r="BJ221" s="263" t="str">
        <f>HYPERLINK("#자재조서!A58","MZZ1011476 →")</f>
        <v>MZZ1011476 →</v>
      </c>
    </row>
    <row r="222" spans="1:62" ht="24" customHeight="1">
      <c r="A222" s="256" t="s">
        <v>1425</v>
      </c>
      <c r="B222" s="256" t="s">
        <v>635</v>
      </c>
      <c r="C222" s="257">
        <v>32</v>
      </c>
      <c r="D222" s="254" t="s">
        <v>1033</v>
      </c>
      <c r="E222" s="258">
        <f>일위목록!E121</f>
        <v>0</v>
      </c>
      <c r="F222" s="258">
        <f t="shared" si="13"/>
        <v>0</v>
      </c>
      <c r="G222" s="258">
        <f>일위목록!F121</f>
        <v>0</v>
      </c>
      <c r="H222" s="258"/>
      <c r="I222" s="258"/>
      <c r="J222" s="258"/>
      <c r="K222" s="258"/>
      <c r="L222" s="258"/>
      <c r="M222" s="256"/>
      <c r="N222" s="253" t="s">
        <v>68</v>
      </c>
      <c r="O222" s="253"/>
      <c r="P222" s="253" t="s">
        <v>1114</v>
      </c>
      <c r="Q222" s="253" t="s">
        <v>68</v>
      </c>
      <c r="R222" s="253" t="s">
        <v>1435</v>
      </c>
      <c r="S222" s="253"/>
      <c r="T222" s="253" t="s">
        <v>1129</v>
      </c>
      <c r="U222" s="253"/>
      <c r="V222" s="253"/>
      <c r="W222" s="253"/>
      <c r="X222" s="253"/>
      <c r="Y222" s="253"/>
      <c r="Z222" s="253"/>
      <c r="AA222" s="253"/>
      <c r="AB222" s="253"/>
      <c r="AC222" s="253"/>
      <c r="AD222" s="253"/>
      <c r="AE222" s="253"/>
      <c r="AF222" s="253"/>
      <c r="AG222" s="253"/>
      <c r="AH222" s="253"/>
      <c r="AI222" s="253"/>
      <c r="AJ222" s="253"/>
      <c r="AK222" s="253"/>
      <c r="AL222" s="253"/>
      <c r="AM222" s="253"/>
      <c r="AN222" s="253"/>
      <c r="AO222" s="253"/>
      <c r="AP222" s="253"/>
      <c r="AQ222" s="253"/>
      <c r="AR222" s="253"/>
      <c r="AS222" s="253"/>
      <c r="AT222" s="253"/>
      <c r="AU222" s="253"/>
      <c r="AV222" s="253"/>
      <c r="AW222" s="253"/>
      <c r="AX222" s="253"/>
      <c r="AY222" s="253"/>
      <c r="AZ222" s="253"/>
      <c r="BA222" s="253"/>
      <c r="BB222" s="253"/>
      <c r="BC222" s="253"/>
      <c r="BD222" s="253"/>
      <c r="BE222" s="253"/>
      <c r="BF222" s="253"/>
      <c r="BG222" s="253"/>
      <c r="BH222" s="253"/>
      <c r="BI222" s="253"/>
      <c r="BJ222" s="263" t="str">
        <f>HYPERLINK("#일위대가목록!A121","S1-5-2/09 →")</f>
        <v>S1-5-2/09 →</v>
      </c>
    </row>
    <row r="223" spans="1:62" ht="24" customHeight="1">
      <c r="A223" s="256" t="s">
        <v>1436</v>
      </c>
      <c r="B223" s="256" t="s">
        <v>1437</v>
      </c>
      <c r="C223" s="257">
        <v>1</v>
      </c>
      <c r="D223" s="254" t="s">
        <v>149</v>
      </c>
      <c r="E223" s="258">
        <f>일위목록!E122</f>
        <v>0</v>
      </c>
      <c r="F223" s="258">
        <f t="shared" si="13"/>
        <v>0</v>
      </c>
      <c r="G223" s="258">
        <f>일위목록!F122</f>
        <v>0</v>
      </c>
      <c r="H223" s="258"/>
      <c r="I223" s="258"/>
      <c r="J223" s="258"/>
      <c r="K223" s="258"/>
      <c r="L223" s="258"/>
      <c r="M223" s="256"/>
      <c r="N223" s="253" t="s">
        <v>68</v>
      </c>
      <c r="O223" s="253"/>
      <c r="P223" s="253" t="s">
        <v>1115</v>
      </c>
      <c r="Q223" s="253" t="s">
        <v>68</v>
      </c>
      <c r="R223" s="253" t="s">
        <v>1438</v>
      </c>
      <c r="S223" s="253"/>
      <c r="T223" s="253" t="s">
        <v>1129</v>
      </c>
      <c r="U223" s="253"/>
      <c r="V223" s="253"/>
      <c r="W223" s="253"/>
      <c r="X223" s="253"/>
      <c r="Y223" s="253"/>
      <c r="Z223" s="253"/>
      <c r="AA223" s="253"/>
      <c r="AB223" s="253"/>
      <c r="AC223" s="253"/>
      <c r="AD223" s="253"/>
      <c r="AE223" s="253"/>
      <c r="AF223" s="253"/>
      <c r="AG223" s="253"/>
      <c r="AH223" s="253"/>
      <c r="AI223" s="253"/>
      <c r="AJ223" s="253"/>
      <c r="AK223" s="253"/>
      <c r="AL223" s="253"/>
      <c r="AM223" s="253"/>
      <c r="AN223" s="253"/>
      <c r="AO223" s="253"/>
      <c r="AP223" s="253"/>
      <c r="AQ223" s="253"/>
      <c r="AR223" s="253"/>
      <c r="AS223" s="253"/>
      <c r="AT223" s="253"/>
      <c r="AU223" s="253"/>
      <c r="AV223" s="253"/>
      <c r="AW223" s="253"/>
      <c r="AX223" s="253"/>
      <c r="AY223" s="253"/>
      <c r="AZ223" s="253"/>
      <c r="BA223" s="253"/>
      <c r="BB223" s="253"/>
      <c r="BC223" s="253"/>
      <c r="BD223" s="253"/>
      <c r="BE223" s="253"/>
      <c r="BF223" s="253"/>
      <c r="BG223" s="253"/>
      <c r="BH223" s="253"/>
      <c r="BI223" s="253"/>
      <c r="BJ223" s="263" t="str">
        <f>HYPERLINK("#일위대가목록!A122","S8-4-2/1 →")</f>
        <v>S8-4-2/1 →</v>
      </c>
    </row>
    <row r="224" spans="1:62" ht="24" customHeight="1">
      <c r="A224" s="256" t="s">
        <v>1436</v>
      </c>
      <c r="B224" s="256" t="s">
        <v>1439</v>
      </c>
      <c r="C224" s="257">
        <v>1</v>
      </c>
      <c r="D224" s="254" t="s">
        <v>149</v>
      </c>
      <c r="E224" s="258">
        <f>일위목록!E123</f>
        <v>0</v>
      </c>
      <c r="F224" s="258">
        <f t="shared" si="13"/>
        <v>0</v>
      </c>
      <c r="G224" s="258">
        <f>일위목록!F123</f>
        <v>0</v>
      </c>
      <c r="H224" s="258"/>
      <c r="I224" s="258"/>
      <c r="J224" s="258"/>
      <c r="K224" s="258"/>
      <c r="L224" s="258"/>
      <c r="M224" s="256"/>
      <c r="N224" s="253" t="s">
        <v>68</v>
      </c>
      <c r="O224" s="253"/>
      <c r="P224" s="253" t="s">
        <v>1116</v>
      </c>
      <c r="Q224" s="253" t="s">
        <v>68</v>
      </c>
      <c r="R224" s="253" t="s">
        <v>1440</v>
      </c>
      <c r="S224" s="253"/>
      <c r="T224" s="253" t="s">
        <v>1129</v>
      </c>
      <c r="U224" s="253"/>
      <c r="V224" s="253"/>
      <c r="W224" s="253"/>
      <c r="X224" s="253"/>
      <c r="Y224" s="253"/>
      <c r="Z224" s="253"/>
      <c r="AA224" s="253"/>
      <c r="AB224" s="253"/>
      <c r="AC224" s="253"/>
      <c r="AD224" s="253"/>
      <c r="AE224" s="253"/>
      <c r="AF224" s="253"/>
      <c r="AG224" s="253"/>
      <c r="AH224" s="253"/>
      <c r="AI224" s="253"/>
      <c r="AJ224" s="253"/>
      <c r="AK224" s="253"/>
      <c r="AL224" s="253"/>
      <c r="AM224" s="253"/>
      <c r="AN224" s="253"/>
      <c r="AO224" s="253"/>
      <c r="AP224" s="253"/>
      <c r="AQ224" s="253"/>
      <c r="AR224" s="253"/>
      <c r="AS224" s="253"/>
      <c r="AT224" s="253"/>
      <c r="AU224" s="253"/>
      <c r="AV224" s="253"/>
      <c r="AW224" s="253"/>
      <c r="AX224" s="253"/>
      <c r="AY224" s="253"/>
      <c r="AZ224" s="253"/>
      <c r="BA224" s="253"/>
      <c r="BB224" s="253"/>
      <c r="BC224" s="253"/>
      <c r="BD224" s="253"/>
      <c r="BE224" s="253"/>
      <c r="BF224" s="253"/>
      <c r="BG224" s="253"/>
      <c r="BH224" s="253"/>
      <c r="BI224" s="253"/>
      <c r="BJ224" s="263" t="str">
        <f>HYPERLINK("#일위대가목록!A123","S8-4-2/3 →")</f>
        <v>S8-4-2/3 →</v>
      </c>
    </row>
    <row r="225" spans="1:62" ht="24" customHeight="1">
      <c r="A225" s="256" t="s">
        <v>1441</v>
      </c>
      <c r="B225" s="256" t="s">
        <v>1442</v>
      </c>
      <c r="C225" s="257">
        <v>1</v>
      </c>
      <c r="D225" s="254" t="s">
        <v>1412</v>
      </c>
      <c r="E225" s="258">
        <f>일위목록!E124</f>
        <v>0</v>
      </c>
      <c r="F225" s="258">
        <f t="shared" si="13"/>
        <v>0</v>
      </c>
      <c r="G225" s="258">
        <f>일위목록!F124</f>
        <v>0</v>
      </c>
      <c r="H225" s="258"/>
      <c r="I225" s="258"/>
      <c r="J225" s="258"/>
      <c r="K225" s="258"/>
      <c r="L225" s="258"/>
      <c r="M225" s="256"/>
      <c r="N225" s="253" t="s">
        <v>68</v>
      </c>
      <c r="O225" s="253"/>
      <c r="P225" s="253" t="s">
        <v>1120</v>
      </c>
      <c r="Q225" s="253" t="s">
        <v>68</v>
      </c>
      <c r="R225" s="253" t="s">
        <v>1443</v>
      </c>
      <c r="S225" s="253"/>
      <c r="T225" s="253" t="s">
        <v>1129</v>
      </c>
      <c r="U225" s="253"/>
      <c r="V225" s="253"/>
      <c r="W225" s="253"/>
      <c r="X225" s="253"/>
      <c r="Y225" s="253"/>
      <c r="Z225" s="253"/>
      <c r="AA225" s="253"/>
      <c r="AB225" s="253"/>
      <c r="AC225" s="253"/>
      <c r="AD225" s="253"/>
      <c r="AE225" s="253"/>
      <c r="AF225" s="253"/>
      <c r="AG225" s="253"/>
      <c r="AH225" s="253"/>
      <c r="AI225" s="253"/>
      <c r="AJ225" s="253"/>
      <c r="AK225" s="253"/>
      <c r="AL225" s="253"/>
      <c r="AM225" s="253"/>
      <c r="AN225" s="253"/>
      <c r="AO225" s="253"/>
      <c r="AP225" s="253"/>
      <c r="AQ225" s="253"/>
      <c r="AR225" s="253"/>
      <c r="AS225" s="253"/>
      <c r="AT225" s="253"/>
      <c r="AU225" s="253"/>
      <c r="AV225" s="253"/>
      <c r="AW225" s="253"/>
      <c r="AX225" s="253"/>
      <c r="AY225" s="253"/>
      <c r="AZ225" s="253"/>
      <c r="BA225" s="253"/>
      <c r="BB225" s="253"/>
      <c r="BC225" s="253"/>
      <c r="BD225" s="253"/>
      <c r="BE225" s="253"/>
      <c r="BF225" s="253"/>
      <c r="BG225" s="253"/>
      <c r="BH225" s="253"/>
      <c r="BI225" s="253"/>
      <c r="BJ225" s="263" t="str">
        <f>HYPERLINK("#일위대가목록!A124","S7-1-4/8 →")</f>
        <v>S7-1-4/8 →</v>
      </c>
    </row>
    <row r="226" spans="1:62" ht="24" customHeight="1">
      <c r="A226" s="256" t="s">
        <v>1444</v>
      </c>
      <c r="B226" s="256" t="s">
        <v>1445</v>
      </c>
      <c r="C226" s="257">
        <v>1</v>
      </c>
      <c r="D226" s="254" t="s">
        <v>1412</v>
      </c>
      <c r="E226" s="258">
        <f>일위목록!E125</f>
        <v>0</v>
      </c>
      <c r="F226" s="258">
        <f t="shared" si="13"/>
        <v>0</v>
      </c>
      <c r="G226" s="258">
        <f>일위목록!F125</f>
        <v>0</v>
      </c>
      <c r="H226" s="258"/>
      <c r="I226" s="258"/>
      <c r="J226" s="258"/>
      <c r="K226" s="258"/>
      <c r="L226" s="258"/>
      <c r="M226" s="256"/>
      <c r="N226" s="253" t="s">
        <v>68</v>
      </c>
      <c r="O226" s="253"/>
      <c r="P226" s="253" t="s">
        <v>1173</v>
      </c>
      <c r="Q226" s="253" t="s">
        <v>68</v>
      </c>
      <c r="R226" s="253" t="s">
        <v>1446</v>
      </c>
      <c r="S226" s="253"/>
      <c r="T226" s="253" t="s">
        <v>1129</v>
      </c>
      <c r="U226" s="253"/>
      <c r="V226" s="253"/>
      <c r="W226" s="253"/>
      <c r="X226" s="253"/>
      <c r="Y226" s="253"/>
      <c r="Z226" s="253"/>
      <c r="AA226" s="253"/>
      <c r="AB226" s="253"/>
      <c r="AC226" s="253"/>
      <c r="AD226" s="253"/>
      <c r="AE226" s="253"/>
      <c r="AF226" s="253"/>
      <c r="AG226" s="253"/>
      <c r="AH226" s="253"/>
      <c r="AI226" s="253"/>
      <c r="AJ226" s="253"/>
      <c r="AK226" s="253"/>
      <c r="AL226" s="253"/>
      <c r="AM226" s="253"/>
      <c r="AN226" s="253"/>
      <c r="AO226" s="253"/>
      <c r="AP226" s="253"/>
      <c r="AQ226" s="253"/>
      <c r="AR226" s="253"/>
      <c r="AS226" s="253"/>
      <c r="AT226" s="253"/>
      <c r="AU226" s="253"/>
      <c r="AV226" s="253"/>
      <c r="AW226" s="253"/>
      <c r="AX226" s="253"/>
      <c r="AY226" s="253"/>
      <c r="AZ226" s="253"/>
      <c r="BA226" s="253"/>
      <c r="BB226" s="253"/>
      <c r="BC226" s="253"/>
      <c r="BD226" s="253"/>
      <c r="BE226" s="253"/>
      <c r="BF226" s="253"/>
      <c r="BG226" s="253"/>
      <c r="BH226" s="253"/>
      <c r="BI226" s="253"/>
      <c r="BJ226" s="263" t="str">
        <f>HYPERLINK("#일위대가목록!A125","S7-2-4/1 →")</f>
        <v>S7-2-4/1 →</v>
      </c>
    </row>
    <row r="227" spans="1:62" ht="24" customHeight="1">
      <c r="A227" s="256" t="s">
        <v>1447</v>
      </c>
      <c r="B227" s="256" t="s">
        <v>1448</v>
      </c>
      <c r="C227" s="257">
        <v>1</v>
      </c>
      <c r="D227" s="254" t="s">
        <v>1412</v>
      </c>
      <c r="E227" s="258">
        <f>일위목록!E126</f>
        <v>0</v>
      </c>
      <c r="F227" s="258">
        <f t="shared" si="13"/>
        <v>0</v>
      </c>
      <c r="G227" s="258">
        <f>일위목록!F126</f>
        <v>0</v>
      </c>
      <c r="H227" s="258"/>
      <c r="I227" s="258"/>
      <c r="J227" s="258"/>
      <c r="K227" s="258"/>
      <c r="L227" s="258"/>
      <c r="M227" s="256"/>
      <c r="N227" s="253" t="s">
        <v>68</v>
      </c>
      <c r="O227" s="253"/>
      <c r="P227" s="253" t="s">
        <v>1175</v>
      </c>
      <c r="Q227" s="253" t="s">
        <v>68</v>
      </c>
      <c r="R227" s="253" t="s">
        <v>1449</v>
      </c>
      <c r="S227" s="253"/>
      <c r="T227" s="253" t="s">
        <v>1129</v>
      </c>
      <c r="U227" s="253"/>
      <c r="V227" s="253"/>
      <c r="W227" s="253"/>
      <c r="X227" s="253"/>
      <c r="Y227" s="253"/>
      <c r="Z227" s="253"/>
      <c r="AA227" s="253"/>
      <c r="AB227" s="253"/>
      <c r="AC227" s="253"/>
      <c r="AD227" s="253"/>
      <c r="AE227" s="253"/>
      <c r="AF227" s="253"/>
      <c r="AG227" s="253"/>
      <c r="AH227" s="253"/>
      <c r="AI227" s="253"/>
      <c r="AJ227" s="253"/>
      <c r="AK227" s="253"/>
      <c r="AL227" s="253"/>
      <c r="AM227" s="253"/>
      <c r="AN227" s="253"/>
      <c r="AO227" s="253"/>
      <c r="AP227" s="253"/>
      <c r="AQ227" s="253"/>
      <c r="AR227" s="253"/>
      <c r="AS227" s="253"/>
      <c r="AT227" s="253"/>
      <c r="AU227" s="253"/>
      <c r="AV227" s="253"/>
      <c r="AW227" s="253"/>
      <c r="AX227" s="253"/>
      <c r="AY227" s="253"/>
      <c r="AZ227" s="253"/>
      <c r="BA227" s="253"/>
      <c r="BB227" s="253"/>
      <c r="BC227" s="253"/>
      <c r="BD227" s="253"/>
      <c r="BE227" s="253"/>
      <c r="BF227" s="253"/>
      <c r="BG227" s="253"/>
      <c r="BH227" s="253"/>
      <c r="BI227" s="253"/>
      <c r="BJ227" s="263" t="str">
        <f>HYPERLINK("#일위대가목록!A126","S7-1-4/1 →")</f>
        <v>S7-1-4/1 →</v>
      </c>
    </row>
    <row r="228" spans="1:62" ht="24" customHeight="1">
      <c r="A228" s="256" t="s">
        <v>1450</v>
      </c>
      <c r="B228" s="256" t="s">
        <v>1451</v>
      </c>
      <c r="C228" s="257">
        <v>1</v>
      </c>
      <c r="D228" s="254" t="s">
        <v>1412</v>
      </c>
      <c r="E228" s="258">
        <f>일위목록!E127</f>
        <v>0</v>
      </c>
      <c r="F228" s="258">
        <f t="shared" si="13"/>
        <v>0</v>
      </c>
      <c r="G228" s="258">
        <f>일위목록!F127</f>
        <v>0</v>
      </c>
      <c r="H228" s="258"/>
      <c r="I228" s="258"/>
      <c r="J228" s="258"/>
      <c r="K228" s="258"/>
      <c r="L228" s="258"/>
      <c r="M228" s="256"/>
      <c r="N228" s="253" t="s">
        <v>68</v>
      </c>
      <c r="O228" s="253"/>
      <c r="P228" s="253" t="s">
        <v>1231</v>
      </c>
      <c r="Q228" s="253" t="s">
        <v>68</v>
      </c>
      <c r="R228" s="253" t="s">
        <v>1452</v>
      </c>
      <c r="S228" s="253"/>
      <c r="T228" s="253" t="s">
        <v>1129</v>
      </c>
      <c r="U228" s="253"/>
      <c r="V228" s="253"/>
      <c r="W228" s="253"/>
      <c r="X228" s="253"/>
      <c r="Y228" s="253"/>
      <c r="Z228" s="253"/>
      <c r="AA228" s="253"/>
      <c r="AB228" s="253"/>
      <c r="AC228" s="253"/>
      <c r="AD228" s="253"/>
      <c r="AE228" s="253"/>
      <c r="AF228" s="253"/>
      <c r="AG228" s="253"/>
      <c r="AH228" s="253"/>
      <c r="AI228" s="253"/>
      <c r="AJ228" s="253"/>
      <c r="AK228" s="253"/>
      <c r="AL228" s="253"/>
      <c r="AM228" s="253"/>
      <c r="AN228" s="253"/>
      <c r="AO228" s="253"/>
      <c r="AP228" s="253"/>
      <c r="AQ228" s="253"/>
      <c r="AR228" s="253"/>
      <c r="AS228" s="253"/>
      <c r="AT228" s="253"/>
      <c r="AU228" s="253"/>
      <c r="AV228" s="253"/>
      <c r="AW228" s="253"/>
      <c r="AX228" s="253"/>
      <c r="AY228" s="253"/>
      <c r="AZ228" s="253"/>
      <c r="BA228" s="253"/>
      <c r="BB228" s="253"/>
      <c r="BC228" s="253"/>
      <c r="BD228" s="253"/>
      <c r="BE228" s="253"/>
      <c r="BF228" s="253"/>
      <c r="BG228" s="253"/>
      <c r="BH228" s="253"/>
      <c r="BI228" s="253"/>
      <c r="BJ228" s="263" t="str">
        <f>HYPERLINK("#일위대가목록!A127","S7-2-3/2 →")</f>
        <v>S7-2-3/2 →</v>
      </c>
    </row>
    <row r="229" spans="1:62" ht="24" customHeight="1">
      <c r="A229" s="256" t="s">
        <v>1447</v>
      </c>
      <c r="B229" s="256" t="s">
        <v>1453</v>
      </c>
      <c r="C229" s="257">
        <v>1</v>
      </c>
      <c r="D229" s="254" t="s">
        <v>1412</v>
      </c>
      <c r="E229" s="258">
        <f>일위목록!E128</f>
        <v>0</v>
      </c>
      <c r="F229" s="258">
        <f t="shared" si="13"/>
        <v>0</v>
      </c>
      <c r="G229" s="258">
        <f>일위목록!F128</f>
        <v>0</v>
      </c>
      <c r="H229" s="258"/>
      <c r="I229" s="258"/>
      <c r="J229" s="258"/>
      <c r="K229" s="258"/>
      <c r="L229" s="258"/>
      <c r="M229" s="256"/>
      <c r="N229" s="253" t="s">
        <v>68</v>
      </c>
      <c r="O229" s="253"/>
      <c r="P229" s="253" t="s">
        <v>1233</v>
      </c>
      <c r="Q229" s="253" t="s">
        <v>68</v>
      </c>
      <c r="R229" s="253" t="s">
        <v>1454</v>
      </c>
      <c r="S229" s="253"/>
      <c r="T229" s="253" t="s">
        <v>1129</v>
      </c>
      <c r="U229" s="253"/>
      <c r="V229" s="253"/>
      <c r="W229" s="253"/>
      <c r="X229" s="253"/>
      <c r="Y229" s="253"/>
      <c r="Z229" s="253"/>
      <c r="AA229" s="253"/>
      <c r="AB229" s="253"/>
      <c r="AC229" s="253"/>
      <c r="AD229" s="253"/>
      <c r="AE229" s="253"/>
      <c r="AF229" s="253"/>
      <c r="AG229" s="253"/>
      <c r="AH229" s="253"/>
      <c r="AI229" s="253"/>
      <c r="AJ229" s="253"/>
      <c r="AK229" s="253"/>
      <c r="AL229" s="253"/>
      <c r="AM229" s="253"/>
      <c r="AN229" s="253"/>
      <c r="AO229" s="253"/>
      <c r="AP229" s="253"/>
      <c r="AQ229" s="253"/>
      <c r="AR229" s="253"/>
      <c r="AS229" s="253"/>
      <c r="AT229" s="253"/>
      <c r="AU229" s="253"/>
      <c r="AV229" s="253"/>
      <c r="AW229" s="253"/>
      <c r="AX229" s="253"/>
      <c r="AY229" s="253"/>
      <c r="AZ229" s="253"/>
      <c r="BA229" s="253"/>
      <c r="BB229" s="253"/>
      <c r="BC229" s="253"/>
      <c r="BD229" s="253"/>
      <c r="BE229" s="253"/>
      <c r="BF229" s="253"/>
      <c r="BG229" s="253"/>
      <c r="BH229" s="253"/>
      <c r="BI229" s="253"/>
      <c r="BJ229" s="263" t="str">
        <f>HYPERLINK("#일위대가목록!A128","S7-1-3/1 →")</f>
        <v>S7-1-3/1 →</v>
      </c>
    </row>
    <row r="230" spans="1:62" ht="24" customHeight="1">
      <c r="A230" s="256" t="s">
        <v>1450</v>
      </c>
      <c r="B230" s="256" t="s">
        <v>1455</v>
      </c>
      <c r="C230" s="257">
        <v>1</v>
      </c>
      <c r="D230" s="254" t="s">
        <v>1412</v>
      </c>
      <c r="E230" s="258">
        <f>일위목록!E129</f>
        <v>0</v>
      </c>
      <c r="F230" s="258">
        <f t="shared" si="13"/>
        <v>0</v>
      </c>
      <c r="G230" s="258">
        <f>일위목록!F129</f>
        <v>0</v>
      </c>
      <c r="H230" s="258"/>
      <c r="I230" s="258"/>
      <c r="J230" s="258"/>
      <c r="K230" s="258"/>
      <c r="L230" s="258"/>
      <c r="M230" s="256"/>
      <c r="N230" s="253" t="s">
        <v>68</v>
      </c>
      <c r="O230" s="253"/>
      <c r="P230" s="253" t="s">
        <v>1341</v>
      </c>
      <c r="Q230" s="253" t="s">
        <v>68</v>
      </c>
      <c r="R230" s="253" t="s">
        <v>1456</v>
      </c>
      <c r="S230" s="253"/>
      <c r="T230" s="253" t="s">
        <v>1129</v>
      </c>
      <c r="U230" s="253"/>
      <c r="V230" s="253"/>
      <c r="W230" s="253"/>
      <c r="X230" s="253"/>
      <c r="Y230" s="253"/>
      <c r="Z230" s="253"/>
      <c r="AA230" s="253"/>
      <c r="AB230" s="253"/>
      <c r="AC230" s="253"/>
      <c r="AD230" s="253"/>
      <c r="AE230" s="253"/>
      <c r="AF230" s="253"/>
      <c r="AG230" s="253"/>
      <c r="AH230" s="253"/>
      <c r="AI230" s="253"/>
      <c r="AJ230" s="253"/>
      <c r="AK230" s="253"/>
      <c r="AL230" s="253"/>
      <c r="AM230" s="253"/>
      <c r="AN230" s="253"/>
      <c r="AO230" s="253"/>
      <c r="AP230" s="253"/>
      <c r="AQ230" s="253"/>
      <c r="AR230" s="253"/>
      <c r="AS230" s="253"/>
      <c r="AT230" s="253"/>
      <c r="AU230" s="253"/>
      <c r="AV230" s="253"/>
      <c r="AW230" s="253"/>
      <c r="AX230" s="253"/>
      <c r="AY230" s="253"/>
      <c r="AZ230" s="253"/>
      <c r="BA230" s="253"/>
      <c r="BB230" s="253"/>
      <c r="BC230" s="253"/>
      <c r="BD230" s="253"/>
      <c r="BE230" s="253"/>
      <c r="BF230" s="253"/>
      <c r="BG230" s="253"/>
      <c r="BH230" s="253"/>
      <c r="BI230" s="253"/>
      <c r="BJ230" s="263" t="str">
        <f>HYPERLINK("#일위대가목록!A129","S7-2-3/1 →")</f>
        <v>S7-2-3/1 →</v>
      </c>
    </row>
    <row r="231" spans="1:62" ht="24" customHeight="1">
      <c r="A231" s="256" t="s">
        <v>1457</v>
      </c>
      <c r="B231" s="256" t="s">
        <v>1458</v>
      </c>
      <c r="C231" s="257">
        <v>2</v>
      </c>
      <c r="D231" s="254" t="s">
        <v>1412</v>
      </c>
      <c r="E231" s="258">
        <f>일위목록!E130</f>
        <v>0</v>
      </c>
      <c r="F231" s="258">
        <f t="shared" si="13"/>
        <v>0</v>
      </c>
      <c r="G231" s="258">
        <f>일위목록!F130</f>
        <v>0</v>
      </c>
      <c r="H231" s="258"/>
      <c r="I231" s="258"/>
      <c r="J231" s="258"/>
      <c r="K231" s="258"/>
      <c r="L231" s="258"/>
      <c r="M231" s="256"/>
      <c r="N231" s="253" t="s">
        <v>68</v>
      </c>
      <c r="O231" s="253"/>
      <c r="P231" s="253" t="s">
        <v>1459</v>
      </c>
      <c r="Q231" s="253" t="s">
        <v>68</v>
      </c>
      <c r="R231" s="253" t="s">
        <v>1460</v>
      </c>
      <c r="S231" s="253"/>
      <c r="T231" s="253" t="s">
        <v>1129</v>
      </c>
      <c r="U231" s="253"/>
      <c r="V231" s="253"/>
      <c r="W231" s="253"/>
      <c r="X231" s="253"/>
      <c r="Y231" s="253"/>
      <c r="Z231" s="253"/>
      <c r="AA231" s="253"/>
      <c r="AB231" s="253"/>
      <c r="AC231" s="253"/>
      <c r="AD231" s="253"/>
      <c r="AE231" s="253"/>
      <c r="AF231" s="253"/>
      <c r="AG231" s="253"/>
      <c r="AH231" s="253"/>
      <c r="AI231" s="253"/>
      <c r="AJ231" s="253"/>
      <c r="AK231" s="253"/>
      <c r="AL231" s="253"/>
      <c r="AM231" s="253"/>
      <c r="AN231" s="253"/>
      <c r="AO231" s="253"/>
      <c r="AP231" s="253"/>
      <c r="AQ231" s="253"/>
      <c r="AR231" s="253"/>
      <c r="AS231" s="253"/>
      <c r="AT231" s="253"/>
      <c r="AU231" s="253"/>
      <c r="AV231" s="253"/>
      <c r="AW231" s="253"/>
      <c r="AX231" s="253"/>
      <c r="AY231" s="253"/>
      <c r="AZ231" s="253"/>
      <c r="BA231" s="253"/>
      <c r="BB231" s="253"/>
      <c r="BC231" s="253"/>
      <c r="BD231" s="253"/>
      <c r="BE231" s="253"/>
      <c r="BF231" s="253"/>
      <c r="BG231" s="253"/>
      <c r="BH231" s="253"/>
      <c r="BI231" s="253"/>
      <c r="BJ231" s="263" t="str">
        <f>HYPERLINK("#일위대가목록!A130","S7-2-5/1 →")</f>
        <v>S7-2-5/1 →</v>
      </c>
    </row>
    <row r="232" spans="1:62" ht="24" customHeight="1">
      <c r="A232" s="256" t="s">
        <v>1461</v>
      </c>
      <c r="B232" s="256" t="s">
        <v>1462</v>
      </c>
      <c r="C232" s="257">
        <v>2</v>
      </c>
      <c r="D232" s="254" t="s">
        <v>1412</v>
      </c>
      <c r="E232" s="258">
        <f>일위목록!E131</f>
        <v>0</v>
      </c>
      <c r="F232" s="258">
        <f t="shared" si="13"/>
        <v>0</v>
      </c>
      <c r="G232" s="258">
        <f>일위목록!F131</f>
        <v>0</v>
      </c>
      <c r="H232" s="258"/>
      <c r="I232" s="258"/>
      <c r="J232" s="258"/>
      <c r="K232" s="258"/>
      <c r="L232" s="258"/>
      <c r="M232" s="256"/>
      <c r="N232" s="253" t="s">
        <v>68</v>
      </c>
      <c r="O232" s="253"/>
      <c r="P232" s="253" t="s">
        <v>1343</v>
      </c>
      <c r="Q232" s="253" t="s">
        <v>68</v>
      </c>
      <c r="R232" s="253" t="s">
        <v>1463</v>
      </c>
      <c r="S232" s="253"/>
      <c r="T232" s="253" t="s">
        <v>1129</v>
      </c>
      <c r="U232" s="253"/>
      <c r="V232" s="253"/>
      <c r="W232" s="253"/>
      <c r="X232" s="253"/>
      <c r="Y232" s="253"/>
      <c r="Z232" s="253"/>
      <c r="AA232" s="253"/>
      <c r="AB232" s="253"/>
      <c r="AC232" s="253"/>
      <c r="AD232" s="253"/>
      <c r="AE232" s="253"/>
      <c r="AF232" s="253"/>
      <c r="AG232" s="253"/>
      <c r="AH232" s="253"/>
      <c r="AI232" s="253"/>
      <c r="AJ232" s="253"/>
      <c r="AK232" s="253"/>
      <c r="AL232" s="253"/>
      <c r="AM232" s="253"/>
      <c r="AN232" s="253"/>
      <c r="AO232" s="253"/>
      <c r="AP232" s="253"/>
      <c r="AQ232" s="253"/>
      <c r="AR232" s="253"/>
      <c r="AS232" s="253"/>
      <c r="AT232" s="253"/>
      <c r="AU232" s="253"/>
      <c r="AV232" s="253"/>
      <c r="AW232" s="253"/>
      <c r="AX232" s="253"/>
      <c r="AY232" s="253"/>
      <c r="AZ232" s="253"/>
      <c r="BA232" s="253"/>
      <c r="BB232" s="253"/>
      <c r="BC232" s="253"/>
      <c r="BD232" s="253"/>
      <c r="BE232" s="253"/>
      <c r="BF232" s="253"/>
      <c r="BG232" s="253"/>
      <c r="BH232" s="253"/>
      <c r="BI232" s="253"/>
      <c r="BJ232" s="263" t="str">
        <f>HYPERLINK("#일위대가목록!A131","S7-3-3/3 →")</f>
        <v>S7-3-3/3 →</v>
      </c>
    </row>
    <row r="233" spans="1:62" ht="24" customHeight="1">
      <c r="A233" s="256" t="s">
        <v>1464</v>
      </c>
      <c r="B233" s="256" t="s">
        <v>1465</v>
      </c>
      <c r="C233" s="257">
        <v>2</v>
      </c>
      <c r="D233" s="254" t="s">
        <v>1412</v>
      </c>
      <c r="E233" s="258">
        <f>일위목록!E132</f>
        <v>0</v>
      </c>
      <c r="F233" s="258">
        <f t="shared" si="13"/>
        <v>0</v>
      </c>
      <c r="G233" s="258">
        <f>일위목록!F132</f>
        <v>0</v>
      </c>
      <c r="H233" s="258"/>
      <c r="I233" s="258"/>
      <c r="J233" s="258"/>
      <c r="K233" s="258"/>
      <c r="L233" s="258"/>
      <c r="M233" s="256"/>
      <c r="N233" s="253" t="s">
        <v>68</v>
      </c>
      <c r="O233" s="253"/>
      <c r="P233" s="253" t="s">
        <v>1345</v>
      </c>
      <c r="Q233" s="253" t="s">
        <v>68</v>
      </c>
      <c r="R233" s="253" t="s">
        <v>1466</v>
      </c>
      <c r="S233" s="253"/>
      <c r="T233" s="253" t="s">
        <v>1129</v>
      </c>
      <c r="U233" s="253"/>
      <c r="V233" s="253"/>
      <c r="W233" s="253"/>
      <c r="X233" s="253"/>
      <c r="Y233" s="253"/>
      <c r="Z233" s="253"/>
      <c r="AA233" s="253"/>
      <c r="AB233" s="253"/>
      <c r="AC233" s="253"/>
      <c r="AD233" s="253"/>
      <c r="AE233" s="253"/>
      <c r="AF233" s="253"/>
      <c r="AG233" s="253"/>
      <c r="AH233" s="253"/>
      <c r="AI233" s="253"/>
      <c r="AJ233" s="253"/>
      <c r="AK233" s="253"/>
      <c r="AL233" s="253"/>
      <c r="AM233" s="253"/>
      <c r="AN233" s="253"/>
      <c r="AO233" s="253"/>
      <c r="AP233" s="253"/>
      <c r="AQ233" s="253"/>
      <c r="AR233" s="253"/>
      <c r="AS233" s="253"/>
      <c r="AT233" s="253"/>
      <c r="AU233" s="253"/>
      <c r="AV233" s="253"/>
      <c r="AW233" s="253"/>
      <c r="AX233" s="253"/>
      <c r="AY233" s="253"/>
      <c r="AZ233" s="253"/>
      <c r="BA233" s="253"/>
      <c r="BB233" s="253"/>
      <c r="BC233" s="253"/>
      <c r="BD233" s="253"/>
      <c r="BE233" s="253"/>
      <c r="BF233" s="253"/>
      <c r="BG233" s="253"/>
      <c r="BH233" s="253"/>
      <c r="BI233" s="253"/>
      <c r="BJ233" s="263" t="str">
        <f>HYPERLINK("#일위대가목록!A132","S7-1-2/2 →")</f>
        <v>S7-1-2/2 →</v>
      </c>
    </row>
    <row r="234" spans="1:62" ht="24" customHeight="1">
      <c r="A234" s="256" t="s">
        <v>1467</v>
      </c>
      <c r="B234" s="256" t="s">
        <v>1448</v>
      </c>
      <c r="C234" s="257">
        <v>2</v>
      </c>
      <c r="D234" s="254" t="s">
        <v>1412</v>
      </c>
      <c r="E234" s="258">
        <f>일위목록!E133</f>
        <v>0</v>
      </c>
      <c r="F234" s="258">
        <f t="shared" si="13"/>
        <v>0</v>
      </c>
      <c r="G234" s="258">
        <f>일위목록!F133</f>
        <v>0</v>
      </c>
      <c r="H234" s="258"/>
      <c r="I234" s="258"/>
      <c r="J234" s="258"/>
      <c r="K234" s="258"/>
      <c r="L234" s="258"/>
      <c r="M234" s="256"/>
      <c r="N234" s="253" t="s">
        <v>68</v>
      </c>
      <c r="O234" s="253"/>
      <c r="P234" s="253" t="s">
        <v>1347</v>
      </c>
      <c r="Q234" s="253" t="s">
        <v>68</v>
      </c>
      <c r="R234" s="253" t="s">
        <v>1468</v>
      </c>
      <c r="S234" s="253"/>
      <c r="T234" s="253" t="s">
        <v>1129</v>
      </c>
      <c r="U234" s="253"/>
      <c r="V234" s="253"/>
      <c r="W234" s="253"/>
      <c r="X234" s="253"/>
      <c r="Y234" s="253"/>
      <c r="Z234" s="253"/>
      <c r="AA234" s="253"/>
      <c r="AB234" s="253"/>
      <c r="AC234" s="253"/>
      <c r="AD234" s="253"/>
      <c r="AE234" s="253"/>
      <c r="AF234" s="253"/>
      <c r="AG234" s="253"/>
      <c r="AH234" s="253"/>
      <c r="AI234" s="253"/>
      <c r="AJ234" s="253"/>
      <c r="AK234" s="253"/>
      <c r="AL234" s="253"/>
      <c r="AM234" s="253"/>
      <c r="AN234" s="253"/>
      <c r="AO234" s="253"/>
      <c r="AP234" s="253"/>
      <c r="AQ234" s="253"/>
      <c r="AR234" s="253"/>
      <c r="AS234" s="253"/>
      <c r="AT234" s="253"/>
      <c r="AU234" s="253"/>
      <c r="AV234" s="253"/>
      <c r="AW234" s="253"/>
      <c r="AX234" s="253"/>
      <c r="AY234" s="253"/>
      <c r="AZ234" s="253"/>
      <c r="BA234" s="253"/>
      <c r="BB234" s="253"/>
      <c r="BC234" s="253"/>
      <c r="BD234" s="253"/>
      <c r="BE234" s="253"/>
      <c r="BF234" s="253"/>
      <c r="BG234" s="253"/>
      <c r="BH234" s="253"/>
      <c r="BI234" s="253"/>
      <c r="BJ234" s="263" t="str">
        <f>HYPERLINK("#일위대가목록!A133","S7-3-2/3 →")</f>
        <v>S7-3-2/3 →</v>
      </c>
    </row>
    <row r="235" spans="1:62" ht="24" customHeight="1">
      <c r="A235" s="256" t="s">
        <v>1469</v>
      </c>
      <c r="B235" s="256" t="s">
        <v>1470</v>
      </c>
      <c r="C235" s="257">
        <v>1</v>
      </c>
      <c r="D235" s="254" t="s">
        <v>1471</v>
      </c>
      <c r="E235" s="258">
        <f>자재!D121</f>
        <v>0</v>
      </c>
      <c r="F235" s="258">
        <f t="shared" si="13"/>
        <v>0</v>
      </c>
      <c r="G235" s="258">
        <v>0</v>
      </c>
      <c r="H235" s="258"/>
      <c r="I235" s="258"/>
      <c r="J235" s="258"/>
      <c r="K235" s="258"/>
      <c r="L235" s="258"/>
      <c r="M235" s="256"/>
      <c r="N235" s="253" t="s">
        <v>68</v>
      </c>
      <c r="O235" s="253"/>
      <c r="P235" s="253" t="s">
        <v>1350</v>
      </c>
      <c r="Q235" s="253" t="s">
        <v>68</v>
      </c>
      <c r="R235" s="253" t="s">
        <v>1472</v>
      </c>
      <c r="S235" s="253"/>
      <c r="T235" s="253"/>
      <c r="U235" s="253"/>
      <c r="V235" s="253"/>
      <c r="W235" s="253"/>
      <c r="X235" s="253"/>
      <c r="Y235" s="253"/>
      <c r="Z235" s="253"/>
      <c r="AA235" s="253"/>
      <c r="AB235" s="253"/>
      <c r="AC235" s="253"/>
      <c r="AD235" s="253"/>
      <c r="AE235" s="253"/>
      <c r="AF235" s="253"/>
      <c r="AG235" s="253"/>
      <c r="AH235" s="253"/>
      <c r="AI235" s="253"/>
      <c r="AJ235" s="253"/>
      <c r="AK235" s="253"/>
      <c r="AL235" s="253"/>
      <c r="AM235" s="253"/>
      <c r="AN235" s="253"/>
      <c r="AO235" s="253"/>
      <c r="AP235" s="253"/>
      <c r="AQ235" s="253"/>
      <c r="AR235" s="253"/>
      <c r="AS235" s="253"/>
      <c r="AT235" s="253"/>
      <c r="AU235" s="253"/>
      <c r="AV235" s="253"/>
      <c r="AW235" s="253"/>
      <c r="AX235" s="253"/>
      <c r="AY235" s="253"/>
      <c r="AZ235" s="253"/>
      <c r="BA235" s="253"/>
      <c r="BB235" s="253"/>
      <c r="BC235" s="253"/>
      <c r="BD235" s="253"/>
      <c r="BE235" s="253"/>
      <c r="BF235" s="253"/>
      <c r="BG235" s="253"/>
      <c r="BH235" s="253"/>
      <c r="BI235" s="253"/>
      <c r="BJ235" s="263" t="str">
        <f>HYPERLINK("#자재!A121","MZZ9000084 →")</f>
        <v>MZZ9000084 →</v>
      </c>
    </row>
    <row r="236" spans="1:62" ht="24" customHeight="1">
      <c r="A236" s="256" t="s">
        <v>1473</v>
      </c>
      <c r="B236" s="256" t="s">
        <v>1474</v>
      </c>
      <c r="C236" s="264">
        <v>3.32</v>
      </c>
      <c r="D236" s="254" t="s">
        <v>9</v>
      </c>
      <c r="E236" s="258">
        <f>일위목록!E134</f>
        <v>0</v>
      </c>
      <c r="F236" s="258">
        <f t="shared" si="13"/>
        <v>0</v>
      </c>
      <c r="G236" s="258">
        <f>일위목록!F134</f>
        <v>0</v>
      </c>
      <c r="H236" s="258"/>
      <c r="I236" s="258"/>
      <c r="J236" s="258"/>
      <c r="K236" s="258"/>
      <c r="L236" s="258"/>
      <c r="M236" s="256"/>
      <c r="N236" s="253" t="s">
        <v>68</v>
      </c>
      <c r="O236" s="253"/>
      <c r="P236" s="253" t="s">
        <v>1354</v>
      </c>
      <c r="Q236" s="253" t="s">
        <v>68</v>
      </c>
      <c r="R236" s="253" t="s">
        <v>1475</v>
      </c>
      <c r="S236" s="253"/>
      <c r="T236" s="253" t="s">
        <v>1129</v>
      </c>
      <c r="U236" s="253"/>
      <c r="V236" s="253"/>
      <c r="W236" s="253"/>
      <c r="X236" s="253"/>
      <c r="Y236" s="253"/>
      <c r="Z236" s="253"/>
      <c r="AA236" s="253"/>
      <c r="AB236" s="253"/>
      <c r="AC236" s="253"/>
      <c r="AD236" s="253"/>
      <c r="AE236" s="253"/>
      <c r="AF236" s="253"/>
      <c r="AG236" s="253"/>
      <c r="AH236" s="253"/>
      <c r="AI236" s="253"/>
      <c r="AJ236" s="253"/>
      <c r="AK236" s="253"/>
      <c r="AL236" s="253"/>
      <c r="AM236" s="253"/>
      <c r="AN236" s="253"/>
      <c r="AO236" s="253"/>
      <c r="AP236" s="253"/>
      <c r="AQ236" s="253"/>
      <c r="AR236" s="253"/>
      <c r="AS236" s="253"/>
      <c r="AT236" s="253"/>
      <c r="AU236" s="253"/>
      <c r="AV236" s="253"/>
      <c r="AW236" s="253"/>
      <c r="AX236" s="253"/>
      <c r="AY236" s="253"/>
      <c r="AZ236" s="253"/>
      <c r="BA236" s="253"/>
      <c r="BB236" s="253"/>
      <c r="BC236" s="253"/>
      <c r="BD236" s="253"/>
      <c r="BE236" s="253"/>
      <c r="BF236" s="253"/>
      <c r="BG236" s="253"/>
      <c r="BH236" s="253"/>
      <c r="BI236" s="253"/>
      <c r="BJ236" s="263" t="str">
        <f>HYPERLINK("#일위대가목록!A134","S2-1-3-04 →")</f>
        <v>S2-1-3-04 →</v>
      </c>
    </row>
    <row r="237" spans="1:62" ht="24" customHeight="1">
      <c r="A237" s="256" t="s">
        <v>1072</v>
      </c>
      <c r="B237" s="256" t="s">
        <v>1476</v>
      </c>
      <c r="C237" s="257">
        <v>10</v>
      </c>
      <c r="D237" s="254" t="s">
        <v>1033</v>
      </c>
      <c r="E237" s="258">
        <f>일위목록!E135</f>
        <v>0</v>
      </c>
      <c r="F237" s="258">
        <f t="shared" si="13"/>
        <v>0</v>
      </c>
      <c r="G237" s="258">
        <f>일위목록!F135</f>
        <v>0</v>
      </c>
      <c r="H237" s="258"/>
      <c r="I237" s="258"/>
      <c r="J237" s="258"/>
      <c r="K237" s="258"/>
      <c r="L237" s="258"/>
      <c r="M237" s="256"/>
      <c r="N237" s="253" t="s">
        <v>68</v>
      </c>
      <c r="O237" s="253"/>
      <c r="P237" s="253" t="s">
        <v>1358</v>
      </c>
      <c r="Q237" s="253" t="s">
        <v>68</v>
      </c>
      <c r="R237" s="253" t="s">
        <v>1477</v>
      </c>
      <c r="S237" s="253"/>
      <c r="T237" s="253" t="s">
        <v>1129</v>
      </c>
      <c r="U237" s="253"/>
      <c r="V237" s="253"/>
      <c r="W237" s="253"/>
      <c r="X237" s="253"/>
      <c r="Y237" s="253"/>
      <c r="Z237" s="253"/>
      <c r="AA237" s="253"/>
      <c r="AB237" s="253"/>
      <c r="AC237" s="253"/>
      <c r="AD237" s="253"/>
      <c r="AE237" s="253"/>
      <c r="AF237" s="253"/>
      <c r="AG237" s="253"/>
      <c r="AH237" s="253"/>
      <c r="AI237" s="253"/>
      <c r="AJ237" s="253"/>
      <c r="AK237" s="253"/>
      <c r="AL237" s="253"/>
      <c r="AM237" s="253"/>
      <c r="AN237" s="253"/>
      <c r="AO237" s="253"/>
      <c r="AP237" s="253"/>
      <c r="AQ237" s="253"/>
      <c r="AR237" s="253"/>
      <c r="AS237" s="253"/>
      <c r="AT237" s="253"/>
      <c r="AU237" s="253"/>
      <c r="AV237" s="253"/>
      <c r="AW237" s="253"/>
      <c r="AX237" s="253"/>
      <c r="AY237" s="253"/>
      <c r="AZ237" s="253"/>
      <c r="BA237" s="253"/>
      <c r="BB237" s="253"/>
      <c r="BC237" s="253"/>
      <c r="BD237" s="253"/>
      <c r="BE237" s="253"/>
      <c r="BF237" s="253"/>
      <c r="BG237" s="253"/>
      <c r="BH237" s="253"/>
      <c r="BI237" s="253"/>
      <c r="BJ237" s="263" t="str">
        <f>HYPERLINK("#일위대가목록!A135","S2-1-1/1 →")</f>
        <v>S2-1-1/1 →</v>
      </c>
    </row>
    <row r="238" spans="1:62" ht="24" customHeight="1">
      <c r="A238" s="256" t="s">
        <v>68</v>
      </c>
      <c r="B238" s="256" t="s">
        <v>68</v>
      </c>
      <c r="C238" s="264"/>
      <c r="D238" s="254" t="s">
        <v>68</v>
      </c>
      <c r="E238" s="254"/>
      <c r="F238" s="258">
        <v>0</v>
      </c>
      <c r="G238" s="254"/>
      <c r="H238" s="258"/>
      <c r="I238" s="254"/>
      <c r="J238" s="258"/>
      <c r="K238" s="258"/>
      <c r="L238" s="258"/>
      <c r="M238" s="256"/>
      <c r="N238" s="253" t="s">
        <v>68</v>
      </c>
      <c r="O238" s="253"/>
      <c r="P238" s="253" t="s">
        <v>1365</v>
      </c>
      <c r="Q238" s="253" t="s">
        <v>68</v>
      </c>
      <c r="R238" s="253" t="s">
        <v>68</v>
      </c>
      <c r="S238" s="253"/>
      <c r="T238" s="253"/>
      <c r="U238" s="253"/>
      <c r="V238" s="253"/>
      <c r="W238" s="253"/>
      <c r="X238" s="253"/>
      <c r="Y238" s="253"/>
      <c r="Z238" s="253"/>
      <c r="AA238" s="253"/>
      <c r="AB238" s="253"/>
      <c r="AC238" s="253"/>
      <c r="AD238" s="253"/>
      <c r="AE238" s="253"/>
      <c r="AF238" s="253"/>
      <c r="AG238" s="253"/>
      <c r="AH238" s="253"/>
      <c r="AI238" s="253"/>
      <c r="AJ238" s="253"/>
      <c r="AK238" s="253"/>
      <c r="AL238" s="253"/>
      <c r="AM238" s="253"/>
      <c r="AN238" s="253"/>
      <c r="AO238" s="253"/>
      <c r="AP238" s="253"/>
      <c r="AQ238" s="253"/>
      <c r="AR238" s="253"/>
      <c r="AS238" s="253"/>
      <c r="AT238" s="253"/>
      <c r="AU238" s="253"/>
      <c r="AV238" s="253"/>
      <c r="AW238" s="253"/>
      <c r="AX238" s="253"/>
      <c r="AY238" s="253"/>
      <c r="AZ238" s="253"/>
      <c r="BA238" s="253"/>
      <c r="BB238" s="253"/>
      <c r="BC238" s="253"/>
      <c r="BD238" s="253"/>
      <c r="BE238" s="253"/>
      <c r="BF238" s="253"/>
      <c r="BG238" s="253"/>
      <c r="BH238" s="253"/>
      <c r="BI238" s="253"/>
      <c r="BJ238" s="253"/>
    </row>
    <row r="239" spans="1:62" ht="24" customHeight="1">
      <c r="A239" s="273" t="s">
        <v>1259</v>
      </c>
      <c r="B239" s="273" t="s">
        <v>68</v>
      </c>
      <c r="C239" s="274">
        <v>1</v>
      </c>
      <c r="D239" s="275" t="s">
        <v>1094</v>
      </c>
      <c r="E239" s="275"/>
      <c r="F239" s="276">
        <f>TRUNC(F240+F241+F242+F243+F244+F245+F246+F247+F248+F249+F250+F251+F252+F253,0)</f>
        <v>0</v>
      </c>
      <c r="G239" s="275"/>
      <c r="H239" s="276"/>
      <c r="I239" s="275"/>
      <c r="J239" s="276"/>
      <c r="K239" s="275"/>
      <c r="L239" s="276"/>
      <c r="M239" s="273"/>
      <c r="N239" s="253" t="s">
        <v>68</v>
      </c>
      <c r="O239" s="253" t="s">
        <v>1260</v>
      </c>
      <c r="P239" s="253"/>
      <c r="Q239" s="253"/>
      <c r="R239" s="253"/>
      <c r="S239" s="253"/>
      <c r="T239" s="253"/>
      <c r="U239" s="253"/>
      <c r="V239" s="253"/>
      <c r="W239" s="253"/>
      <c r="X239" s="253"/>
      <c r="Y239" s="253"/>
      <c r="Z239" s="253"/>
      <c r="AA239" s="253"/>
      <c r="AB239" s="253"/>
      <c r="AC239" s="253"/>
      <c r="AD239" s="253"/>
      <c r="AE239" s="253"/>
      <c r="AF239" s="253"/>
      <c r="AG239" s="253"/>
      <c r="AH239" s="253"/>
      <c r="AI239" s="253"/>
      <c r="AJ239" s="253"/>
      <c r="AK239" s="253"/>
      <c r="AL239" s="253"/>
      <c r="AM239" s="253"/>
      <c r="AN239" s="253"/>
      <c r="AO239" s="253"/>
      <c r="AP239" s="253"/>
      <c r="AQ239" s="253"/>
      <c r="AR239" s="253"/>
      <c r="AS239" s="253"/>
      <c r="AT239" s="253"/>
      <c r="AU239" s="253"/>
      <c r="AV239" s="253"/>
      <c r="AW239" s="253"/>
      <c r="AX239" s="253"/>
      <c r="AY239" s="253"/>
      <c r="AZ239" s="253"/>
      <c r="BA239" s="253"/>
      <c r="BB239" s="253"/>
      <c r="BC239" s="253"/>
      <c r="BD239" s="253"/>
      <c r="BE239" s="253"/>
      <c r="BF239" s="253"/>
      <c r="BG239" s="253"/>
      <c r="BH239" s="253"/>
      <c r="BI239" s="253"/>
      <c r="BJ239" s="253"/>
    </row>
    <row r="240" spans="1:62" ht="24" customHeight="1">
      <c r="A240" s="256" t="s">
        <v>1478</v>
      </c>
      <c r="B240" s="256" t="s">
        <v>1479</v>
      </c>
      <c r="C240" s="257">
        <v>1</v>
      </c>
      <c r="D240" s="254" t="s">
        <v>437</v>
      </c>
      <c r="E240" s="258">
        <f>자재!D143</f>
        <v>0</v>
      </c>
      <c r="F240" s="258">
        <f t="shared" ref="F240:F253" si="14">TRUNC(E240*C240,0)</f>
        <v>0</v>
      </c>
      <c r="G240" s="258">
        <v>0</v>
      </c>
      <c r="H240" s="258"/>
      <c r="I240" s="258"/>
      <c r="J240" s="258"/>
      <c r="K240" s="258"/>
      <c r="L240" s="258"/>
      <c r="M240" s="256"/>
      <c r="N240" s="253" t="s">
        <v>68</v>
      </c>
      <c r="O240" s="253"/>
      <c r="P240" s="253" t="s">
        <v>1095</v>
      </c>
      <c r="Q240" s="253" t="s">
        <v>68</v>
      </c>
      <c r="R240" s="253" t="s">
        <v>1480</v>
      </c>
      <c r="S240" s="253"/>
      <c r="T240" s="253"/>
      <c r="U240" s="253"/>
      <c r="V240" s="253"/>
      <c r="W240" s="253"/>
      <c r="X240" s="253"/>
      <c r="Y240" s="253"/>
      <c r="Z240" s="253"/>
      <c r="AA240" s="253"/>
      <c r="AB240" s="253"/>
      <c r="AC240" s="253"/>
      <c r="AD240" s="253"/>
      <c r="AE240" s="253"/>
      <c r="AF240" s="253"/>
      <c r="AG240" s="253"/>
      <c r="AH240" s="253"/>
      <c r="AI240" s="253"/>
      <c r="AJ240" s="253"/>
      <c r="AK240" s="253"/>
      <c r="AL240" s="253"/>
      <c r="AM240" s="253"/>
      <c r="AN240" s="253"/>
      <c r="AO240" s="253"/>
      <c r="AP240" s="253"/>
      <c r="AQ240" s="253"/>
      <c r="AR240" s="253"/>
      <c r="AS240" s="253"/>
      <c r="AT240" s="253"/>
      <c r="AU240" s="253"/>
      <c r="AV240" s="253"/>
      <c r="AW240" s="253"/>
      <c r="AX240" s="253"/>
      <c r="AY240" s="253"/>
      <c r="AZ240" s="253"/>
      <c r="BA240" s="253"/>
      <c r="BB240" s="253"/>
      <c r="BC240" s="253"/>
      <c r="BD240" s="253"/>
      <c r="BE240" s="253"/>
      <c r="BF240" s="253"/>
      <c r="BG240" s="253"/>
      <c r="BH240" s="253"/>
      <c r="BI240" s="253"/>
      <c r="BJ240" s="263" t="str">
        <f>HYPERLINK("#자재!A143","MZZ9000116 →")</f>
        <v>MZZ9000116 →</v>
      </c>
    </row>
    <row r="241" spans="1:62" ht="24" customHeight="1">
      <c r="A241" s="256" t="s">
        <v>1481</v>
      </c>
      <c r="B241" s="256" t="s">
        <v>1482</v>
      </c>
      <c r="C241" s="257">
        <v>1</v>
      </c>
      <c r="D241" s="254" t="s">
        <v>437</v>
      </c>
      <c r="E241" s="258">
        <f>자재!D144</f>
        <v>0</v>
      </c>
      <c r="F241" s="258">
        <f t="shared" si="14"/>
        <v>0</v>
      </c>
      <c r="G241" s="258">
        <v>0</v>
      </c>
      <c r="H241" s="258"/>
      <c r="I241" s="258"/>
      <c r="J241" s="258"/>
      <c r="K241" s="258"/>
      <c r="L241" s="258"/>
      <c r="M241" s="256"/>
      <c r="N241" s="253" t="s">
        <v>68</v>
      </c>
      <c r="O241" s="253"/>
      <c r="P241" s="253" t="s">
        <v>1098</v>
      </c>
      <c r="Q241" s="253" t="s">
        <v>68</v>
      </c>
      <c r="R241" s="253" t="s">
        <v>1483</v>
      </c>
      <c r="S241" s="253"/>
      <c r="T241" s="253"/>
      <c r="U241" s="253"/>
      <c r="V241" s="253"/>
      <c r="W241" s="253"/>
      <c r="X241" s="253"/>
      <c r="Y241" s="253"/>
      <c r="Z241" s="253"/>
      <c r="AA241" s="253"/>
      <c r="AB241" s="253"/>
      <c r="AC241" s="253"/>
      <c r="AD241" s="253"/>
      <c r="AE241" s="253"/>
      <c r="AF241" s="253"/>
      <c r="AG241" s="253"/>
      <c r="AH241" s="253"/>
      <c r="AI241" s="253"/>
      <c r="AJ241" s="253"/>
      <c r="AK241" s="253"/>
      <c r="AL241" s="253"/>
      <c r="AM241" s="253"/>
      <c r="AN241" s="253"/>
      <c r="AO241" s="253"/>
      <c r="AP241" s="253"/>
      <c r="AQ241" s="253"/>
      <c r="AR241" s="253"/>
      <c r="AS241" s="253"/>
      <c r="AT241" s="253"/>
      <c r="AU241" s="253"/>
      <c r="AV241" s="253"/>
      <c r="AW241" s="253"/>
      <c r="AX241" s="253"/>
      <c r="AY241" s="253"/>
      <c r="AZ241" s="253"/>
      <c r="BA241" s="253"/>
      <c r="BB241" s="253"/>
      <c r="BC241" s="253"/>
      <c r="BD241" s="253"/>
      <c r="BE241" s="253"/>
      <c r="BF241" s="253"/>
      <c r="BG241" s="253"/>
      <c r="BH241" s="253"/>
      <c r="BI241" s="253"/>
      <c r="BJ241" s="263" t="str">
        <f>HYPERLINK("#자재!A144","MZZ9000117 →")</f>
        <v>MZZ9000117 →</v>
      </c>
    </row>
    <row r="242" spans="1:62" ht="24" customHeight="1">
      <c r="A242" s="256" t="s">
        <v>1484</v>
      </c>
      <c r="B242" s="256" t="s">
        <v>1485</v>
      </c>
      <c r="C242" s="257">
        <v>1</v>
      </c>
      <c r="D242" s="254" t="s">
        <v>437</v>
      </c>
      <c r="E242" s="258">
        <f>자재!D145</f>
        <v>0</v>
      </c>
      <c r="F242" s="258">
        <f t="shared" si="14"/>
        <v>0</v>
      </c>
      <c r="G242" s="258">
        <v>0</v>
      </c>
      <c r="H242" s="258"/>
      <c r="I242" s="258"/>
      <c r="J242" s="258"/>
      <c r="K242" s="258"/>
      <c r="L242" s="258"/>
      <c r="M242" s="256"/>
      <c r="N242" s="253" t="s">
        <v>68</v>
      </c>
      <c r="O242" s="253"/>
      <c r="P242" s="253" t="s">
        <v>1101</v>
      </c>
      <c r="Q242" s="253" t="s">
        <v>68</v>
      </c>
      <c r="R242" s="253" t="s">
        <v>1486</v>
      </c>
      <c r="S242" s="253"/>
      <c r="T242" s="253"/>
      <c r="U242" s="253"/>
      <c r="V242" s="253"/>
      <c r="W242" s="253"/>
      <c r="X242" s="253"/>
      <c r="Y242" s="253"/>
      <c r="Z242" s="253"/>
      <c r="AA242" s="253"/>
      <c r="AB242" s="253"/>
      <c r="AC242" s="253"/>
      <c r="AD242" s="253"/>
      <c r="AE242" s="253"/>
      <c r="AF242" s="253"/>
      <c r="AG242" s="253"/>
      <c r="AH242" s="253"/>
      <c r="AI242" s="253"/>
      <c r="AJ242" s="253"/>
      <c r="AK242" s="253"/>
      <c r="AL242" s="253"/>
      <c r="AM242" s="253"/>
      <c r="AN242" s="253"/>
      <c r="AO242" s="253"/>
      <c r="AP242" s="253"/>
      <c r="AQ242" s="253"/>
      <c r="AR242" s="253"/>
      <c r="AS242" s="253"/>
      <c r="AT242" s="253"/>
      <c r="AU242" s="253"/>
      <c r="AV242" s="253"/>
      <c r="AW242" s="253"/>
      <c r="AX242" s="253"/>
      <c r="AY242" s="253"/>
      <c r="AZ242" s="253"/>
      <c r="BA242" s="253"/>
      <c r="BB242" s="253"/>
      <c r="BC242" s="253"/>
      <c r="BD242" s="253"/>
      <c r="BE242" s="253"/>
      <c r="BF242" s="253"/>
      <c r="BG242" s="253"/>
      <c r="BH242" s="253"/>
      <c r="BI242" s="253"/>
      <c r="BJ242" s="263" t="str">
        <f>HYPERLINK("#자재!A145","MZZ9000118 →")</f>
        <v>MZZ9000118 →</v>
      </c>
    </row>
    <row r="243" spans="1:62" ht="24" customHeight="1">
      <c r="A243" s="256" t="s">
        <v>1487</v>
      </c>
      <c r="B243" s="256" t="s">
        <v>1488</v>
      </c>
      <c r="C243" s="257">
        <v>1</v>
      </c>
      <c r="D243" s="254" t="s">
        <v>437</v>
      </c>
      <c r="E243" s="258">
        <f>자재!D146</f>
        <v>0</v>
      </c>
      <c r="F243" s="258">
        <f t="shared" si="14"/>
        <v>0</v>
      </c>
      <c r="G243" s="258">
        <v>0</v>
      </c>
      <c r="H243" s="258"/>
      <c r="I243" s="258"/>
      <c r="J243" s="258"/>
      <c r="K243" s="258"/>
      <c r="L243" s="258"/>
      <c r="M243" s="256"/>
      <c r="N243" s="253" t="s">
        <v>68</v>
      </c>
      <c r="O243" s="253"/>
      <c r="P243" s="253" t="s">
        <v>1104</v>
      </c>
      <c r="Q243" s="253" t="s">
        <v>68</v>
      </c>
      <c r="R243" s="253" t="s">
        <v>1489</v>
      </c>
      <c r="S243" s="253"/>
      <c r="T243" s="253"/>
      <c r="U243" s="253"/>
      <c r="V243" s="253"/>
      <c r="W243" s="253"/>
      <c r="X243" s="253"/>
      <c r="Y243" s="253"/>
      <c r="Z243" s="253"/>
      <c r="AA243" s="253"/>
      <c r="AB243" s="253"/>
      <c r="AC243" s="253"/>
      <c r="AD243" s="253"/>
      <c r="AE243" s="253"/>
      <c r="AF243" s="253"/>
      <c r="AG243" s="253"/>
      <c r="AH243" s="253"/>
      <c r="AI243" s="253"/>
      <c r="AJ243" s="253"/>
      <c r="AK243" s="253"/>
      <c r="AL243" s="253"/>
      <c r="AM243" s="253"/>
      <c r="AN243" s="253"/>
      <c r="AO243" s="253"/>
      <c r="AP243" s="253"/>
      <c r="AQ243" s="253"/>
      <c r="AR243" s="253"/>
      <c r="AS243" s="253"/>
      <c r="AT243" s="253"/>
      <c r="AU243" s="253"/>
      <c r="AV243" s="253"/>
      <c r="AW243" s="253"/>
      <c r="AX243" s="253"/>
      <c r="AY243" s="253"/>
      <c r="AZ243" s="253"/>
      <c r="BA243" s="253"/>
      <c r="BB243" s="253"/>
      <c r="BC243" s="253"/>
      <c r="BD243" s="253"/>
      <c r="BE243" s="253"/>
      <c r="BF243" s="253"/>
      <c r="BG243" s="253"/>
      <c r="BH243" s="253"/>
      <c r="BI243" s="253"/>
      <c r="BJ243" s="263" t="str">
        <f>HYPERLINK("#자재!A146","MZZ9000119 →")</f>
        <v>MZZ9000119 →</v>
      </c>
    </row>
    <row r="244" spans="1:62" ht="24" customHeight="1">
      <c r="A244" s="256" t="s">
        <v>1490</v>
      </c>
      <c r="B244" s="256" t="s">
        <v>1491</v>
      </c>
      <c r="C244" s="257">
        <v>1</v>
      </c>
      <c r="D244" s="254" t="s">
        <v>437</v>
      </c>
      <c r="E244" s="258">
        <f>자재!D147</f>
        <v>0</v>
      </c>
      <c r="F244" s="258">
        <f t="shared" si="14"/>
        <v>0</v>
      </c>
      <c r="G244" s="258">
        <v>0</v>
      </c>
      <c r="H244" s="258"/>
      <c r="I244" s="258"/>
      <c r="J244" s="258"/>
      <c r="K244" s="258"/>
      <c r="L244" s="258"/>
      <c r="M244" s="256"/>
      <c r="N244" s="253" t="s">
        <v>68</v>
      </c>
      <c r="O244" s="253"/>
      <c r="P244" s="253" t="s">
        <v>1107</v>
      </c>
      <c r="Q244" s="253" t="s">
        <v>68</v>
      </c>
      <c r="R244" s="253" t="s">
        <v>1492</v>
      </c>
      <c r="S244" s="253"/>
      <c r="T244" s="253"/>
      <c r="U244" s="253"/>
      <c r="V244" s="253"/>
      <c r="W244" s="253"/>
      <c r="X244" s="253"/>
      <c r="Y244" s="253"/>
      <c r="Z244" s="253"/>
      <c r="AA244" s="253"/>
      <c r="AB244" s="253"/>
      <c r="AC244" s="253"/>
      <c r="AD244" s="253"/>
      <c r="AE244" s="253"/>
      <c r="AF244" s="253"/>
      <c r="AG244" s="253"/>
      <c r="AH244" s="253"/>
      <c r="AI244" s="253"/>
      <c r="AJ244" s="253"/>
      <c r="AK244" s="253"/>
      <c r="AL244" s="253"/>
      <c r="AM244" s="253"/>
      <c r="AN244" s="253"/>
      <c r="AO244" s="253"/>
      <c r="AP244" s="253"/>
      <c r="AQ244" s="253"/>
      <c r="AR244" s="253"/>
      <c r="AS244" s="253"/>
      <c r="AT244" s="253"/>
      <c r="AU244" s="253"/>
      <c r="AV244" s="253"/>
      <c r="AW244" s="253"/>
      <c r="AX244" s="253"/>
      <c r="AY244" s="253"/>
      <c r="AZ244" s="253"/>
      <c r="BA244" s="253"/>
      <c r="BB244" s="253"/>
      <c r="BC244" s="253"/>
      <c r="BD244" s="253"/>
      <c r="BE244" s="253"/>
      <c r="BF244" s="253"/>
      <c r="BG244" s="253"/>
      <c r="BH244" s="253"/>
      <c r="BI244" s="253"/>
      <c r="BJ244" s="263" t="str">
        <f>HYPERLINK("#자재!A147","MZZ9000120 →")</f>
        <v>MZZ9000120 →</v>
      </c>
    </row>
    <row r="245" spans="1:62" ht="24" customHeight="1">
      <c r="A245" s="256" t="s">
        <v>1493</v>
      </c>
      <c r="B245" s="256" t="s">
        <v>1494</v>
      </c>
      <c r="C245" s="257">
        <v>1</v>
      </c>
      <c r="D245" s="254" t="s">
        <v>437</v>
      </c>
      <c r="E245" s="258">
        <f>자재!D148</f>
        <v>0</v>
      </c>
      <c r="F245" s="258">
        <f t="shared" si="14"/>
        <v>0</v>
      </c>
      <c r="G245" s="258">
        <v>0</v>
      </c>
      <c r="H245" s="258"/>
      <c r="I245" s="258"/>
      <c r="J245" s="258"/>
      <c r="K245" s="258"/>
      <c r="L245" s="258"/>
      <c r="M245" s="256"/>
      <c r="N245" s="253" t="s">
        <v>68</v>
      </c>
      <c r="O245" s="253"/>
      <c r="P245" s="253" t="s">
        <v>1108</v>
      </c>
      <c r="Q245" s="253" t="s">
        <v>68</v>
      </c>
      <c r="R245" s="253" t="s">
        <v>1495</v>
      </c>
      <c r="S245" s="253"/>
      <c r="T245" s="253"/>
      <c r="U245" s="253"/>
      <c r="V245" s="253"/>
      <c r="W245" s="253"/>
      <c r="X245" s="253"/>
      <c r="Y245" s="253"/>
      <c r="Z245" s="253"/>
      <c r="AA245" s="253"/>
      <c r="AB245" s="253"/>
      <c r="AC245" s="253"/>
      <c r="AD245" s="253"/>
      <c r="AE245" s="253"/>
      <c r="AF245" s="253"/>
      <c r="AG245" s="253"/>
      <c r="AH245" s="253"/>
      <c r="AI245" s="253"/>
      <c r="AJ245" s="253"/>
      <c r="AK245" s="253"/>
      <c r="AL245" s="253"/>
      <c r="AM245" s="253"/>
      <c r="AN245" s="253"/>
      <c r="AO245" s="253"/>
      <c r="AP245" s="253"/>
      <c r="AQ245" s="253"/>
      <c r="AR245" s="253"/>
      <c r="AS245" s="253"/>
      <c r="AT245" s="253"/>
      <c r="AU245" s="253"/>
      <c r="AV245" s="253"/>
      <c r="AW245" s="253"/>
      <c r="AX245" s="253"/>
      <c r="AY245" s="253"/>
      <c r="AZ245" s="253"/>
      <c r="BA245" s="253"/>
      <c r="BB245" s="253"/>
      <c r="BC245" s="253"/>
      <c r="BD245" s="253"/>
      <c r="BE245" s="253"/>
      <c r="BF245" s="253"/>
      <c r="BG245" s="253"/>
      <c r="BH245" s="253"/>
      <c r="BI245" s="253"/>
      <c r="BJ245" s="263" t="str">
        <f>HYPERLINK("#자재!A148","MZZ9000121 →")</f>
        <v>MZZ9000121 →</v>
      </c>
    </row>
    <row r="246" spans="1:62" ht="24" customHeight="1">
      <c r="A246" s="256" t="s">
        <v>1496</v>
      </c>
      <c r="B246" s="256" t="s">
        <v>1497</v>
      </c>
      <c r="C246" s="257">
        <v>1</v>
      </c>
      <c r="D246" s="254" t="s">
        <v>437</v>
      </c>
      <c r="E246" s="258">
        <f>자재!D149</f>
        <v>0</v>
      </c>
      <c r="F246" s="258">
        <f t="shared" si="14"/>
        <v>0</v>
      </c>
      <c r="G246" s="258">
        <v>0</v>
      </c>
      <c r="H246" s="258"/>
      <c r="I246" s="258"/>
      <c r="J246" s="258"/>
      <c r="K246" s="258"/>
      <c r="L246" s="258"/>
      <c r="M246" s="256"/>
      <c r="N246" s="253" t="s">
        <v>68</v>
      </c>
      <c r="O246" s="253"/>
      <c r="P246" s="253" t="s">
        <v>1109</v>
      </c>
      <c r="Q246" s="253" t="s">
        <v>68</v>
      </c>
      <c r="R246" s="253" t="s">
        <v>1498</v>
      </c>
      <c r="S246" s="253"/>
      <c r="T246" s="253"/>
      <c r="U246" s="253"/>
      <c r="V246" s="253"/>
      <c r="W246" s="253"/>
      <c r="X246" s="253"/>
      <c r="Y246" s="253"/>
      <c r="Z246" s="253"/>
      <c r="AA246" s="253"/>
      <c r="AB246" s="253"/>
      <c r="AC246" s="253"/>
      <c r="AD246" s="253"/>
      <c r="AE246" s="253"/>
      <c r="AF246" s="253"/>
      <c r="AG246" s="253"/>
      <c r="AH246" s="253"/>
      <c r="AI246" s="253"/>
      <c r="AJ246" s="253"/>
      <c r="AK246" s="253"/>
      <c r="AL246" s="253"/>
      <c r="AM246" s="253"/>
      <c r="AN246" s="253"/>
      <c r="AO246" s="253"/>
      <c r="AP246" s="253"/>
      <c r="AQ246" s="253"/>
      <c r="AR246" s="253"/>
      <c r="AS246" s="253"/>
      <c r="AT246" s="253"/>
      <c r="AU246" s="253"/>
      <c r="AV246" s="253"/>
      <c r="AW246" s="253"/>
      <c r="AX246" s="253"/>
      <c r="AY246" s="253"/>
      <c r="AZ246" s="253"/>
      <c r="BA246" s="253"/>
      <c r="BB246" s="253"/>
      <c r="BC246" s="253"/>
      <c r="BD246" s="253"/>
      <c r="BE246" s="253"/>
      <c r="BF246" s="253"/>
      <c r="BG246" s="253"/>
      <c r="BH246" s="253"/>
      <c r="BI246" s="253"/>
      <c r="BJ246" s="263" t="str">
        <f>HYPERLINK("#자재!A149","MZZ9000122 →")</f>
        <v>MZZ9000122 →</v>
      </c>
    </row>
    <row r="247" spans="1:62" ht="24" customHeight="1">
      <c r="A247" s="256" t="s">
        <v>1499</v>
      </c>
      <c r="B247" s="256" t="s">
        <v>1500</v>
      </c>
      <c r="C247" s="257">
        <v>1</v>
      </c>
      <c r="D247" s="254" t="s">
        <v>437</v>
      </c>
      <c r="E247" s="258">
        <f>자재!D150</f>
        <v>0</v>
      </c>
      <c r="F247" s="258">
        <f t="shared" si="14"/>
        <v>0</v>
      </c>
      <c r="G247" s="258">
        <v>0</v>
      </c>
      <c r="H247" s="258"/>
      <c r="I247" s="258"/>
      <c r="J247" s="258"/>
      <c r="K247" s="258"/>
      <c r="L247" s="258"/>
      <c r="M247" s="256"/>
      <c r="N247" s="253" t="s">
        <v>68</v>
      </c>
      <c r="O247" s="253"/>
      <c r="P247" s="253" t="s">
        <v>1110</v>
      </c>
      <c r="Q247" s="253" t="s">
        <v>68</v>
      </c>
      <c r="R247" s="253" t="s">
        <v>1501</v>
      </c>
      <c r="S247" s="253"/>
      <c r="T247" s="253"/>
      <c r="U247" s="253"/>
      <c r="V247" s="253"/>
      <c r="W247" s="253"/>
      <c r="X247" s="253"/>
      <c r="Y247" s="253"/>
      <c r="Z247" s="253"/>
      <c r="AA247" s="253"/>
      <c r="AB247" s="253"/>
      <c r="AC247" s="253"/>
      <c r="AD247" s="253"/>
      <c r="AE247" s="253"/>
      <c r="AF247" s="253"/>
      <c r="AG247" s="253"/>
      <c r="AH247" s="253"/>
      <c r="AI247" s="253"/>
      <c r="AJ247" s="253"/>
      <c r="AK247" s="253"/>
      <c r="AL247" s="253"/>
      <c r="AM247" s="253"/>
      <c r="AN247" s="253"/>
      <c r="AO247" s="253"/>
      <c r="AP247" s="253"/>
      <c r="AQ247" s="253"/>
      <c r="AR247" s="253"/>
      <c r="AS247" s="253"/>
      <c r="AT247" s="253"/>
      <c r="AU247" s="253"/>
      <c r="AV247" s="253"/>
      <c r="AW247" s="253"/>
      <c r="AX247" s="253"/>
      <c r="AY247" s="253"/>
      <c r="AZ247" s="253"/>
      <c r="BA247" s="253"/>
      <c r="BB247" s="253"/>
      <c r="BC247" s="253"/>
      <c r="BD247" s="253"/>
      <c r="BE247" s="253"/>
      <c r="BF247" s="253"/>
      <c r="BG247" s="253"/>
      <c r="BH247" s="253"/>
      <c r="BI247" s="253"/>
      <c r="BJ247" s="263" t="str">
        <f>HYPERLINK("#자재!A150","MZZ9000123 →")</f>
        <v>MZZ9000123 →</v>
      </c>
    </row>
    <row r="248" spans="1:62" ht="24" customHeight="1">
      <c r="A248" s="256" t="s">
        <v>900</v>
      </c>
      <c r="B248" s="256" t="s">
        <v>1502</v>
      </c>
      <c r="C248" s="257">
        <v>1</v>
      </c>
      <c r="D248" s="254" t="s">
        <v>437</v>
      </c>
      <c r="E248" s="258">
        <f>자재!D151</f>
        <v>0</v>
      </c>
      <c r="F248" s="258">
        <f t="shared" si="14"/>
        <v>0</v>
      </c>
      <c r="G248" s="258">
        <v>0</v>
      </c>
      <c r="H248" s="258"/>
      <c r="I248" s="258"/>
      <c r="J248" s="258"/>
      <c r="K248" s="258"/>
      <c r="L248" s="258"/>
      <c r="M248" s="256"/>
      <c r="N248" s="253" t="s">
        <v>68</v>
      </c>
      <c r="O248" s="253"/>
      <c r="P248" s="253" t="s">
        <v>1111</v>
      </c>
      <c r="Q248" s="253" t="s">
        <v>68</v>
      </c>
      <c r="R248" s="253" t="s">
        <v>1503</v>
      </c>
      <c r="S248" s="253"/>
      <c r="T248" s="253"/>
      <c r="U248" s="253"/>
      <c r="V248" s="253"/>
      <c r="W248" s="253"/>
      <c r="X248" s="253"/>
      <c r="Y248" s="253"/>
      <c r="Z248" s="253"/>
      <c r="AA248" s="253"/>
      <c r="AB248" s="253"/>
      <c r="AC248" s="253"/>
      <c r="AD248" s="253"/>
      <c r="AE248" s="253"/>
      <c r="AF248" s="253"/>
      <c r="AG248" s="253"/>
      <c r="AH248" s="253"/>
      <c r="AI248" s="253"/>
      <c r="AJ248" s="253"/>
      <c r="AK248" s="253"/>
      <c r="AL248" s="253"/>
      <c r="AM248" s="253"/>
      <c r="AN248" s="253"/>
      <c r="AO248" s="253"/>
      <c r="AP248" s="253"/>
      <c r="AQ248" s="253"/>
      <c r="AR248" s="253"/>
      <c r="AS248" s="253"/>
      <c r="AT248" s="253"/>
      <c r="AU248" s="253"/>
      <c r="AV248" s="253"/>
      <c r="AW248" s="253"/>
      <c r="AX248" s="253"/>
      <c r="AY248" s="253"/>
      <c r="AZ248" s="253"/>
      <c r="BA248" s="253"/>
      <c r="BB248" s="253"/>
      <c r="BC248" s="253"/>
      <c r="BD248" s="253"/>
      <c r="BE248" s="253"/>
      <c r="BF248" s="253"/>
      <c r="BG248" s="253"/>
      <c r="BH248" s="253"/>
      <c r="BI248" s="253"/>
      <c r="BJ248" s="263" t="str">
        <f>HYPERLINK("#자재!A151","MZZ9000124 →")</f>
        <v>MZZ9000124 →</v>
      </c>
    </row>
    <row r="249" spans="1:62" ht="24" customHeight="1">
      <c r="A249" s="256" t="s">
        <v>901</v>
      </c>
      <c r="B249" s="256" t="s">
        <v>1504</v>
      </c>
      <c r="C249" s="257">
        <v>2</v>
      </c>
      <c r="D249" s="254" t="s">
        <v>437</v>
      </c>
      <c r="E249" s="258">
        <f>자재!D152</f>
        <v>0</v>
      </c>
      <c r="F249" s="258">
        <f t="shared" si="14"/>
        <v>0</v>
      </c>
      <c r="G249" s="258">
        <v>0</v>
      </c>
      <c r="H249" s="258"/>
      <c r="I249" s="258"/>
      <c r="J249" s="258"/>
      <c r="K249" s="258"/>
      <c r="L249" s="258"/>
      <c r="M249" s="256"/>
      <c r="N249" s="253" t="s">
        <v>68</v>
      </c>
      <c r="O249" s="253"/>
      <c r="P249" s="253" t="s">
        <v>1112</v>
      </c>
      <c r="Q249" s="253" t="s">
        <v>68</v>
      </c>
      <c r="R249" s="253" t="s">
        <v>1505</v>
      </c>
      <c r="S249" s="253"/>
      <c r="T249" s="253"/>
      <c r="U249" s="253"/>
      <c r="V249" s="253"/>
      <c r="W249" s="253"/>
      <c r="X249" s="253"/>
      <c r="Y249" s="253"/>
      <c r="Z249" s="253"/>
      <c r="AA249" s="253"/>
      <c r="AB249" s="253"/>
      <c r="AC249" s="253"/>
      <c r="AD249" s="253"/>
      <c r="AE249" s="253"/>
      <c r="AF249" s="253"/>
      <c r="AG249" s="253"/>
      <c r="AH249" s="253"/>
      <c r="AI249" s="253"/>
      <c r="AJ249" s="253"/>
      <c r="AK249" s="253"/>
      <c r="AL249" s="253"/>
      <c r="AM249" s="253"/>
      <c r="AN249" s="253"/>
      <c r="AO249" s="253"/>
      <c r="AP249" s="253"/>
      <c r="AQ249" s="253"/>
      <c r="AR249" s="253"/>
      <c r="AS249" s="253"/>
      <c r="AT249" s="253"/>
      <c r="AU249" s="253"/>
      <c r="AV249" s="253"/>
      <c r="AW249" s="253"/>
      <c r="AX249" s="253"/>
      <c r="AY249" s="253"/>
      <c r="AZ249" s="253"/>
      <c r="BA249" s="253"/>
      <c r="BB249" s="253"/>
      <c r="BC249" s="253"/>
      <c r="BD249" s="253"/>
      <c r="BE249" s="253"/>
      <c r="BF249" s="253"/>
      <c r="BG249" s="253"/>
      <c r="BH249" s="253"/>
      <c r="BI249" s="253"/>
      <c r="BJ249" s="263" t="str">
        <f>HYPERLINK("#자재!A152","MZZ9000125 →")</f>
        <v>MZZ9000125 →</v>
      </c>
    </row>
    <row r="250" spans="1:62" ht="24" customHeight="1">
      <c r="A250" s="256" t="s">
        <v>902</v>
      </c>
      <c r="B250" s="256" t="s">
        <v>1506</v>
      </c>
      <c r="C250" s="257">
        <v>1</v>
      </c>
      <c r="D250" s="254" t="s">
        <v>437</v>
      </c>
      <c r="E250" s="258">
        <f>자재!D153</f>
        <v>0</v>
      </c>
      <c r="F250" s="258">
        <f t="shared" si="14"/>
        <v>0</v>
      </c>
      <c r="G250" s="258">
        <v>0</v>
      </c>
      <c r="H250" s="258"/>
      <c r="I250" s="258"/>
      <c r="J250" s="258"/>
      <c r="K250" s="258"/>
      <c r="L250" s="258"/>
      <c r="M250" s="256"/>
      <c r="N250" s="253" t="s">
        <v>68</v>
      </c>
      <c r="O250" s="253"/>
      <c r="P250" s="253" t="s">
        <v>1113</v>
      </c>
      <c r="Q250" s="253" t="s">
        <v>68</v>
      </c>
      <c r="R250" s="253" t="s">
        <v>1507</v>
      </c>
      <c r="S250" s="253"/>
      <c r="T250" s="253"/>
      <c r="U250" s="253"/>
      <c r="V250" s="253"/>
      <c r="W250" s="253"/>
      <c r="X250" s="253"/>
      <c r="Y250" s="253"/>
      <c r="Z250" s="253"/>
      <c r="AA250" s="253"/>
      <c r="AB250" s="253"/>
      <c r="AC250" s="253"/>
      <c r="AD250" s="253"/>
      <c r="AE250" s="253"/>
      <c r="AF250" s="253"/>
      <c r="AG250" s="253"/>
      <c r="AH250" s="253"/>
      <c r="AI250" s="253"/>
      <c r="AJ250" s="253"/>
      <c r="AK250" s="253"/>
      <c r="AL250" s="253"/>
      <c r="AM250" s="253"/>
      <c r="AN250" s="253"/>
      <c r="AO250" s="253"/>
      <c r="AP250" s="253"/>
      <c r="AQ250" s="253"/>
      <c r="AR250" s="253"/>
      <c r="AS250" s="253"/>
      <c r="AT250" s="253"/>
      <c r="AU250" s="253"/>
      <c r="AV250" s="253"/>
      <c r="AW250" s="253"/>
      <c r="AX250" s="253"/>
      <c r="AY250" s="253"/>
      <c r="AZ250" s="253"/>
      <c r="BA250" s="253"/>
      <c r="BB250" s="253"/>
      <c r="BC250" s="253"/>
      <c r="BD250" s="253"/>
      <c r="BE250" s="253"/>
      <c r="BF250" s="253"/>
      <c r="BG250" s="253"/>
      <c r="BH250" s="253"/>
      <c r="BI250" s="253"/>
      <c r="BJ250" s="263" t="str">
        <f>HYPERLINK("#자재!A153","MZZ9000126 →")</f>
        <v>MZZ9000126 →</v>
      </c>
    </row>
    <row r="251" spans="1:62" ht="24" customHeight="1">
      <c r="A251" s="256" t="s">
        <v>903</v>
      </c>
      <c r="B251" s="256" t="s">
        <v>1508</v>
      </c>
      <c r="C251" s="257">
        <v>1</v>
      </c>
      <c r="D251" s="254" t="s">
        <v>437</v>
      </c>
      <c r="E251" s="258">
        <f>자재!D154</f>
        <v>0</v>
      </c>
      <c r="F251" s="258">
        <f t="shared" si="14"/>
        <v>0</v>
      </c>
      <c r="G251" s="258">
        <v>0</v>
      </c>
      <c r="H251" s="258"/>
      <c r="I251" s="258"/>
      <c r="J251" s="258"/>
      <c r="K251" s="258"/>
      <c r="L251" s="258"/>
      <c r="M251" s="256"/>
      <c r="N251" s="253" t="s">
        <v>68</v>
      </c>
      <c r="O251" s="253"/>
      <c r="P251" s="253" t="s">
        <v>1114</v>
      </c>
      <c r="Q251" s="253" t="s">
        <v>68</v>
      </c>
      <c r="R251" s="253" t="s">
        <v>1509</v>
      </c>
      <c r="S251" s="253"/>
      <c r="T251" s="253"/>
      <c r="U251" s="253"/>
      <c r="V251" s="253"/>
      <c r="W251" s="253"/>
      <c r="X251" s="253"/>
      <c r="Y251" s="253"/>
      <c r="Z251" s="253"/>
      <c r="AA251" s="253"/>
      <c r="AB251" s="253"/>
      <c r="AC251" s="253"/>
      <c r="AD251" s="253"/>
      <c r="AE251" s="253"/>
      <c r="AF251" s="253"/>
      <c r="AG251" s="253"/>
      <c r="AH251" s="253"/>
      <c r="AI251" s="253"/>
      <c r="AJ251" s="253"/>
      <c r="AK251" s="253"/>
      <c r="AL251" s="253"/>
      <c r="AM251" s="253"/>
      <c r="AN251" s="253"/>
      <c r="AO251" s="253"/>
      <c r="AP251" s="253"/>
      <c r="AQ251" s="253"/>
      <c r="AR251" s="253"/>
      <c r="AS251" s="253"/>
      <c r="AT251" s="253"/>
      <c r="AU251" s="253"/>
      <c r="AV251" s="253"/>
      <c r="AW251" s="253"/>
      <c r="AX251" s="253"/>
      <c r="AY251" s="253"/>
      <c r="AZ251" s="253"/>
      <c r="BA251" s="253"/>
      <c r="BB251" s="253"/>
      <c r="BC251" s="253"/>
      <c r="BD251" s="253"/>
      <c r="BE251" s="253"/>
      <c r="BF251" s="253"/>
      <c r="BG251" s="253"/>
      <c r="BH251" s="253"/>
      <c r="BI251" s="253"/>
      <c r="BJ251" s="263" t="str">
        <f>HYPERLINK("#자재!A154","MZZ9000127 →")</f>
        <v>MZZ9000127 →</v>
      </c>
    </row>
    <row r="252" spans="1:62" ht="24" customHeight="1">
      <c r="A252" s="256" t="s">
        <v>904</v>
      </c>
      <c r="B252" s="256" t="s">
        <v>1510</v>
      </c>
      <c r="C252" s="257">
        <v>1</v>
      </c>
      <c r="D252" s="254" t="s">
        <v>437</v>
      </c>
      <c r="E252" s="258">
        <f>자재!D155</f>
        <v>0</v>
      </c>
      <c r="F252" s="258">
        <f t="shared" si="14"/>
        <v>0</v>
      </c>
      <c r="G252" s="258">
        <v>0</v>
      </c>
      <c r="H252" s="258"/>
      <c r="I252" s="258"/>
      <c r="J252" s="258"/>
      <c r="K252" s="258"/>
      <c r="L252" s="258"/>
      <c r="M252" s="256"/>
      <c r="N252" s="253" t="s">
        <v>68</v>
      </c>
      <c r="O252" s="253"/>
      <c r="P252" s="253" t="s">
        <v>1115</v>
      </c>
      <c r="Q252" s="253" t="s">
        <v>68</v>
      </c>
      <c r="R252" s="253" t="s">
        <v>1511</v>
      </c>
      <c r="S252" s="253"/>
      <c r="T252" s="253"/>
      <c r="U252" s="253"/>
      <c r="V252" s="253"/>
      <c r="W252" s="253"/>
      <c r="X252" s="253"/>
      <c r="Y252" s="253"/>
      <c r="Z252" s="253"/>
      <c r="AA252" s="253"/>
      <c r="AB252" s="253"/>
      <c r="AC252" s="253"/>
      <c r="AD252" s="253"/>
      <c r="AE252" s="253"/>
      <c r="AF252" s="253"/>
      <c r="AG252" s="253"/>
      <c r="AH252" s="253"/>
      <c r="AI252" s="253"/>
      <c r="AJ252" s="253"/>
      <c r="AK252" s="253"/>
      <c r="AL252" s="253"/>
      <c r="AM252" s="253"/>
      <c r="AN252" s="253"/>
      <c r="AO252" s="253"/>
      <c r="AP252" s="253"/>
      <c r="AQ252" s="253"/>
      <c r="AR252" s="253"/>
      <c r="AS252" s="253"/>
      <c r="AT252" s="253"/>
      <c r="AU252" s="253"/>
      <c r="AV252" s="253"/>
      <c r="AW252" s="253"/>
      <c r="AX252" s="253"/>
      <c r="AY252" s="253"/>
      <c r="AZ252" s="253"/>
      <c r="BA252" s="253"/>
      <c r="BB252" s="253"/>
      <c r="BC252" s="253"/>
      <c r="BD252" s="253"/>
      <c r="BE252" s="253"/>
      <c r="BF252" s="253"/>
      <c r="BG252" s="253"/>
      <c r="BH252" s="253"/>
      <c r="BI252" s="253"/>
      <c r="BJ252" s="263" t="str">
        <f>HYPERLINK("#자재!A155","MZZ9000128 →")</f>
        <v>MZZ9000128 →</v>
      </c>
    </row>
    <row r="253" spans="1:62" ht="24" customHeight="1">
      <c r="A253" s="256" t="s">
        <v>1512</v>
      </c>
      <c r="B253" s="256" t="s">
        <v>1513</v>
      </c>
      <c r="C253" s="257">
        <v>2</v>
      </c>
      <c r="D253" s="254" t="s">
        <v>437</v>
      </c>
      <c r="E253" s="258">
        <f>자재!D156</f>
        <v>0</v>
      </c>
      <c r="F253" s="258">
        <f t="shared" si="14"/>
        <v>0</v>
      </c>
      <c r="G253" s="258">
        <v>0</v>
      </c>
      <c r="H253" s="258"/>
      <c r="I253" s="258"/>
      <c r="J253" s="258"/>
      <c r="K253" s="258"/>
      <c r="L253" s="258"/>
      <c r="M253" s="256"/>
      <c r="N253" s="253" t="s">
        <v>68</v>
      </c>
      <c r="O253" s="253"/>
      <c r="P253" s="253" t="s">
        <v>1116</v>
      </c>
      <c r="Q253" s="253" t="s">
        <v>68</v>
      </c>
      <c r="R253" s="253" t="s">
        <v>1514</v>
      </c>
      <c r="S253" s="253"/>
      <c r="T253" s="253"/>
      <c r="U253" s="253"/>
      <c r="V253" s="253"/>
      <c r="W253" s="253"/>
      <c r="X253" s="253"/>
      <c r="Y253" s="253"/>
      <c r="Z253" s="253"/>
      <c r="AA253" s="253"/>
      <c r="AB253" s="253"/>
      <c r="AC253" s="253"/>
      <c r="AD253" s="253"/>
      <c r="AE253" s="253"/>
      <c r="AF253" s="253"/>
      <c r="AG253" s="253"/>
      <c r="AH253" s="253"/>
      <c r="AI253" s="253"/>
      <c r="AJ253" s="253"/>
      <c r="AK253" s="253"/>
      <c r="AL253" s="253"/>
      <c r="AM253" s="253"/>
      <c r="AN253" s="253"/>
      <c r="AO253" s="253"/>
      <c r="AP253" s="253"/>
      <c r="AQ253" s="253"/>
      <c r="AR253" s="253"/>
      <c r="AS253" s="253"/>
      <c r="AT253" s="253"/>
      <c r="AU253" s="253"/>
      <c r="AV253" s="253"/>
      <c r="AW253" s="253"/>
      <c r="AX253" s="253"/>
      <c r="AY253" s="253"/>
      <c r="AZ253" s="253"/>
      <c r="BA253" s="253"/>
      <c r="BB253" s="253"/>
      <c r="BC253" s="253"/>
      <c r="BD253" s="253"/>
      <c r="BE253" s="253"/>
      <c r="BF253" s="253"/>
      <c r="BG253" s="253"/>
      <c r="BH253" s="253"/>
      <c r="BI253" s="253"/>
      <c r="BJ253" s="263" t="str">
        <f>HYPERLINK("#자재!A156","MZZ9000129 →")</f>
        <v>MZZ9000129 →</v>
      </c>
    </row>
    <row r="254" spans="1:62" ht="24" customHeight="1">
      <c r="A254" s="256" t="s">
        <v>68</v>
      </c>
      <c r="B254" s="256" t="s">
        <v>68</v>
      </c>
      <c r="C254" s="264"/>
      <c r="D254" s="254" t="s">
        <v>68</v>
      </c>
      <c r="E254" s="254"/>
      <c r="F254" s="258">
        <v>0</v>
      </c>
      <c r="G254" s="254"/>
      <c r="H254" s="258"/>
      <c r="I254" s="254"/>
      <c r="J254" s="258"/>
      <c r="K254" s="258"/>
      <c r="L254" s="258"/>
      <c r="M254" s="256"/>
      <c r="N254" s="253" t="s">
        <v>68</v>
      </c>
      <c r="O254" s="253"/>
      <c r="P254" s="253" t="s">
        <v>1120</v>
      </c>
      <c r="Q254" s="253" t="s">
        <v>68</v>
      </c>
      <c r="R254" s="253" t="s">
        <v>68</v>
      </c>
      <c r="S254" s="253"/>
      <c r="T254" s="253"/>
      <c r="U254" s="253"/>
      <c r="V254" s="253"/>
      <c r="W254" s="253"/>
      <c r="X254" s="253"/>
      <c r="Y254" s="253"/>
      <c r="Z254" s="253"/>
      <c r="AA254" s="253"/>
      <c r="AB254" s="253"/>
      <c r="AC254" s="253"/>
      <c r="AD254" s="253"/>
      <c r="AE254" s="253"/>
      <c r="AF254" s="253"/>
      <c r="AG254" s="253"/>
      <c r="AH254" s="253"/>
      <c r="AI254" s="253"/>
      <c r="AJ254" s="253"/>
      <c r="AK254" s="253"/>
      <c r="AL254" s="253"/>
      <c r="AM254" s="253"/>
      <c r="AN254" s="253"/>
      <c r="AO254" s="253"/>
      <c r="AP254" s="253"/>
      <c r="AQ254" s="253"/>
      <c r="AR254" s="253"/>
      <c r="AS254" s="253"/>
      <c r="AT254" s="253"/>
      <c r="AU254" s="253"/>
      <c r="AV254" s="253"/>
      <c r="AW254" s="253"/>
      <c r="AX254" s="253"/>
      <c r="AY254" s="253"/>
      <c r="AZ254" s="253"/>
      <c r="BA254" s="253"/>
      <c r="BB254" s="253"/>
      <c r="BC254" s="253"/>
      <c r="BD254" s="253"/>
      <c r="BE254" s="253"/>
      <c r="BF254" s="253"/>
      <c r="BG254" s="253"/>
      <c r="BH254" s="253"/>
      <c r="BI254" s="253"/>
      <c r="BJ254" s="253"/>
    </row>
    <row r="255" spans="1:62" ht="24" customHeight="1">
      <c r="A255" s="273" t="s">
        <v>1261</v>
      </c>
      <c r="B255" s="273" t="s">
        <v>1146</v>
      </c>
      <c r="C255" s="274">
        <v>1</v>
      </c>
      <c r="D255" s="275" t="s">
        <v>1094</v>
      </c>
      <c r="E255" s="275"/>
      <c r="F255" s="276">
        <f>TRUNC(F256+F257+F258+F259,0)</f>
        <v>0</v>
      </c>
      <c r="G255" s="275"/>
      <c r="H255" s="276"/>
      <c r="I255" s="275"/>
      <c r="J255" s="276"/>
      <c r="K255" s="275"/>
      <c r="L255" s="276"/>
      <c r="M255" s="273"/>
      <c r="N255" s="253" t="s">
        <v>68</v>
      </c>
      <c r="O255" s="253" t="s">
        <v>1262</v>
      </c>
      <c r="P255" s="253"/>
      <c r="Q255" s="253"/>
      <c r="R255" s="253"/>
      <c r="S255" s="253"/>
      <c r="T255" s="253"/>
      <c r="U255" s="253"/>
      <c r="V255" s="253"/>
      <c r="W255" s="253"/>
      <c r="X255" s="253"/>
      <c r="Y255" s="253"/>
      <c r="Z255" s="253"/>
      <c r="AA255" s="253"/>
      <c r="AB255" s="253"/>
      <c r="AC255" s="253"/>
      <c r="AD255" s="253"/>
      <c r="AE255" s="253"/>
      <c r="AF255" s="253"/>
      <c r="AG255" s="253"/>
      <c r="AH255" s="253"/>
      <c r="AI255" s="253"/>
      <c r="AJ255" s="253"/>
      <c r="AK255" s="253"/>
      <c r="AL255" s="253"/>
      <c r="AM255" s="253"/>
      <c r="AN255" s="253"/>
      <c r="AO255" s="253"/>
      <c r="AP255" s="253"/>
      <c r="AQ255" s="253"/>
      <c r="AR255" s="253"/>
      <c r="AS255" s="253"/>
      <c r="AT255" s="253"/>
      <c r="AU255" s="253"/>
      <c r="AV255" s="253"/>
      <c r="AW255" s="253"/>
      <c r="AX255" s="253"/>
      <c r="AY255" s="253"/>
      <c r="AZ255" s="253"/>
      <c r="BA255" s="253"/>
      <c r="BB255" s="253"/>
      <c r="BC255" s="253"/>
      <c r="BD255" s="253"/>
      <c r="BE255" s="253"/>
      <c r="BF255" s="253"/>
      <c r="BG255" s="253"/>
      <c r="BH255" s="253"/>
      <c r="BI255" s="253"/>
      <c r="BJ255" s="253"/>
    </row>
    <row r="256" spans="1:62" ht="24" customHeight="1">
      <c r="A256" s="256" t="s">
        <v>1234</v>
      </c>
      <c r="B256" s="256" t="s">
        <v>1235</v>
      </c>
      <c r="C256" s="264">
        <v>11.75</v>
      </c>
      <c r="D256" s="254" t="s">
        <v>16</v>
      </c>
      <c r="E256" s="258">
        <f>일위목록!E49</f>
        <v>0</v>
      </c>
      <c r="F256" s="258">
        <f>TRUNC(E256*C256,0)</f>
        <v>0</v>
      </c>
      <c r="G256" s="258">
        <f>일위목록!F49</f>
        <v>0</v>
      </c>
      <c r="H256" s="258"/>
      <c r="I256" s="258"/>
      <c r="J256" s="258"/>
      <c r="K256" s="258"/>
      <c r="L256" s="258"/>
      <c r="M256" s="256"/>
      <c r="N256" s="253" t="s">
        <v>68</v>
      </c>
      <c r="O256" s="253"/>
      <c r="P256" s="253" t="s">
        <v>1095</v>
      </c>
      <c r="Q256" s="253" t="s">
        <v>68</v>
      </c>
      <c r="R256" s="253" t="s">
        <v>1236</v>
      </c>
      <c r="S256" s="253"/>
      <c r="T256" s="253" t="s">
        <v>1129</v>
      </c>
      <c r="U256" s="253"/>
      <c r="V256" s="253"/>
      <c r="W256" s="253"/>
      <c r="X256" s="253"/>
      <c r="Y256" s="253"/>
      <c r="Z256" s="253"/>
      <c r="AA256" s="253"/>
      <c r="AB256" s="253"/>
      <c r="AC256" s="253"/>
      <c r="AD256" s="253"/>
      <c r="AE256" s="253"/>
      <c r="AF256" s="253"/>
      <c r="AG256" s="253"/>
      <c r="AH256" s="253"/>
      <c r="AI256" s="253"/>
      <c r="AJ256" s="253"/>
      <c r="AK256" s="253"/>
      <c r="AL256" s="253"/>
      <c r="AM256" s="253"/>
      <c r="AN256" s="253"/>
      <c r="AO256" s="253"/>
      <c r="AP256" s="253"/>
      <c r="AQ256" s="253"/>
      <c r="AR256" s="253"/>
      <c r="AS256" s="253"/>
      <c r="AT256" s="253"/>
      <c r="AU256" s="253"/>
      <c r="AV256" s="253"/>
      <c r="AW256" s="253"/>
      <c r="AX256" s="253"/>
      <c r="AY256" s="253"/>
      <c r="AZ256" s="253"/>
      <c r="BA256" s="253"/>
      <c r="BB256" s="253"/>
      <c r="BC256" s="253"/>
      <c r="BD256" s="253"/>
      <c r="BE256" s="253"/>
      <c r="BF256" s="253"/>
      <c r="BG256" s="253"/>
      <c r="BH256" s="253"/>
      <c r="BI256" s="253"/>
      <c r="BJ256" s="263" t="str">
        <f>HYPERLINK("#일위대가목록!A49","ZZ71 →")</f>
        <v>ZZ71 →</v>
      </c>
    </row>
    <row r="257" spans="1:62" ht="24" customHeight="1">
      <c r="A257" s="256" t="s">
        <v>1237</v>
      </c>
      <c r="B257" s="256" t="s">
        <v>1172</v>
      </c>
      <c r="C257" s="264">
        <v>1.44</v>
      </c>
      <c r="D257" s="254" t="s">
        <v>16</v>
      </c>
      <c r="E257" s="258">
        <f>일위목록!E50</f>
        <v>0</v>
      </c>
      <c r="F257" s="258">
        <f>TRUNC(E257*C257,0)</f>
        <v>0</v>
      </c>
      <c r="G257" s="258">
        <f>일위목록!F50</f>
        <v>0</v>
      </c>
      <c r="H257" s="258"/>
      <c r="I257" s="258"/>
      <c r="J257" s="258"/>
      <c r="K257" s="258"/>
      <c r="L257" s="258"/>
      <c r="M257" s="256"/>
      <c r="N257" s="253" t="s">
        <v>68</v>
      </c>
      <c r="O257" s="253"/>
      <c r="P257" s="253" t="s">
        <v>1098</v>
      </c>
      <c r="Q257" s="253" t="s">
        <v>68</v>
      </c>
      <c r="R257" s="253" t="s">
        <v>1238</v>
      </c>
      <c r="S257" s="253"/>
      <c r="T257" s="253" t="s">
        <v>1129</v>
      </c>
      <c r="U257" s="253"/>
      <c r="V257" s="253"/>
      <c r="W257" s="253"/>
      <c r="X257" s="253"/>
      <c r="Y257" s="253"/>
      <c r="Z257" s="253"/>
      <c r="AA257" s="253"/>
      <c r="AB257" s="253"/>
      <c r="AC257" s="253"/>
      <c r="AD257" s="253"/>
      <c r="AE257" s="253"/>
      <c r="AF257" s="253"/>
      <c r="AG257" s="253"/>
      <c r="AH257" s="253"/>
      <c r="AI257" s="253"/>
      <c r="AJ257" s="253"/>
      <c r="AK257" s="253"/>
      <c r="AL257" s="253"/>
      <c r="AM257" s="253"/>
      <c r="AN257" s="253"/>
      <c r="AO257" s="253"/>
      <c r="AP257" s="253"/>
      <c r="AQ257" s="253"/>
      <c r="AR257" s="253"/>
      <c r="AS257" s="253"/>
      <c r="AT257" s="253"/>
      <c r="AU257" s="253"/>
      <c r="AV257" s="253"/>
      <c r="AW257" s="253"/>
      <c r="AX257" s="253"/>
      <c r="AY257" s="253"/>
      <c r="AZ257" s="253"/>
      <c r="BA257" s="253"/>
      <c r="BB257" s="253"/>
      <c r="BC257" s="253"/>
      <c r="BD257" s="253"/>
      <c r="BE257" s="253"/>
      <c r="BF257" s="253"/>
      <c r="BG257" s="253"/>
      <c r="BH257" s="253"/>
      <c r="BI257" s="253"/>
      <c r="BJ257" s="263" t="str">
        <f>HYPERLINK("#일위대가목록!A50","ZZ74 →")</f>
        <v>ZZ74 →</v>
      </c>
    </row>
    <row r="258" spans="1:62" ht="24" customHeight="1">
      <c r="A258" s="256" t="s">
        <v>1239</v>
      </c>
      <c r="B258" s="256" t="s">
        <v>1240</v>
      </c>
      <c r="C258" s="264">
        <v>11.75</v>
      </c>
      <c r="D258" s="254" t="s">
        <v>16</v>
      </c>
      <c r="E258" s="258">
        <f>일위목록!E51</f>
        <v>0</v>
      </c>
      <c r="F258" s="258">
        <f>TRUNC(E258*C258,0)</f>
        <v>0</v>
      </c>
      <c r="G258" s="258">
        <f>일위목록!F51</f>
        <v>0</v>
      </c>
      <c r="H258" s="258"/>
      <c r="I258" s="258"/>
      <c r="J258" s="258"/>
      <c r="K258" s="258"/>
      <c r="L258" s="258"/>
      <c r="M258" s="256"/>
      <c r="N258" s="253" t="s">
        <v>68</v>
      </c>
      <c r="O258" s="253"/>
      <c r="P258" s="253" t="s">
        <v>1101</v>
      </c>
      <c r="Q258" s="253" t="s">
        <v>68</v>
      </c>
      <c r="R258" s="253" t="s">
        <v>1241</v>
      </c>
      <c r="S258" s="253"/>
      <c r="T258" s="253" t="s">
        <v>1129</v>
      </c>
      <c r="U258" s="253"/>
      <c r="V258" s="253"/>
      <c r="W258" s="253"/>
      <c r="X258" s="253"/>
      <c r="Y258" s="253"/>
      <c r="Z258" s="253"/>
      <c r="AA258" s="253"/>
      <c r="AB258" s="253"/>
      <c r="AC258" s="253"/>
      <c r="AD258" s="253"/>
      <c r="AE258" s="253"/>
      <c r="AF258" s="253"/>
      <c r="AG258" s="253"/>
      <c r="AH258" s="253"/>
      <c r="AI258" s="253"/>
      <c r="AJ258" s="253"/>
      <c r="AK258" s="253"/>
      <c r="AL258" s="253"/>
      <c r="AM258" s="253"/>
      <c r="AN258" s="253"/>
      <c r="AO258" s="253"/>
      <c r="AP258" s="253"/>
      <c r="AQ258" s="253"/>
      <c r="AR258" s="253"/>
      <c r="AS258" s="253"/>
      <c r="AT258" s="253"/>
      <c r="AU258" s="253"/>
      <c r="AV258" s="253"/>
      <c r="AW258" s="253"/>
      <c r="AX258" s="253"/>
      <c r="AY258" s="253"/>
      <c r="AZ258" s="253"/>
      <c r="BA258" s="253"/>
      <c r="BB258" s="253"/>
      <c r="BC258" s="253"/>
      <c r="BD258" s="253"/>
      <c r="BE258" s="253"/>
      <c r="BF258" s="253"/>
      <c r="BG258" s="253"/>
      <c r="BH258" s="253"/>
      <c r="BI258" s="253"/>
      <c r="BJ258" s="263" t="str">
        <f>HYPERLINK("#일위대가목록!A51","ZZ81 →")</f>
        <v>ZZ81 →</v>
      </c>
    </row>
    <row r="259" spans="1:62" ht="24" customHeight="1">
      <c r="A259" s="256" t="s">
        <v>1239</v>
      </c>
      <c r="B259" s="256" t="s">
        <v>1242</v>
      </c>
      <c r="C259" s="264">
        <v>1.44</v>
      </c>
      <c r="D259" s="254" t="s">
        <v>16</v>
      </c>
      <c r="E259" s="258">
        <f>일위목록!E52</f>
        <v>0</v>
      </c>
      <c r="F259" s="258">
        <f>TRUNC(E259*C259,0)</f>
        <v>0</v>
      </c>
      <c r="G259" s="258">
        <f>일위목록!F52</f>
        <v>0</v>
      </c>
      <c r="H259" s="258"/>
      <c r="I259" s="258"/>
      <c r="J259" s="258"/>
      <c r="K259" s="258"/>
      <c r="L259" s="258"/>
      <c r="M259" s="256"/>
      <c r="N259" s="253" t="s">
        <v>68</v>
      </c>
      <c r="O259" s="253"/>
      <c r="P259" s="253" t="s">
        <v>1104</v>
      </c>
      <c r="Q259" s="253" t="s">
        <v>68</v>
      </c>
      <c r="R259" s="253" t="s">
        <v>1243</v>
      </c>
      <c r="S259" s="253"/>
      <c r="T259" s="253" t="s">
        <v>1129</v>
      </c>
      <c r="U259" s="253"/>
      <c r="V259" s="253"/>
      <c r="W259" s="253"/>
      <c r="X259" s="253"/>
      <c r="Y259" s="253"/>
      <c r="Z259" s="253"/>
      <c r="AA259" s="253"/>
      <c r="AB259" s="253"/>
      <c r="AC259" s="253"/>
      <c r="AD259" s="253"/>
      <c r="AE259" s="253"/>
      <c r="AF259" s="253"/>
      <c r="AG259" s="253"/>
      <c r="AH259" s="253"/>
      <c r="AI259" s="253"/>
      <c r="AJ259" s="253"/>
      <c r="AK259" s="253"/>
      <c r="AL259" s="253"/>
      <c r="AM259" s="253"/>
      <c r="AN259" s="253"/>
      <c r="AO259" s="253"/>
      <c r="AP259" s="253"/>
      <c r="AQ259" s="253"/>
      <c r="AR259" s="253"/>
      <c r="AS259" s="253"/>
      <c r="AT259" s="253"/>
      <c r="AU259" s="253"/>
      <c r="AV259" s="253"/>
      <c r="AW259" s="253"/>
      <c r="AX259" s="253"/>
      <c r="AY259" s="253"/>
      <c r="AZ259" s="253"/>
      <c r="BA259" s="253"/>
      <c r="BB259" s="253"/>
      <c r="BC259" s="253"/>
      <c r="BD259" s="253"/>
      <c r="BE259" s="253"/>
      <c r="BF259" s="253"/>
      <c r="BG259" s="253"/>
      <c r="BH259" s="253"/>
      <c r="BI259" s="253"/>
      <c r="BJ259" s="263" t="str">
        <f>HYPERLINK("#일위대가목록!A52","ZZ86 →")</f>
        <v>ZZ86 →</v>
      </c>
    </row>
    <row r="260" spans="1:62" ht="24" customHeight="1">
      <c r="A260" s="269" t="s">
        <v>1515</v>
      </c>
      <c r="B260" s="269" t="s">
        <v>68</v>
      </c>
      <c r="C260" s="270">
        <v>1</v>
      </c>
      <c r="D260" s="271" t="s">
        <v>1094</v>
      </c>
      <c r="E260" s="271"/>
      <c r="F260" s="272">
        <f>TRUNC(F261+F262+F263+F264+F265+F266,0)</f>
        <v>0</v>
      </c>
      <c r="G260" s="271"/>
      <c r="H260" s="272"/>
      <c r="I260" s="271"/>
      <c r="J260" s="272"/>
      <c r="K260" s="271"/>
      <c r="L260" s="272"/>
      <c r="M260" s="269"/>
      <c r="N260" s="253" t="s">
        <v>68</v>
      </c>
      <c r="O260" s="253" t="s">
        <v>1247</v>
      </c>
      <c r="P260" s="253"/>
      <c r="Q260" s="253"/>
      <c r="R260" s="253"/>
      <c r="S260" s="253"/>
      <c r="T260" s="253"/>
      <c r="U260" s="253"/>
      <c r="V260" s="253"/>
      <c r="W260" s="253"/>
      <c r="X260" s="253"/>
      <c r="Y260" s="253"/>
      <c r="Z260" s="253"/>
      <c r="AA260" s="253"/>
      <c r="AB260" s="253"/>
      <c r="AC260" s="253"/>
      <c r="AD260" s="253"/>
      <c r="AE260" s="253"/>
      <c r="AF260" s="253"/>
      <c r="AG260" s="253"/>
      <c r="AH260" s="253"/>
      <c r="AI260" s="253"/>
      <c r="AJ260" s="253"/>
      <c r="AK260" s="253"/>
      <c r="AL260" s="253"/>
      <c r="AM260" s="253"/>
      <c r="AN260" s="253"/>
      <c r="AO260" s="253"/>
      <c r="AP260" s="253"/>
      <c r="AQ260" s="253"/>
      <c r="AR260" s="253"/>
      <c r="AS260" s="253"/>
      <c r="AT260" s="253"/>
      <c r="AU260" s="253"/>
      <c r="AV260" s="253"/>
      <c r="AW260" s="253"/>
      <c r="AX260" s="253"/>
      <c r="AY260" s="253"/>
      <c r="AZ260" s="253"/>
      <c r="BA260" s="253"/>
      <c r="BB260" s="253"/>
      <c r="BC260" s="253"/>
      <c r="BD260" s="253"/>
      <c r="BE260" s="253"/>
      <c r="BF260" s="253"/>
      <c r="BG260" s="253"/>
      <c r="BH260" s="253"/>
      <c r="BI260" s="253"/>
      <c r="BJ260" s="253"/>
    </row>
    <row r="261" spans="1:62" ht="24" customHeight="1">
      <c r="A261" s="273" t="s">
        <v>1249</v>
      </c>
      <c r="B261" s="273" t="s">
        <v>68</v>
      </c>
      <c r="C261" s="274">
        <v>1</v>
      </c>
      <c r="D261" s="275" t="s">
        <v>1094</v>
      </c>
      <c r="E261" s="276">
        <f>F276</f>
        <v>0</v>
      </c>
      <c r="F261" s="276">
        <f t="shared" ref="F261:F267" si="15">TRUNC(E261*C261,0)</f>
        <v>0</v>
      </c>
      <c r="G261" s="276">
        <f>H276</f>
        <v>0</v>
      </c>
      <c r="H261" s="276"/>
      <c r="I261" s="276"/>
      <c r="J261" s="276"/>
      <c r="K261" s="276"/>
      <c r="L261" s="276"/>
      <c r="M261" s="273"/>
      <c r="N261" s="253" t="s">
        <v>68</v>
      </c>
      <c r="O261" s="253"/>
      <c r="P261" s="253" t="s">
        <v>1095</v>
      </c>
      <c r="Q261" s="253" t="s">
        <v>68</v>
      </c>
      <c r="R261" s="253" t="s">
        <v>1516</v>
      </c>
      <c r="S261" s="253"/>
      <c r="T261" s="253"/>
      <c r="U261" s="253"/>
      <c r="V261" s="253"/>
      <c r="W261" s="253"/>
      <c r="X261" s="253"/>
      <c r="Y261" s="253"/>
      <c r="Z261" s="253"/>
      <c r="AA261" s="253"/>
      <c r="AB261" s="253"/>
      <c r="AC261" s="253"/>
      <c r="AD261" s="253"/>
      <c r="AE261" s="253"/>
      <c r="AF261" s="253"/>
      <c r="AG261" s="253"/>
      <c r="AH261" s="253"/>
      <c r="AI261" s="253"/>
      <c r="AJ261" s="253"/>
      <c r="AK261" s="253"/>
      <c r="AL261" s="253"/>
      <c r="AM261" s="253"/>
      <c r="AN261" s="253"/>
      <c r="AO261" s="253"/>
      <c r="AP261" s="253"/>
      <c r="AQ261" s="253"/>
      <c r="AR261" s="253"/>
      <c r="AS261" s="253"/>
      <c r="AT261" s="253"/>
      <c r="AU261" s="253"/>
      <c r="AV261" s="253"/>
      <c r="AW261" s="253"/>
      <c r="AX261" s="253"/>
      <c r="AY261" s="253"/>
      <c r="AZ261" s="253"/>
      <c r="BA261" s="253"/>
      <c r="BB261" s="253"/>
      <c r="BC261" s="253"/>
      <c r="BD261" s="253"/>
      <c r="BE261" s="253"/>
      <c r="BF261" s="253"/>
      <c r="BG261" s="253"/>
      <c r="BH261" s="253"/>
      <c r="BI261" s="253"/>
      <c r="BJ261" s="263" t="str">
        <f>HYPERLINK("#내역서!A243","A03-02-01 →")</f>
        <v>A03-02-01 →</v>
      </c>
    </row>
    <row r="262" spans="1:62" ht="24" customHeight="1">
      <c r="A262" s="273" t="s">
        <v>1251</v>
      </c>
      <c r="B262" s="273" t="s">
        <v>68</v>
      </c>
      <c r="C262" s="274">
        <v>1</v>
      </c>
      <c r="D262" s="275" t="s">
        <v>1094</v>
      </c>
      <c r="E262" s="276">
        <f>F283</f>
        <v>0</v>
      </c>
      <c r="F262" s="276">
        <f t="shared" si="15"/>
        <v>0</v>
      </c>
      <c r="G262" s="276">
        <f>H283</f>
        <v>0</v>
      </c>
      <c r="H262" s="276"/>
      <c r="I262" s="276"/>
      <c r="J262" s="276"/>
      <c r="K262" s="276"/>
      <c r="L262" s="276"/>
      <c r="M262" s="273"/>
      <c r="N262" s="253" t="s">
        <v>68</v>
      </c>
      <c r="O262" s="253"/>
      <c r="P262" s="253" t="s">
        <v>1098</v>
      </c>
      <c r="Q262" s="253" t="s">
        <v>68</v>
      </c>
      <c r="R262" s="253" t="s">
        <v>1517</v>
      </c>
      <c r="S262" s="253"/>
      <c r="T262" s="253"/>
      <c r="U262" s="253"/>
      <c r="V262" s="253"/>
      <c r="W262" s="253"/>
      <c r="X262" s="253"/>
      <c r="Y262" s="253"/>
      <c r="Z262" s="253"/>
      <c r="AA262" s="253"/>
      <c r="AB262" s="253"/>
      <c r="AC262" s="253"/>
      <c r="AD262" s="253"/>
      <c r="AE262" s="253"/>
      <c r="AF262" s="253"/>
      <c r="AG262" s="253"/>
      <c r="AH262" s="253"/>
      <c r="AI262" s="253"/>
      <c r="AJ262" s="253"/>
      <c r="AK262" s="253"/>
      <c r="AL262" s="253"/>
      <c r="AM262" s="253"/>
      <c r="AN262" s="253"/>
      <c r="AO262" s="253"/>
      <c r="AP262" s="253"/>
      <c r="AQ262" s="253"/>
      <c r="AR262" s="253"/>
      <c r="AS262" s="253"/>
      <c r="AT262" s="253"/>
      <c r="AU262" s="253"/>
      <c r="AV262" s="253"/>
      <c r="AW262" s="253"/>
      <c r="AX262" s="253"/>
      <c r="AY262" s="253"/>
      <c r="AZ262" s="253"/>
      <c r="BA262" s="253"/>
      <c r="BB262" s="253"/>
      <c r="BC262" s="253"/>
      <c r="BD262" s="253"/>
      <c r="BE262" s="253"/>
      <c r="BF262" s="253"/>
      <c r="BG262" s="253"/>
      <c r="BH262" s="253"/>
      <c r="BI262" s="253"/>
      <c r="BJ262" s="263" t="str">
        <f>HYPERLINK("#내역서!A250","A03-02-02 →")</f>
        <v>A03-02-02 →</v>
      </c>
    </row>
    <row r="263" spans="1:62" ht="24" customHeight="1">
      <c r="A263" s="273" t="s">
        <v>1253</v>
      </c>
      <c r="B263" s="273" t="s">
        <v>68</v>
      </c>
      <c r="C263" s="274">
        <v>1</v>
      </c>
      <c r="D263" s="275" t="s">
        <v>1094</v>
      </c>
      <c r="E263" s="276">
        <f>F289</f>
        <v>0</v>
      </c>
      <c r="F263" s="276">
        <f t="shared" si="15"/>
        <v>0</v>
      </c>
      <c r="G263" s="276">
        <f>H289</f>
        <v>0</v>
      </c>
      <c r="H263" s="276"/>
      <c r="I263" s="276"/>
      <c r="J263" s="276"/>
      <c r="K263" s="276"/>
      <c r="L263" s="276"/>
      <c r="M263" s="273"/>
      <c r="N263" s="253" t="s">
        <v>68</v>
      </c>
      <c r="O263" s="253"/>
      <c r="P263" s="253" t="s">
        <v>1101</v>
      </c>
      <c r="Q263" s="253" t="s">
        <v>68</v>
      </c>
      <c r="R263" s="253" t="s">
        <v>1518</v>
      </c>
      <c r="S263" s="253"/>
      <c r="T263" s="253"/>
      <c r="U263" s="253"/>
      <c r="V263" s="253"/>
      <c r="W263" s="253"/>
      <c r="X263" s="253"/>
      <c r="Y263" s="253"/>
      <c r="Z263" s="253"/>
      <c r="AA263" s="253"/>
      <c r="AB263" s="253"/>
      <c r="AC263" s="253"/>
      <c r="AD263" s="253"/>
      <c r="AE263" s="253"/>
      <c r="AF263" s="253"/>
      <c r="AG263" s="253"/>
      <c r="AH263" s="253"/>
      <c r="AI263" s="253"/>
      <c r="AJ263" s="253"/>
      <c r="AK263" s="253"/>
      <c r="AL263" s="253"/>
      <c r="AM263" s="253"/>
      <c r="AN263" s="253"/>
      <c r="AO263" s="253"/>
      <c r="AP263" s="253"/>
      <c r="AQ263" s="253"/>
      <c r="AR263" s="253"/>
      <c r="AS263" s="253"/>
      <c r="AT263" s="253"/>
      <c r="AU263" s="253"/>
      <c r="AV263" s="253"/>
      <c r="AW263" s="253"/>
      <c r="AX263" s="253"/>
      <c r="AY263" s="253"/>
      <c r="AZ263" s="253"/>
      <c r="BA263" s="253"/>
      <c r="BB263" s="253"/>
      <c r="BC263" s="253"/>
      <c r="BD263" s="253"/>
      <c r="BE263" s="253"/>
      <c r="BF263" s="253"/>
      <c r="BG263" s="253"/>
      <c r="BH263" s="253"/>
      <c r="BI263" s="253"/>
      <c r="BJ263" s="263" t="str">
        <f>HYPERLINK("#내역서!A256","A03-02-03 →")</f>
        <v>A03-02-03 →</v>
      </c>
    </row>
    <row r="264" spans="1:62" ht="24" customHeight="1">
      <c r="A264" s="273" t="s">
        <v>1255</v>
      </c>
      <c r="B264" s="273" t="s">
        <v>68</v>
      </c>
      <c r="C264" s="274">
        <v>1</v>
      </c>
      <c r="D264" s="275" t="s">
        <v>1094</v>
      </c>
      <c r="E264" s="276">
        <f>F323</f>
        <v>0</v>
      </c>
      <c r="F264" s="276">
        <f t="shared" si="15"/>
        <v>0</v>
      </c>
      <c r="G264" s="276">
        <f>H323</f>
        <v>0</v>
      </c>
      <c r="H264" s="276"/>
      <c r="I264" s="276"/>
      <c r="J264" s="276"/>
      <c r="K264" s="276"/>
      <c r="L264" s="276"/>
      <c r="M264" s="273"/>
      <c r="N264" s="253" t="s">
        <v>68</v>
      </c>
      <c r="O264" s="253"/>
      <c r="P264" s="253" t="s">
        <v>1104</v>
      </c>
      <c r="Q264" s="253" t="s">
        <v>68</v>
      </c>
      <c r="R264" s="253" t="s">
        <v>1519</v>
      </c>
      <c r="S264" s="253"/>
      <c r="T264" s="253"/>
      <c r="U264" s="253"/>
      <c r="V264" s="253"/>
      <c r="W264" s="253"/>
      <c r="X264" s="253"/>
      <c r="Y264" s="253"/>
      <c r="Z264" s="253"/>
      <c r="AA264" s="253"/>
      <c r="AB264" s="253"/>
      <c r="AC264" s="253"/>
      <c r="AD264" s="253"/>
      <c r="AE264" s="253"/>
      <c r="AF264" s="253"/>
      <c r="AG264" s="253"/>
      <c r="AH264" s="253"/>
      <c r="AI264" s="253"/>
      <c r="AJ264" s="253"/>
      <c r="AK264" s="253"/>
      <c r="AL264" s="253"/>
      <c r="AM264" s="253"/>
      <c r="AN264" s="253"/>
      <c r="AO264" s="253"/>
      <c r="AP264" s="253"/>
      <c r="AQ264" s="253"/>
      <c r="AR264" s="253"/>
      <c r="AS264" s="253"/>
      <c r="AT264" s="253"/>
      <c r="AU264" s="253"/>
      <c r="AV264" s="253"/>
      <c r="AW264" s="253"/>
      <c r="AX264" s="253"/>
      <c r="AY264" s="253"/>
      <c r="AZ264" s="253"/>
      <c r="BA264" s="253"/>
      <c r="BB264" s="253"/>
      <c r="BC264" s="253"/>
      <c r="BD264" s="253"/>
      <c r="BE264" s="253"/>
      <c r="BF264" s="253"/>
      <c r="BG264" s="253"/>
      <c r="BH264" s="253"/>
      <c r="BI264" s="253"/>
      <c r="BJ264" s="263" t="str">
        <f>HYPERLINK("#내역서!A290","A03-02-04 →")</f>
        <v>A03-02-04 →</v>
      </c>
    </row>
    <row r="265" spans="1:62" ht="24" customHeight="1">
      <c r="A265" s="273" t="s">
        <v>1257</v>
      </c>
      <c r="B265" s="273" t="s">
        <v>68</v>
      </c>
      <c r="C265" s="274">
        <v>1</v>
      </c>
      <c r="D265" s="275" t="s">
        <v>1094</v>
      </c>
      <c r="E265" s="276">
        <f>F330</f>
        <v>0</v>
      </c>
      <c r="F265" s="276">
        <f t="shared" si="15"/>
        <v>0</v>
      </c>
      <c r="G265" s="276">
        <f>H330</f>
        <v>0</v>
      </c>
      <c r="H265" s="276"/>
      <c r="I265" s="276"/>
      <c r="J265" s="276"/>
      <c r="K265" s="276"/>
      <c r="L265" s="276"/>
      <c r="M265" s="273"/>
      <c r="N265" s="253" t="s">
        <v>68</v>
      </c>
      <c r="O265" s="253"/>
      <c r="P265" s="253" t="s">
        <v>1107</v>
      </c>
      <c r="Q265" s="253" t="s">
        <v>68</v>
      </c>
      <c r="R265" s="253" t="s">
        <v>1520</v>
      </c>
      <c r="S265" s="253"/>
      <c r="T265" s="253"/>
      <c r="U265" s="253"/>
      <c r="V265" s="253"/>
      <c r="W265" s="253"/>
      <c r="X265" s="253"/>
      <c r="Y265" s="253"/>
      <c r="Z265" s="253"/>
      <c r="AA265" s="253"/>
      <c r="AB265" s="253"/>
      <c r="AC265" s="253"/>
      <c r="AD265" s="253"/>
      <c r="AE265" s="253"/>
      <c r="AF265" s="253"/>
      <c r="AG265" s="253"/>
      <c r="AH265" s="253"/>
      <c r="AI265" s="253"/>
      <c r="AJ265" s="253"/>
      <c r="AK265" s="253"/>
      <c r="AL265" s="253"/>
      <c r="AM265" s="253"/>
      <c r="AN265" s="253"/>
      <c r="AO265" s="253"/>
      <c r="AP265" s="253"/>
      <c r="AQ265" s="253"/>
      <c r="AR265" s="253"/>
      <c r="AS265" s="253"/>
      <c r="AT265" s="253"/>
      <c r="AU265" s="253"/>
      <c r="AV265" s="253"/>
      <c r="AW265" s="253"/>
      <c r="AX265" s="253"/>
      <c r="AY265" s="253"/>
      <c r="AZ265" s="253"/>
      <c r="BA265" s="253"/>
      <c r="BB265" s="253"/>
      <c r="BC265" s="253"/>
      <c r="BD265" s="253"/>
      <c r="BE265" s="253"/>
      <c r="BF265" s="253"/>
      <c r="BG265" s="253"/>
      <c r="BH265" s="253"/>
      <c r="BI265" s="253"/>
      <c r="BJ265" s="263" t="str">
        <f>HYPERLINK("#내역서!A297","A03-02-05 →")</f>
        <v>A03-02-05 →</v>
      </c>
    </row>
    <row r="266" spans="1:62" ht="24" customHeight="1">
      <c r="A266" s="273" t="s">
        <v>1259</v>
      </c>
      <c r="B266" s="273" t="s">
        <v>68</v>
      </c>
      <c r="C266" s="274">
        <v>1</v>
      </c>
      <c r="D266" s="275" t="s">
        <v>1094</v>
      </c>
      <c r="E266" s="276">
        <f>F350</f>
        <v>0</v>
      </c>
      <c r="F266" s="276">
        <f t="shared" si="15"/>
        <v>0</v>
      </c>
      <c r="G266" s="276">
        <f>H350</f>
        <v>0</v>
      </c>
      <c r="H266" s="276"/>
      <c r="I266" s="276"/>
      <c r="J266" s="276"/>
      <c r="K266" s="276"/>
      <c r="L266" s="276"/>
      <c r="M266" s="273"/>
      <c r="N266" s="253" t="s">
        <v>68</v>
      </c>
      <c r="O266" s="253"/>
      <c r="P266" s="253" t="s">
        <v>1108</v>
      </c>
      <c r="Q266" s="253" t="s">
        <v>68</v>
      </c>
      <c r="R266" s="253" t="s">
        <v>1521</v>
      </c>
      <c r="S266" s="253"/>
      <c r="T266" s="253"/>
      <c r="U266" s="253"/>
      <c r="V266" s="253"/>
      <c r="W266" s="253"/>
      <c r="X266" s="253"/>
      <c r="Y266" s="253"/>
      <c r="Z266" s="253"/>
      <c r="AA266" s="253"/>
      <c r="AB266" s="253"/>
      <c r="AC266" s="253"/>
      <c r="AD266" s="253"/>
      <c r="AE266" s="253"/>
      <c r="AF266" s="253"/>
      <c r="AG266" s="253"/>
      <c r="AH266" s="253"/>
      <c r="AI266" s="253"/>
      <c r="AJ266" s="253"/>
      <c r="AK266" s="253"/>
      <c r="AL266" s="253"/>
      <c r="AM266" s="253"/>
      <c r="AN266" s="253"/>
      <c r="AO266" s="253"/>
      <c r="AP266" s="253"/>
      <c r="AQ266" s="253"/>
      <c r="AR266" s="253"/>
      <c r="AS266" s="253"/>
      <c r="AT266" s="253"/>
      <c r="AU266" s="253"/>
      <c r="AV266" s="253"/>
      <c r="AW266" s="253"/>
      <c r="AX266" s="253"/>
      <c r="AY266" s="253"/>
      <c r="AZ266" s="253"/>
      <c r="BA266" s="253"/>
      <c r="BB266" s="253"/>
      <c r="BC266" s="253"/>
      <c r="BD266" s="253"/>
      <c r="BE266" s="253"/>
      <c r="BF266" s="253"/>
      <c r="BG266" s="253"/>
      <c r="BH266" s="253"/>
      <c r="BI266" s="253"/>
      <c r="BJ266" s="263" t="str">
        <f>HYPERLINK("#내역서!A317","A03-02-06 →")</f>
        <v>A03-02-06 →</v>
      </c>
    </row>
    <row r="267" spans="1:62" ht="24" customHeight="1">
      <c r="A267" s="273" t="s">
        <v>1261</v>
      </c>
      <c r="B267" s="273" t="s">
        <v>1146</v>
      </c>
      <c r="C267" s="274">
        <v>1</v>
      </c>
      <c r="D267" s="275" t="s">
        <v>1094</v>
      </c>
      <c r="E267" s="276">
        <f>F355</f>
        <v>0</v>
      </c>
      <c r="F267" s="276">
        <f t="shared" si="15"/>
        <v>0</v>
      </c>
      <c r="G267" s="276">
        <f>H355</f>
        <v>0</v>
      </c>
      <c r="H267" s="276"/>
      <c r="I267" s="276"/>
      <c r="J267" s="276"/>
      <c r="K267" s="276"/>
      <c r="L267" s="276"/>
      <c r="M267" s="273"/>
      <c r="N267" s="253" t="s">
        <v>68</v>
      </c>
      <c r="O267" s="253"/>
      <c r="P267" s="253" t="s">
        <v>1109</v>
      </c>
      <c r="Q267" s="253" t="s">
        <v>1105</v>
      </c>
      <c r="R267" s="253" t="s">
        <v>1522</v>
      </c>
      <c r="S267" s="253"/>
      <c r="T267" s="253"/>
      <c r="U267" s="253"/>
      <c r="V267" s="253"/>
      <c r="W267" s="253"/>
      <c r="X267" s="253"/>
      <c r="Y267" s="253"/>
      <c r="Z267" s="253"/>
      <c r="AA267" s="253"/>
      <c r="AB267" s="253"/>
      <c r="AC267" s="253"/>
      <c r="AD267" s="253"/>
      <c r="AE267" s="253"/>
      <c r="AF267" s="253"/>
      <c r="AG267" s="253"/>
      <c r="AH267" s="253"/>
      <c r="AI267" s="253"/>
      <c r="AJ267" s="253"/>
      <c r="AK267" s="253"/>
      <c r="AL267" s="253"/>
      <c r="AM267" s="253"/>
      <c r="AN267" s="253"/>
      <c r="AO267" s="253"/>
      <c r="AP267" s="253"/>
      <c r="AQ267" s="253"/>
      <c r="AR267" s="253"/>
      <c r="AS267" s="253"/>
      <c r="AT267" s="253"/>
      <c r="AU267" s="253"/>
      <c r="AV267" s="253"/>
      <c r="AW267" s="253"/>
      <c r="AX267" s="253"/>
      <c r="AY267" s="253"/>
      <c r="AZ267" s="253"/>
      <c r="BA267" s="253"/>
      <c r="BB267" s="253"/>
      <c r="BC267" s="253"/>
      <c r="BD267" s="253"/>
      <c r="BE267" s="253"/>
      <c r="BF267" s="253"/>
      <c r="BG267" s="253"/>
      <c r="BH267" s="253"/>
      <c r="BI267" s="253"/>
      <c r="BJ267" s="263" t="str">
        <f>HYPERLINK("#내역서!A322","A03-02-07 →")</f>
        <v>A03-02-07 →</v>
      </c>
    </row>
    <row r="268" spans="1:62" ht="24" customHeight="1">
      <c r="A268" s="256" t="s">
        <v>68</v>
      </c>
      <c r="B268" s="256" t="s">
        <v>68</v>
      </c>
      <c r="C268" s="264"/>
      <c r="D268" s="254" t="s">
        <v>68</v>
      </c>
      <c r="E268" s="254"/>
      <c r="F268" s="258">
        <v>0</v>
      </c>
      <c r="G268" s="254"/>
      <c r="H268" s="258"/>
      <c r="I268" s="254"/>
      <c r="J268" s="258"/>
      <c r="K268" s="258"/>
      <c r="L268" s="258"/>
      <c r="M268" s="256"/>
      <c r="N268" s="253" t="s">
        <v>68</v>
      </c>
      <c r="O268" s="253"/>
      <c r="P268" s="253" t="s">
        <v>1110</v>
      </c>
      <c r="Q268" s="253" t="s">
        <v>68</v>
      </c>
      <c r="R268" s="253" t="s">
        <v>68</v>
      </c>
      <c r="S268" s="253"/>
      <c r="T268" s="253"/>
      <c r="U268" s="253"/>
      <c r="V268" s="253"/>
      <c r="W268" s="253"/>
      <c r="X268" s="253"/>
      <c r="Y268" s="253"/>
      <c r="Z268" s="253"/>
      <c r="AA268" s="253"/>
      <c r="AB268" s="253"/>
      <c r="AC268" s="253"/>
      <c r="AD268" s="253"/>
      <c r="AE268" s="253"/>
      <c r="AF268" s="253"/>
      <c r="AG268" s="253"/>
      <c r="AH268" s="253"/>
      <c r="AI268" s="253"/>
      <c r="AJ268" s="253"/>
      <c r="AK268" s="253"/>
      <c r="AL268" s="253"/>
      <c r="AM268" s="253"/>
      <c r="AN268" s="253"/>
      <c r="AO268" s="253"/>
      <c r="AP268" s="253"/>
      <c r="AQ268" s="253"/>
      <c r="AR268" s="253"/>
      <c r="AS268" s="253"/>
      <c r="AT268" s="253"/>
      <c r="AU268" s="253"/>
      <c r="AV268" s="253"/>
      <c r="AW268" s="253"/>
      <c r="AX268" s="253"/>
      <c r="AY268" s="253"/>
      <c r="AZ268" s="253"/>
      <c r="BA268" s="253"/>
      <c r="BB268" s="253"/>
      <c r="BC268" s="253"/>
      <c r="BD268" s="253"/>
      <c r="BE268" s="253"/>
      <c r="BF268" s="253"/>
      <c r="BG268" s="253"/>
      <c r="BH268" s="253"/>
      <c r="BI268" s="253"/>
      <c r="BJ268" s="253"/>
    </row>
    <row r="269" spans="1:62" ht="24" customHeight="1">
      <c r="A269" s="256"/>
      <c r="B269" s="256"/>
      <c r="C269" s="264"/>
      <c r="D269" s="254"/>
      <c r="E269" s="254"/>
      <c r="F269" s="258"/>
      <c r="G269" s="254"/>
      <c r="H269" s="258"/>
      <c r="I269" s="254"/>
      <c r="J269" s="258"/>
      <c r="K269" s="258"/>
      <c r="L269" s="258"/>
      <c r="M269" s="256"/>
      <c r="N269" s="253"/>
      <c r="O269" s="253"/>
      <c r="P269" s="253"/>
      <c r="Q269" s="253"/>
      <c r="R269" s="253"/>
      <c r="S269" s="253"/>
      <c r="T269" s="253"/>
      <c r="U269" s="253"/>
      <c r="V269" s="253"/>
      <c r="W269" s="253"/>
      <c r="X269" s="253"/>
      <c r="Y269" s="253"/>
      <c r="Z269" s="253"/>
      <c r="AA269" s="253"/>
      <c r="AB269" s="253"/>
      <c r="AC269" s="253"/>
      <c r="AD269" s="253"/>
      <c r="AE269" s="253"/>
      <c r="AF269" s="253"/>
      <c r="AG269" s="253"/>
      <c r="AH269" s="253"/>
      <c r="AI269" s="253"/>
      <c r="AJ269" s="253"/>
      <c r="AK269" s="253"/>
      <c r="AL269" s="253"/>
      <c r="AM269" s="253"/>
      <c r="AN269" s="253"/>
      <c r="AO269" s="253"/>
      <c r="AP269" s="253"/>
      <c r="AQ269" s="253"/>
      <c r="AR269" s="253"/>
      <c r="AS269" s="253"/>
      <c r="AT269" s="253"/>
      <c r="AU269" s="253"/>
      <c r="AV269" s="253"/>
      <c r="AW269" s="253"/>
      <c r="AX269" s="253"/>
      <c r="AY269" s="253"/>
      <c r="AZ269" s="253"/>
      <c r="BA269" s="253"/>
      <c r="BB269" s="253"/>
      <c r="BC269" s="253"/>
      <c r="BD269" s="253"/>
      <c r="BE269" s="253"/>
      <c r="BF269" s="253"/>
      <c r="BG269" s="253"/>
      <c r="BH269" s="253"/>
      <c r="BI269" s="253"/>
      <c r="BJ269" s="253"/>
    </row>
    <row r="270" spans="1:62" ht="24" customHeight="1">
      <c r="A270" s="256"/>
      <c r="B270" s="256"/>
      <c r="C270" s="264"/>
      <c r="D270" s="254"/>
      <c r="E270" s="254"/>
      <c r="F270" s="258"/>
      <c r="G270" s="254"/>
      <c r="H270" s="258"/>
      <c r="I270" s="254"/>
      <c r="J270" s="258"/>
      <c r="K270" s="258"/>
      <c r="L270" s="258"/>
      <c r="M270" s="256"/>
      <c r="N270" s="253"/>
      <c r="O270" s="253"/>
      <c r="P270" s="253"/>
      <c r="Q270" s="253"/>
      <c r="R270" s="253"/>
      <c r="S270" s="253"/>
      <c r="T270" s="253"/>
      <c r="U270" s="253"/>
      <c r="V270" s="253"/>
      <c r="W270" s="253"/>
      <c r="X270" s="253"/>
      <c r="Y270" s="253"/>
      <c r="Z270" s="253"/>
      <c r="AA270" s="253"/>
      <c r="AB270" s="253"/>
      <c r="AC270" s="253"/>
      <c r="AD270" s="253"/>
      <c r="AE270" s="253"/>
      <c r="AF270" s="253"/>
      <c r="AG270" s="253"/>
      <c r="AH270" s="253"/>
      <c r="AI270" s="253"/>
      <c r="AJ270" s="253"/>
      <c r="AK270" s="253"/>
      <c r="AL270" s="253"/>
      <c r="AM270" s="253"/>
      <c r="AN270" s="253"/>
      <c r="AO270" s="253"/>
      <c r="AP270" s="253"/>
      <c r="AQ270" s="253"/>
      <c r="AR270" s="253"/>
      <c r="AS270" s="253"/>
      <c r="AT270" s="253"/>
      <c r="AU270" s="253"/>
      <c r="AV270" s="253"/>
      <c r="AW270" s="253"/>
      <c r="AX270" s="253"/>
      <c r="AY270" s="253"/>
      <c r="AZ270" s="253"/>
      <c r="BA270" s="253"/>
      <c r="BB270" s="253"/>
      <c r="BC270" s="253"/>
      <c r="BD270" s="253"/>
      <c r="BE270" s="253"/>
      <c r="BF270" s="253"/>
      <c r="BG270" s="253"/>
      <c r="BH270" s="253"/>
      <c r="BI270" s="253"/>
      <c r="BJ270" s="253"/>
    </row>
    <row r="271" spans="1:62" ht="24" customHeight="1">
      <c r="A271" s="256"/>
      <c r="B271" s="256"/>
      <c r="C271" s="264"/>
      <c r="D271" s="254"/>
      <c r="E271" s="254"/>
      <c r="F271" s="258"/>
      <c r="G271" s="254"/>
      <c r="H271" s="258"/>
      <c r="I271" s="254"/>
      <c r="J271" s="258"/>
      <c r="K271" s="258"/>
      <c r="L271" s="258"/>
      <c r="M271" s="256"/>
      <c r="N271" s="253"/>
      <c r="O271" s="253"/>
      <c r="P271" s="253"/>
      <c r="Q271" s="253"/>
      <c r="R271" s="253"/>
      <c r="S271" s="253"/>
      <c r="T271" s="253"/>
      <c r="U271" s="253"/>
      <c r="V271" s="253"/>
      <c r="W271" s="253"/>
      <c r="X271" s="253"/>
      <c r="Y271" s="253"/>
      <c r="Z271" s="253"/>
      <c r="AA271" s="253"/>
      <c r="AB271" s="253"/>
      <c r="AC271" s="253"/>
      <c r="AD271" s="253"/>
      <c r="AE271" s="253"/>
      <c r="AF271" s="253"/>
      <c r="AG271" s="253"/>
      <c r="AH271" s="253"/>
      <c r="AI271" s="253"/>
      <c r="AJ271" s="253"/>
      <c r="AK271" s="253"/>
      <c r="AL271" s="253"/>
      <c r="AM271" s="253"/>
      <c r="AN271" s="253"/>
      <c r="AO271" s="253"/>
      <c r="AP271" s="253"/>
      <c r="AQ271" s="253"/>
      <c r="AR271" s="253"/>
      <c r="AS271" s="253"/>
      <c r="AT271" s="253"/>
      <c r="AU271" s="253"/>
      <c r="AV271" s="253"/>
      <c r="AW271" s="253"/>
      <c r="AX271" s="253"/>
      <c r="AY271" s="253"/>
      <c r="AZ271" s="253"/>
      <c r="BA271" s="253"/>
      <c r="BB271" s="253"/>
      <c r="BC271" s="253"/>
      <c r="BD271" s="253"/>
      <c r="BE271" s="253"/>
      <c r="BF271" s="253"/>
      <c r="BG271" s="253"/>
      <c r="BH271" s="253"/>
      <c r="BI271" s="253"/>
      <c r="BJ271" s="253"/>
    </row>
    <row r="272" spans="1:62" ht="24" customHeight="1">
      <c r="A272" s="256"/>
      <c r="B272" s="256"/>
      <c r="C272" s="264"/>
      <c r="D272" s="254"/>
      <c r="E272" s="254"/>
      <c r="F272" s="258"/>
      <c r="G272" s="254"/>
      <c r="H272" s="258"/>
      <c r="I272" s="254"/>
      <c r="J272" s="258"/>
      <c r="K272" s="258"/>
      <c r="L272" s="258"/>
      <c r="M272" s="256"/>
      <c r="N272" s="253"/>
      <c r="O272" s="253"/>
      <c r="P272" s="253"/>
      <c r="Q272" s="253"/>
      <c r="R272" s="253"/>
      <c r="S272" s="253"/>
      <c r="T272" s="253"/>
      <c r="U272" s="253"/>
      <c r="V272" s="253"/>
      <c r="W272" s="253"/>
      <c r="X272" s="253"/>
      <c r="Y272" s="253"/>
      <c r="Z272" s="253"/>
      <c r="AA272" s="253"/>
      <c r="AB272" s="253"/>
      <c r="AC272" s="253"/>
      <c r="AD272" s="253"/>
      <c r="AE272" s="253"/>
      <c r="AF272" s="253"/>
      <c r="AG272" s="253"/>
      <c r="AH272" s="253"/>
      <c r="AI272" s="253"/>
      <c r="AJ272" s="253"/>
      <c r="AK272" s="253"/>
      <c r="AL272" s="253"/>
      <c r="AM272" s="253"/>
      <c r="AN272" s="253"/>
      <c r="AO272" s="253"/>
      <c r="AP272" s="253"/>
      <c r="AQ272" s="253"/>
      <c r="AR272" s="253"/>
      <c r="AS272" s="253"/>
      <c r="AT272" s="253"/>
      <c r="AU272" s="253"/>
      <c r="AV272" s="253"/>
      <c r="AW272" s="253"/>
      <c r="AX272" s="253"/>
      <c r="AY272" s="253"/>
      <c r="AZ272" s="253"/>
      <c r="BA272" s="253"/>
      <c r="BB272" s="253"/>
      <c r="BC272" s="253"/>
      <c r="BD272" s="253"/>
      <c r="BE272" s="253"/>
      <c r="BF272" s="253"/>
      <c r="BG272" s="253"/>
      <c r="BH272" s="253"/>
      <c r="BI272" s="253"/>
      <c r="BJ272" s="253"/>
    </row>
    <row r="273" spans="1:62" ht="24" customHeight="1">
      <c r="A273" s="256"/>
      <c r="B273" s="256"/>
      <c r="C273" s="264"/>
      <c r="D273" s="254"/>
      <c r="E273" s="254"/>
      <c r="F273" s="258"/>
      <c r="G273" s="254"/>
      <c r="H273" s="258"/>
      <c r="I273" s="254"/>
      <c r="J273" s="258"/>
      <c r="K273" s="258"/>
      <c r="L273" s="258"/>
      <c r="M273" s="256"/>
      <c r="N273" s="253"/>
      <c r="O273" s="253"/>
      <c r="P273" s="253"/>
      <c r="Q273" s="253"/>
      <c r="R273" s="253"/>
      <c r="S273" s="253"/>
      <c r="T273" s="253"/>
      <c r="U273" s="253"/>
      <c r="V273" s="253"/>
      <c r="W273" s="253"/>
      <c r="X273" s="253"/>
      <c r="Y273" s="253"/>
      <c r="Z273" s="253"/>
      <c r="AA273" s="253"/>
      <c r="AB273" s="253"/>
      <c r="AC273" s="253"/>
      <c r="AD273" s="253"/>
      <c r="AE273" s="253"/>
      <c r="AF273" s="253"/>
      <c r="AG273" s="253"/>
      <c r="AH273" s="253"/>
      <c r="AI273" s="253"/>
      <c r="AJ273" s="253"/>
      <c r="AK273" s="253"/>
      <c r="AL273" s="253"/>
      <c r="AM273" s="253"/>
      <c r="AN273" s="253"/>
      <c r="AO273" s="253"/>
      <c r="AP273" s="253"/>
      <c r="AQ273" s="253"/>
      <c r="AR273" s="253"/>
      <c r="AS273" s="253"/>
      <c r="AT273" s="253"/>
      <c r="AU273" s="253"/>
      <c r="AV273" s="253"/>
      <c r="AW273" s="253"/>
      <c r="AX273" s="253"/>
      <c r="AY273" s="253"/>
      <c r="AZ273" s="253"/>
      <c r="BA273" s="253"/>
      <c r="BB273" s="253"/>
      <c r="BC273" s="253"/>
      <c r="BD273" s="253"/>
      <c r="BE273" s="253"/>
      <c r="BF273" s="253"/>
      <c r="BG273" s="253"/>
      <c r="BH273" s="253"/>
      <c r="BI273" s="253"/>
      <c r="BJ273" s="253"/>
    </row>
    <row r="274" spans="1:62" ht="24" customHeight="1">
      <c r="A274" s="256"/>
      <c r="B274" s="256"/>
      <c r="C274" s="264"/>
      <c r="D274" s="254"/>
      <c r="E274" s="254"/>
      <c r="F274" s="258"/>
      <c r="G274" s="254"/>
      <c r="H274" s="258"/>
      <c r="I274" s="254"/>
      <c r="J274" s="258"/>
      <c r="K274" s="258"/>
      <c r="L274" s="258"/>
      <c r="M274" s="256"/>
      <c r="N274" s="253"/>
      <c r="O274" s="253"/>
      <c r="P274" s="253"/>
      <c r="Q274" s="253"/>
      <c r="R274" s="253"/>
      <c r="S274" s="253"/>
      <c r="T274" s="253"/>
      <c r="U274" s="253"/>
      <c r="V274" s="253"/>
      <c r="W274" s="253"/>
      <c r="X274" s="253"/>
      <c r="Y274" s="253"/>
      <c r="Z274" s="253"/>
      <c r="AA274" s="253"/>
      <c r="AB274" s="253"/>
      <c r="AC274" s="253"/>
      <c r="AD274" s="253"/>
      <c r="AE274" s="253"/>
      <c r="AF274" s="253"/>
      <c r="AG274" s="253"/>
      <c r="AH274" s="253"/>
      <c r="AI274" s="253"/>
      <c r="AJ274" s="253"/>
      <c r="AK274" s="253"/>
      <c r="AL274" s="253"/>
      <c r="AM274" s="253"/>
      <c r="AN274" s="253"/>
      <c r="AO274" s="253"/>
      <c r="AP274" s="253"/>
      <c r="AQ274" s="253"/>
      <c r="AR274" s="253"/>
      <c r="AS274" s="253"/>
      <c r="AT274" s="253"/>
      <c r="AU274" s="253"/>
      <c r="AV274" s="253"/>
      <c r="AW274" s="253"/>
      <c r="AX274" s="253"/>
      <c r="AY274" s="253"/>
      <c r="AZ274" s="253"/>
      <c r="BA274" s="253"/>
      <c r="BB274" s="253"/>
      <c r="BC274" s="253"/>
      <c r="BD274" s="253"/>
      <c r="BE274" s="253"/>
      <c r="BF274" s="253"/>
      <c r="BG274" s="253"/>
      <c r="BH274" s="253"/>
      <c r="BI274" s="253"/>
      <c r="BJ274" s="253"/>
    </row>
    <row r="275" spans="1:62" ht="24" customHeight="1">
      <c r="A275" s="256"/>
      <c r="B275" s="256"/>
      <c r="C275" s="264"/>
      <c r="D275" s="254"/>
      <c r="E275" s="254"/>
      <c r="F275" s="258"/>
      <c r="G275" s="254"/>
      <c r="H275" s="258"/>
      <c r="I275" s="254"/>
      <c r="J275" s="258"/>
      <c r="K275" s="258"/>
      <c r="L275" s="258"/>
      <c r="M275" s="256"/>
      <c r="N275" s="253"/>
      <c r="O275" s="253"/>
      <c r="P275" s="253"/>
      <c r="Q275" s="253"/>
      <c r="R275" s="253"/>
      <c r="S275" s="253"/>
      <c r="T275" s="253"/>
      <c r="U275" s="253"/>
      <c r="V275" s="253"/>
      <c r="W275" s="253"/>
      <c r="X275" s="253"/>
      <c r="Y275" s="253"/>
      <c r="Z275" s="253"/>
      <c r="AA275" s="253"/>
      <c r="AB275" s="253"/>
      <c r="AC275" s="253"/>
      <c r="AD275" s="253"/>
      <c r="AE275" s="253"/>
      <c r="AF275" s="253"/>
      <c r="AG275" s="253"/>
      <c r="AH275" s="253"/>
      <c r="AI275" s="253"/>
      <c r="AJ275" s="253"/>
      <c r="AK275" s="253"/>
      <c r="AL275" s="253"/>
      <c r="AM275" s="253"/>
      <c r="AN275" s="253"/>
      <c r="AO275" s="253"/>
      <c r="AP275" s="253"/>
      <c r="AQ275" s="253"/>
      <c r="AR275" s="253"/>
      <c r="AS275" s="253"/>
      <c r="AT275" s="253"/>
      <c r="AU275" s="253"/>
      <c r="AV275" s="253"/>
      <c r="AW275" s="253"/>
      <c r="AX275" s="253"/>
      <c r="AY275" s="253"/>
      <c r="AZ275" s="253"/>
      <c r="BA275" s="253"/>
      <c r="BB275" s="253"/>
      <c r="BC275" s="253"/>
      <c r="BD275" s="253"/>
      <c r="BE275" s="253"/>
      <c r="BF275" s="253"/>
      <c r="BG275" s="253"/>
      <c r="BH275" s="253"/>
      <c r="BI275" s="253"/>
      <c r="BJ275" s="253"/>
    </row>
    <row r="276" spans="1:62" ht="24" customHeight="1">
      <c r="A276" s="273" t="s">
        <v>1249</v>
      </c>
      <c r="B276" s="273" t="s">
        <v>68</v>
      </c>
      <c r="C276" s="274">
        <v>1</v>
      </c>
      <c r="D276" s="275" t="s">
        <v>1094</v>
      </c>
      <c r="E276" s="275"/>
      <c r="F276" s="276">
        <f>TRUNC(F277+F278+F279+F280+F281,0)</f>
        <v>0</v>
      </c>
      <c r="G276" s="275"/>
      <c r="H276" s="276"/>
      <c r="I276" s="275"/>
      <c r="J276" s="276"/>
      <c r="K276" s="275"/>
      <c r="L276" s="276"/>
      <c r="M276" s="273"/>
      <c r="N276" s="253" t="s">
        <v>68</v>
      </c>
      <c r="O276" s="253" t="s">
        <v>1516</v>
      </c>
      <c r="P276" s="253"/>
      <c r="Q276" s="253"/>
      <c r="R276" s="253"/>
      <c r="S276" s="253"/>
      <c r="T276" s="253"/>
      <c r="U276" s="253"/>
      <c r="V276" s="253"/>
      <c r="W276" s="253"/>
      <c r="X276" s="253"/>
      <c r="Y276" s="253"/>
      <c r="Z276" s="253"/>
      <c r="AA276" s="253"/>
      <c r="AB276" s="253"/>
      <c r="AC276" s="253"/>
      <c r="AD276" s="253"/>
      <c r="AE276" s="253"/>
      <c r="AF276" s="253"/>
      <c r="AG276" s="253"/>
      <c r="AH276" s="253"/>
      <c r="AI276" s="253"/>
      <c r="AJ276" s="253"/>
      <c r="AK276" s="253"/>
      <c r="AL276" s="253"/>
      <c r="AM276" s="253"/>
      <c r="AN276" s="253"/>
      <c r="AO276" s="253"/>
      <c r="AP276" s="253"/>
      <c r="AQ276" s="253"/>
      <c r="AR276" s="253"/>
      <c r="AS276" s="253"/>
      <c r="AT276" s="253"/>
      <c r="AU276" s="253"/>
      <c r="AV276" s="253"/>
      <c r="AW276" s="253"/>
      <c r="AX276" s="253"/>
      <c r="AY276" s="253"/>
      <c r="AZ276" s="253"/>
      <c r="BA276" s="253"/>
      <c r="BB276" s="253"/>
      <c r="BC276" s="253"/>
      <c r="BD276" s="253"/>
      <c r="BE276" s="253"/>
      <c r="BF276" s="253"/>
      <c r="BG276" s="253"/>
      <c r="BH276" s="253"/>
      <c r="BI276" s="253"/>
      <c r="BJ276" s="253"/>
    </row>
    <row r="277" spans="1:62" ht="24" customHeight="1">
      <c r="A277" s="256" t="s">
        <v>1263</v>
      </c>
      <c r="B277" s="256" t="s">
        <v>1264</v>
      </c>
      <c r="C277" s="257">
        <v>85</v>
      </c>
      <c r="D277" s="254" t="s">
        <v>9</v>
      </c>
      <c r="E277" s="258">
        <f>일위목록!E76</f>
        <v>0</v>
      </c>
      <c r="F277" s="258">
        <f>TRUNC(E277*C277,0)</f>
        <v>0</v>
      </c>
      <c r="G277" s="258">
        <f>일위목록!F76</f>
        <v>0</v>
      </c>
      <c r="H277" s="258"/>
      <c r="I277" s="258"/>
      <c r="J277" s="258"/>
      <c r="K277" s="258"/>
      <c r="L277" s="258"/>
      <c r="M277" s="256"/>
      <c r="N277" s="253" t="s">
        <v>68</v>
      </c>
      <c r="O277" s="253"/>
      <c r="P277" s="253" t="s">
        <v>1095</v>
      </c>
      <c r="Q277" s="253" t="s">
        <v>68</v>
      </c>
      <c r="R277" s="253" t="s">
        <v>1265</v>
      </c>
      <c r="S277" s="253"/>
      <c r="T277" s="253" t="s">
        <v>1129</v>
      </c>
      <c r="U277" s="253"/>
      <c r="V277" s="253"/>
      <c r="W277" s="253"/>
      <c r="X277" s="253"/>
      <c r="Y277" s="253"/>
      <c r="Z277" s="253"/>
      <c r="AA277" s="253"/>
      <c r="AB277" s="253"/>
      <c r="AC277" s="253"/>
      <c r="AD277" s="253"/>
      <c r="AE277" s="253"/>
      <c r="AF277" s="253"/>
      <c r="AG277" s="253"/>
      <c r="AH277" s="253"/>
      <c r="AI277" s="253"/>
      <c r="AJ277" s="253"/>
      <c r="AK277" s="253"/>
      <c r="AL277" s="253"/>
      <c r="AM277" s="253"/>
      <c r="AN277" s="253"/>
      <c r="AO277" s="253"/>
      <c r="AP277" s="253"/>
      <c r="AQ277" s="253"/>
      <c r="AR277" s="253"/>
      <c r="AS277" s="253"/>
      <c r="AT277" s="253"/>
      <c r="AU277" s="253"/>
      <c r="AV277" s="253"/>
      <c r="AW277" s="253"/>
      <c r="AX277" s="253"/>
      <c r="AY277" s="253"/>
      <c r="AZ277" s="253"/>
      <c r="BA277" s="253"/>
      <c r="BB277" s="253"/>
      <c r="BC277" s="253"/>
      <c r="BD277" s="253"/>
      <c r="BE277" s="253"/>
      <c r="BF277" s="253"/>
      <c r="BG277" s="253"/>
      <c r="BH277" s="253"/>
      <c r="BI277" s="253"/>
      <c r="BJ277" s="263" t="str">
        <f>HYPERLINK("#일위대가목록!A76","P4-1-1/4 →")</f>
        <v>P4-1-1/4 →</v>
      </c>
    </row>
    <row r="278" spans="1:62" ht="24" customHeight="1">
      <c r="A278" s="256" t="s">
        <v>141</v>
      </c>
      <c r="B278" s="256" t="s">
        <v>1266</v>
      </c>
      <c r="C278" s="257">
        <v>85</v>
      </c>
      <c r="D278" s="254" t="s">
        <v>9</v>
      </c>
      <c r="E278" s="258">
        <f>일위목록!E77</f>
        <v>0</v>
      </c>
      <c r="F278" s="258">
        <f>TRUNC(E278*C278,0)</f>
        <v>0</v>
      </c>
      <c r="G278" s="258">
        <f>일위목록!F77</f>
        <v>0</v>
      </c>
      <c r="H278" s="258"/>
      <c r="I278" s="258"/>
      <c r="J278" s="258"/>
      <c r="K278" s="258"/>
      <c r="L278" s="258"/>
      <c r="M278" s="256"/>
      <c r="N278" s="253" t="s">
        <v>68</v>
      </c>
      <c r="O278" s="253"/>
      <c r="P278" s="253" t="s">
        <v>1098</v>
      </c>
      <c r="Q278" s="253" t="s">
        <v>68</v>
      </c>
      <c r="R278" s="253" t="s">
        <v>1267</v>
      </c>
      <c r="S278" s="253"/>
      <c r="T278" s="253" t="s">
        <v>1129</v>
      </c>
      <c r="U278" s="253"/>
      <c r="V278" s="253"/>
      <c r="W278" s="253"/>
      <c r="X278" s="253"/>
      <c r="Y278" s="253"/>
      <c r="Z278" s="253"/>
      <c r="AA278" s="253"/>
      <c r="AB278" s="253"/>
      <c r="AC278" s="253"/>
      <c r="AD278" s="253"/>
      <c r="AE278" s="253"/>
      <c r="AF278" s="253"/>
      <c r="AG278" s="253"/>
      <c r="AH278" s="253"/>
      <c r="AI278" s="253"/>
      <c r="AJ278" s="253"/>
      <c r="AK278" s="253"/>
      <c r="AL278" s="253"/>
      <c r="AM278" s="253"/>
      <c r="AN278" s="253"/>
      <c r="AO278" s="253"/>
      <c r="AP278" s="253"/>
      <c r="AQ278" s="253"/>
      <c r="AR278" s="253"/>
      <c r="AS278" s="253"/>
      <c r="AT278" s="253"/>
      <c r="AU278" s="253"/>
      <c r="AV278" s="253"/>
      <c r="AW278" s="253"/>
      <c r="AX278" s="253"/>
      <c r="AY278" s="253"/>
      <c r="AZ278" s="253"/>
      <c r="BA278" s="253"/>
      <c r="BB278" s="253"/>
      <c r="BC278" s="253"/>
      <c r="BD278" s="253"/>
      <c r="BE278" s="253"/>
      <c r="BF278" s="253"/>
      <c r="BG278" s="253"/>
      <c r="BH278" s="253"/>
      <c r="BI278" s="253"/>
      <c r="BJ278" s="263" t="str">
        <f>HYPERLINK("#일위대가목록!A77","R2-11-2/7 →")</f>
        <v>R2-11-2/7 →</v>
      </c>
    </row>
    <row r="279" spans="1:62" ht="24" customHeight="1">
      <c r="A279" s="256" t="s">
        <v>143</v>
      </c>
      <c r="B279" s="256" t="s">
        <v>1268</v>
      </c>
      <c r="C279" s="257">
        <v>85</v>
      </c>
      <c r="D279" s="254" t="s">
        <v>9</v>
      </c>
      <c r="E279" s="258">
        <f>일위목록!E78</f>
        <v>0</v>
      </c>
      <c r="F279" s="258">
        <f>TRUNC(E279*C279,0)</f>
        <v>0</v>
      </c>
      <c r="G279" s="258">
        <f>일위목록!F78</f>
        <v>0</v>
      </c>
      <c r="H279" s="258"/>
      <c r="I279" s="258"/>
      <c r="J279" s="258"/>
      <c r="K279" s="258"/>
      <c r="L279" s="258"/>
      <c r="M279" s="256"/>
      <c r="N279" s="253" t="s">
        <v>68</v>
      </c>
      <c r="O279" s="253"/>
      <c r="P279" s="253" t="s">
        <v>1101</v>
      </c>
      <c r="Q279" s="253" t="s">
        <v>68</v>
      </c>
      <c r="R279" s="253" t="s">
        <v>1269</v>
      </c>
      <c r="S279" s="253"/>
      <c r="T279" s="253" t="s">
        <v>1129</v>
      </c>
      <c r="U279" s="253"/>
      <c r="V279" s="253"/>
      <c r="W279" s="253"/>
      <c r="X279" s="253"/>
      <c r="Y279" s="253"/>
      <c r="Z279" s="253"/>
      <c r="AA279" s="253"/>
      <c r="AB279" s="253"/>
      <c r="AC279" s="253"/>
      <c r="AD279" s="253"/>
      <c r="AE279" s="253"/>
      <c r="AF279" s="253"/>
      <c r="AG279" s="253"/>
      <c r="AH279" s="253"/>
      <c r="AI279" s="253"/>
      <c r="AJ279" s="253"/>
      <c r="AK279" s="253"/>
      <c r="AL279" s="253"/>
      <c r="AM279" s="253"/>
      <c r="AN279" s="253"/>
      <c r="AO279" s="253"/>
      <c r="AP279" s="253"/>
      <c r="AQ279" s="253"/>
      <c r="AR279" s="253"/>
      <c r="AS279" s="253"/>
      <c r="AT279" s="253"/>
      <c r="AU279" s="253"/>
      <c r="AV279" s="253"/>
      <c r="AW279" s="253"/>
      <c r="AX279" s="253"/>
      <c r="AY279" s="253"/>
      <c r="AZ279" s="253"/>
      <c r="BA279" s="253"/>
      <c r="BB279" s="253"/>
      <c r="BC279" s="253"/>
      <c r="BD279" s="253"/>
      <c r="BE279" s="253"/>
      <c r="BF279" s="253"/>
      <c r="BG279" s="253"/>
      <c r="BH279" s="253"/>
      <c r="BI279" s="253"/>
      <c r="BJ279" s="263" t="str">
        <f>HYPERLINK("#일위대가목록!A78","R2-11-1/0 →")</f>
        <v>R2-11-1/0 →</v>
      </c>
    </row>
    <row r="280" spans="1:62" ht="24" customHeight="1">
      <c r="A280" s="256" t="s">
        <v>145</v>
      </c>
      <c r="B280" s="256" t="s">
        <v>1270</v>
      </c>
      <c r="C280" s="257">
        <v>85</v>
      </c>
      <c r="D280" s="254" t="s">
        <v>9</v>
      </c>
      <c r="E280" s="258">
        <f>일위목록!E79</f>
        <v>0</v>
      </c>
      <c r="F280" s="258">
        <f>TRUNC(E280*C280,0)</f>
        <v>0</v>
      </c>
      <c r="G280" s="258">
        <f>일위목록!F79</f>
        <v>0</v>
      </c>
      <c r="H280" s="258"/>
      <c r="I280" s="258"/>
      <c r="J280" s="258"/>
      <c r="K280" s="258"/>
      <c r="L280" s="258"/>
      <c r="M280" s="256"/>
      <c r="N280" s="253" t="s">
        <v>68</v>
      </c>
      <c r="O280" s="253"/>
      <c r="P280" s="253" t="s">
        <v>1104</v>
      </c>
      <c r="Q280" s="253" t="s">
        <v>68</v>
      </c>
      <c r="R280" s="253" t="s">
        <v>1271</v>
      </c>
      <c r="S280" s="253"/>
      <c r="T280" s="253" t="s">
        <v>1129</v>
      </c>
      <c r="U280" s="253"/>
      <c r="V280" s="253"/>
      <c r="W280" s="253"/>
      <c r="X280" s="253"/>
      <c r="Y280" s="253"/>
      <c r="Z280" s="253"/>
      <c r="AA280" s="253"/>
      <c r="AB280" s="253"/>
      <c r="AC280" s="253"/>
      <c r="AD280" s="253"/>
      <c r="AE280" s="253"/>
      <c r="AF280" s="253"/>
      <c r="AG280" s="253"/>
      <c r="AH280" s="253"/>
      <c r="AI280" s="253"/>
      <c r="AJ280" s="253"/>
      <c r="AK280" s="253"/>
      <c r="AL280" s="253"/>
      <c r="AM280" s="253"/>
      <c r="AN280" s="253"/>
      <c r="AO280" s="253"/>
      <c r="AP280" s="253"/>
      <c r="AQ280" s="253"/>
      <c r="AR280" s="253"/>
      <c r="AS280" s="253"/>
      <c r="AT280" s="253"/>
      <c r="AU280" s="253"/>
      <c r="AV280" s="253"/>
      <c r="AW280" s="253"/>
      <c r="AX280" s="253"/>
      <c r="AY280" s="253"/>
      <c r="AZ280" s="253"/>
      <c r="BA280" s="253"/>
      <c r="BB280" s="253"/>
      <c r="BC280" s="253"/>
      <c r="BD280" s="253"/>
      <c r="BE280" s="253"/>
      <c r="BF280" s="253"/>
      <c r="BG280" s="253"/>
      <c r="BH280" s="253"/>
      <c r="BI280" s="253"/>
      <c r="BJ280" s="263" t="str">
        <f>HYPERLINK("#일위대가목록!A79","R2-11-3/1 →")</f>
        <v>R2-11-3/1 →</v>
      </c>
    </row>
    <row r="281" spans="1:62" ht="24" customHeight="1">
      <c r="A281" s="256" t="s">
        <v>1272</v>
      </c>
      <c r="B281" s="256" t="s">
        <v>1273</v>
      </c>
      <c r="C281" s="257">
        <v>1</v>
      </c>
      <c r="D281" s="254" t="s">
        <v>149</v>
      </c>
      <c r="E281" s="258">
        <f>일위목록!E80</f>
        <v>0</v>
      </c>
      <c r="F281" s="258">
        <f>TRUNC(E281*C281,0)</f>
        <v>0</v>
      </c>
      <c r="G281" s="258">
        <f>일위목록!F80</f>
        <v>0</v>
      </c>
      <c r="H281" s="258"/>
      <c r="I281" s="258"/>
      <c r="J281" s="258"/>
      <c r="K281" s="258"/>
      <c r="L281" s="258"/>
      <c r="M281" s="256"/>
      <c r="N281" s="253" t="s">
        <v>68</v>
      </c>
      <c r="O281" s="253"/>
      <c r="P281" s="253" t="s">
        <v>1107</v>
      </c>
      <c r="Q281" s="253" t="s">
        <v>68</v>
      </c>
      <c r="R281" s="253" t="s">
        <v>1274</v>
      </c>
      <c r="S281" s="253"/>
      <c r="T281" s="253" t="s">
        <v>1129</v>
      </c>
      <c r="U281" s="253"/>
      <c r="V281" s="253"/>
      <c r="W281" s="253"/>
      <c r="X281" s="253"/>
      <c r="Y281" s="253"/>
      <c r="Z281" s="253"/>
      <c r="AA281" s="253"/>
      <c r="AB281" s="253"/>
      <c r="AC281" s="253"/>
      <c r="AD281" s="253"/>
      <c r="AE281" s="253"/>
      <c r="AF281" s="253"/>
      <c r="AG281" s="253"/>
      <c r="AH281" s="253"/>
      <c r="AI281" s="253"/>
      <c r="AJ281" s="253"/>
      <c r="AK281" s="253"/>
      <c r="AL281" s="253"/>
      <c r="AM281" s="253"/>
      <c r="AN281" s="253"/>
      <c r="AO281" s="253"/>
      <c r="AP281" s="253"/>
      <c r="AQ281" s="253"/>
      <c r="AR281" s="253"/>
      <c r="AS281" s="253"/>
      <c r="AT281" s="253"/>
      <c r="AU281" s="253"/>
      <c r="AV281" s="253"/>
      <c r="AW281" s="253"/>
      <c r="AX281" s="253"/>
      <c r="AY281" s="253"/>
      <c r="AZ281" s="253"/>
      <c r="BA281" s="253"/>
      <c r="BB281" s="253"/>
      <c r="BC281" s="253"/>
      <c r="BD281" s="253"/>
      <c r="BE281" s="253"/>
      <c r="BF281" s="253"/>
      <c r="BG281" s="253"/>
      <c r="BH281" s="253"/>
      <c r="BI281" s="253"/>
      <c r="BJ281" s="263" t="str">
        <f>HYPERLINK("#일위대가목록!A80","R2-11-23 →")</f>
        <v>R2-11-23 →</v>
      </c>
    </row>
    <row r="282" spans="1:62" ht="24" customHeight="1">
      <c r="A282" s="256" t="s">
        <v>68</v>
      </c>
      <c r="B282" s="256" t="s">
        <v>68</v>
      </c>
      <c r="C282" s="264"/>
      <c r="D282" s="254" t="s">
        <v>68</v>
      </c>
      <c r="E282" s="254"/>
      <c r="F282" s="258">
        <v>0</v>
      </c>
      <c r="G282" s="254"/>
      <c r="H282" s="258"/>
      <c r="I282" s="254"/>
      <c r="J282" s="258"/>
      <c r="K282" s="258"/>
      <c r="L282" s="258"/>
      <c r="M282" s="256"/>
      <c r="N282" s="253" t="s">
        <v>68</v>
      </c>
      <c r="O282" s="253"/>
      <c r="P282" s="253" t="s">
        <v>1108</v>
      </c>
      <c r="Q282" s="253" t="s">
        <v>68</v>
      </c>
      <c r="R282" s="253" t="s">
        <v>68</v>
      </c>
      <c r="S282" s="253"/>
      <c r="T282" s="253"/>
      <c r="U282" s="253"/>
      <c r="V282" s="253"/>
      <c r="W282" s="253"/>
      <c r="X282" s="253"/>
      <c r="Y282" s="253"/>
      <c r="Z282" s="253"/>
      <c r="AA282" s="253"/>
      <c r="AB282" s="253"/>
      <c r="AC282" s="253"/>
      <c r="AD282" s="253"/>
      <c r="AE282" s="253"/>
      <c r="AF282" s="253"/>
      <c r="AG282" s="253"/>
      <c r="AH282" s="253"/>
      <c r="AI282" s="253"/>
      <c r="AJ282" s="253"/>
      <c r="AK282" s="253"/>
      <c r="AL282" s="253"/>
      <c r="AM282" s="253"/>
      <c r="AN282" s="253"/>
      <c r="AO282" s="253"/>
      <c r="AP282" s="253"/>
      <c r="AQ282" s="253"/>
      <c r="AR282" s="253"/>
      <c r="AS282" s="253"/>
      <c r="AT282" s="253"/>
      <c r="AU282" s="253"/>
      <c r="AV282" s="253"/>
      <c r="AW282" s="253"/>
      <c r="AX282" s="253"/>
      <c r="AY282" s="253"/>
      <c r="AZ282" s="253"/>
      <c r="BA282" s="253"/>
      <c r="BB282" s="253"/>
      <c r="BC282" s="253"/>
      <c r="BD282" s="253"/>
      <c r="BE282" s="253"/>
      <c r="BF282" s="253"/>
      <c r="BG282" s="253"/>
      <c r="BH282" s="253"/>
      <c r="BI282" s="253"/>
      <c r="BJ282" s="253"/>
    </row>
    <row r="283" spans="1:62" ht="24" customHeight="1">
      <c r="A283" s="273" t="s">
        <v>1251</v>
      </c>
      <c r="B283" s="273" t="s">
        <v>68</v>
      </c>
      <c r="C283" s="274">
        <v>1</v>
      </c>
      <c r="D283" s="275" t="s">
        <v>1094</v>
      </c>
      <c r="E283" s="275"/>
      <c r="F283" s="276">
        <f>TRUNC(F284+F285+F286+F287,0)</f>
        <v>0</v>
      </c>
      <c r="G283" s="275"/>
      <c r="H283" s="276"/>
      <c r="I283" s="275"/>
      <c r="J283" s="276"/>
      <c r="K283" s="275"/>
      <c r="L283" s="276"/>
      <c r="M283" s="273"/>
      <c r="N283" s="253" t="s">
        <v>68</v>
      </c>
      <c r="O283" s="253" t="s">
        <v>1517</v>
      </c>
      <c r="P283" s="253"/>
      <c r="Q283" s="253"/>
      <c r="R283" s="253"/>
      <c r="S283" s="253"/>
      <c r="T283" s="253"/>
      <c r="U283" s="253"/>
      <c r="V283" s="253"/>
      <c r="W283" s="253"/>
      <c r="X283" s="253"/>
      <c r="Y283" s="253"/>
      <c r="Z283" s="253"/>
      <c r="AA283" s="253"/>
      <c r="AB283" s="253"/>
      <c r="AC283" s="253"/>
      <c r="AD283" s="253"/>
      <c r="AE283" s="253"/>
      <c r="AF283" s="253"/>
      <c r="AG283" s="253"/>
      <c r="AH283" s="253"/>
      <c r="AI283" s="253"/>
      <c r="AJ283" s="253"/>
      <c r="AK283" s="253"/>
      <c r="AL283" s="253"/>
      <c r="AM283" s="253"/>
      <c r="AN283" s="253"/>
      <c r="AO283" s="253"/>
      <c r="AP283" s="253"/>
      <c r="AQ283" s="253"/>
      <c r="AR283" s="253"/>
      <c r="AS283" s="253"/>
      <c r="AT283" s="253"/>
      <c r="AU283" s="253"/>
      <c r="AV283" s="253"/>
      <c r="AW283" s="253"/>
      <c r="AX283" s="253"/>
      <c r="AY283" s="253"/>
      <c r="AZ283" s="253"/>
      <c r="BA283" s="253"/>
      <c r="BB283" s="253"/>
      <c r="BC283" s="253"/>
      <c r="BD283" s="253"/>
      <c r="BE283" s="253"/>
      <c r="BF283" s="253"/>
      <c r="BG283" s="253"/>
      <c r="BH283" s="253"/>
      <c r="BI283" s="253"/>
      <c r="BJ283" s="253"/>
    </row>
    <row r="284" spans="1:62" ht="24" customHeight="1">
      <c r="A284" s="256" t="s">
        <v>1275</v>
      </c>
      <c r="B284" s="256" t="s">
        <v>1276</v>
      </c>
      <c r="C284" s="264">
        <v>38.4</v>
      </c>
      <c r="D284" s="254" t="s">
        <v>1033</v>
      </c>
      <c r="E284" s="258">
        <f>일위목록!E81</f>
        <v>0</v>
      </c>
      <c r="F284" s="258">
        <f>TRUNC(E284*C284,0)</f>
        <v>0</v>
      </c>
      <c r="G284" s="258">
        <f>일위목록!F81</f>
        <v>0</v>
      </c>
      <c r="H284" s="258"/>
      <c r="I284" s="258"/>
      <c r="J284" s="258"/>
      <c r="K284" s="258"/>
      <c r="L284" s="258"/>
      <c r="M284" s="256"/>
      <c r="N284" s="253" t="s">
        <v>68</v>
      </c>
      <c r="O284" s="253"/>
      <c r="P284" s="253" t="s">
        <v>1095</v>
      </c>
      <c r="Q284" s="253" t="s">
        <v>68</v>
      </c>
      <c r="R284" s="253" t="s">
        <v>1277</v>
      </c>
      <c r="S284" s="253"/>
      <c r="T284" s="253" t="s">
        <v>1129</v>
      </c>
      <c r="U284" s="253"/>
      <c r="V284" s="253"/>
      <c r="W284" s="253"/>
      <c r="X284" s="253"/>
      <c r="Y284" s="253"/>
      <c r="Z284" s="253"/>
      <c r="AA284" s="253"/>
      <c r="AB284" s="253"/>
      <c r="AC284" s="253"/>
      <c r="AD284" s="253"/>
      <c r="AE284" s="253"/>
      <c r="AF284" s="253"/>
      <c r="AG284" s="253"/>
      <c r="AH284" s="253"/>
      <c r="AI284" s="253"/>
      <c r="AJ284" s="253"/>
      <c r="AK284" s="253"/>
      <c r="AL284" s="253"/>
      <c r="AM284" s="253"/>
      <c r="AN284" s="253"/>
      <c r="AO284" s="253"/>
      <c r="AP284" s="253"/>
      <c r="AQ284" s="253"/>
      <c r="AR284" s="253"/>
      <c r="AS284" s="253"/>
      <c r="AT284" s="253"/>
      <c r="AU284" s="253"/>
      <c r="AV284" s="253"/>
      <c r="AW284" s="253"/>
      <c r="AX284" s="253"/>
      <c r="AY284" s="253"/>
      <c r="AZ284" s="253"/>
      <c r="BA284" s="253"/>
      <c r="BB284" s="253"/>
      <c r="BC284" s="253"/>
      <c r="BD284" s="253"/>
      <c r="BE284" s="253"/>
      <c r="BF284" s="253"/>
      <c r="BG284" s="253"/>
      <c r="BH284" s="253"/>
      <c r="BI284" s="253"/>
      <c r="BJ284" s="263" t="str">
        <f>HYPERLINK("#일위대가목록!A81","SE0039-4 →")</f>
        <v>SE0039-4 →</v>
      </c>
    </row>
    <row r="285" spans="1:62" ht="24" customHeight="1">
      <c r="A285" s="256" t="s">
        <v>1278</v>
      </c>
      <c r="B285" s="256" t="s">
        <v>1279</v>
      </c>
      <c r="C285" s="264">
        <v>2.5299999999999998</v>
      </c>
      <c r="D285" s="254" t="s">
        <v>15</v>
      </c>
      <c r="E285" s="258">
        <f>일위목록!E82</f>
        <v>0</v>
      </c>
      <c r="F285" s="258">
        <f>TRUNC(E285*C285,0)</f>
        <v>0</v>
      </c>
      <c r="G285" s="258">
        <f>일위목록!F82</f>
        <v>0</v>
      </c>
      <c r="H285" s="258"/>
      <c r="I285" s="258"/>
      <c r="J285" s="258"/>
      <c r="K285" s="258"/>
      <c r="L285" s="258"/>
      <c r="M285" s="256"/>
      <c r="N285" s="253" t="s">
        <v>68</v>
      </c>
      <c r="O285" s="253"/>
      <c r="P285" s="253" t="s">
        <v>1098</v>
      </c>
      <c r="Q285" s="253" t="s">
        <v>68</v>
      </c>
      <c r="R285" s="253" t="s">
        <v>1280</v>
      </c>
      <c r="S285" s="253"/>
      <c r="T285" s="253" t="s">
        <v>1129</v>
      </c>
      <c r="U285" s="253"/>
      <c r="V285" s="253"/>
      <c r="W285" s="253"/>
      <c r="X285" s="253"/>
      <c r="Y285" s="253"/>
      <c r="Z285" s="253"/>
      <c r="AA285" s="253"/>
      <c r="AB285" s="253"/>
      <c r="AC285" s="253"/>
      <c r="AD285" s="253"/>
      <c r="AE285" s="253"/>
      <c r="AF285" s="253"/>
      <c r="AG285" s="253"/>
      <c r="AH285" s="253"/>
      <c r="AI285" s="253"/>
      <c r="AJ285" s="253"/>
      <c r="AK285" s="253"/>
      <c r="AL285" s="253"/>
      <c r="AM285" s="253"/>
      <c r="AN285" s="253"/>
      <c r="AO285" s="253"/>
      <c r="AP285" s="253"/>
      <c r="AQ285" s="253"/>
      <c r="AR285" s="253"/>
      <c r="AS285" s="253"/>
      <c r="AT285" s="253"/>
      <c r="AU285" s="253"/>
      <c r="AV285" s="253"/>
      <c r="AW285" s="253"/>
      <c r="AX285" s="253"/>
      <c r="AY285" s="253"/>
      <c r="AZ285" s="253"/>
      <c r="BA285" s="253"/>
      <c r="BB285" s="253"/>
      <c r="BC285" s="253"/>
      <c r="BD285" s="253"/>
      <c r="BE285" s="253"/>
      <c r="BF285" s="253"/>
      <c r="BG285" s="253"/>
      <c r="BH285" s="253"/>
      <c r="BI285" s="253"/>
      <c r="BJ285" s="263" t="str">
        <f>HYPERLINK("#일위대가목록!A82","PP12-1-1-2 →")</f>
        <v>PP12-1-1-2 →</v>
      </c>
    </row>
    <row r="286" spans="1:62" ht="24" customHeight="1">
      <c r="A286" s="256" t="s">
        <v>700</v>
      </c>
      <c r="B286" s="256" t="s">
        <v>1523</v>
      </c>
      <c r="C286" s="257">
        <v>1</v>
      </c>
      <c r="D286" s="254" t="s">
        <v>378</v>
      </c>
      <c r="E286" s="258">
        <f>일위목록!E136</f>
        <v>0</v>
      </c>
      <c r="F286" s="258">
        <f>TRUNC(E286*C286,0)</f>
        <v>0</v>
      </c>
      <c r="G286" s="258">
        <f>일위목록!F136</f>
        <v>0</v>
      </c>
      <c r="H286" s="258"/>
      <c r="I286" s="258"/>
      <c r="J286" s="258"/>
      <c r="K286" s="258"/>
      <c r="L286" s="258"/>
      <c r="M286" s="256"/>
      <c r="N286" s="253" t="s">
        <v>68</v>
      </c>
      <c r="O286" s="253"/>
      <c r="P286" s="253" t="s">
        <v>1101</v>
      </c>
      <c r="Q286" s="253" t="s">
        <v>68</v>
      </c>
      <c r="R286" s="253" t="s">
        <v>1524</v>
      </c>
      <c r="S286" s="253"/>
      <c r="T286" s="253" t="s">
        <v>1129</v>
      </c>
      <c r="U286" s="253"/>
      <c r="V286" s="253"/>
      <c r="W286" s="253"/>
      <c r="X286" s="253"/>
      <c r="Y286" s="253"/>
      <c r="Z286" s="253"/>
      <c r="AA286" s="253"/>
      <c r="AB286" s="253"/>
      <c r="AC286" s="253"/>
      <c r="AD286" s="253"/>
      <c r="AE286" s="253"/>
      <c r="AF286" s="253"/>
      <c r="AG286" s="253"/>
      <c r="AH286" s="253"/>
      <c r="AI286" s="253"/>
      <c r="AJ286" s="253"/>
      <c r="AK286" s="253"/>
      <c r="AL286" s="253"/>
      <c r="AM286" s="253"/>
      <c r="AN286" s="253"/>
      <c r="AO286" s="253"/>
      <c r="AP286" s="253"/>
      <c r="AQ286" s="253"/>
      <c r="AR286" s="253"/>
      <c r="AS286" s="253"/>
      <c r="AT286" s="253"/>
      <c r="AU286" s="253"/>
      <c r="AV286" s="253"/>
      <c r="AW286" s="253"/>
      <c r="AX286" s="253"/>
      <c r="AY286" s="253"/>
      <c r="AZ286" s="253"/>
      <c r="BA286" s="253"/>
      <c r="BB286" s="253"/>
      <c r="BC286" s="253"/>
      <c r="BD286" s="253"/>
      <c r="BE286" s="253"/>
      <c r="BF286" s="253"/>
      <c r="BG286" s="253"/>
      <c r="BH286" s="253"/>
      <c r="BI286" s="253"/>
      <c r="BJ286" s="263" t="str">
        <f>HYPERLINK("#일위대가목록!A136","PP10-1-1/20 →")</f>
        <v>PP10-1-1/20 →</v>
      </c>
    </row>
    <row r="287" spans="1:62" ht="24" customHeight="1">
      <c r="A287" s="256" t="s">
        <v>1171</v>
      </c>
      <c r="B287" s="256" t="s">
        <v>1172</v>
      </c>
      <c r="C287" s="264">
        <v>0.21</v>
      </c>
      <c r="D287" s="254" t="s">
        <v>16</v>
      </c>
      <c r="E287" s="258">
        <f>일위목록!E29</f>
        <v>0</v>
      </c>
      <c r="F287" s="258">
        <f>TRUNC(E287*C287,0)</f>
        <v>0</v>
      </c>
      <c r="G287" s="258">
        <f>일위목록!F29</f>
        <v>0</v>
      </c>
      <c r="H287" s="258"/>
      <c r="I287" s="258"/>
      <c r="J287" s="258"/>
      <c r="K287" s="258"/>
      <c r="L287" s="258"/>
      <c r="M287" s="256"/>
      <c r="N287" s="253" t="s">
        <v>68</v>
      </c>
      <c r="O287" s="253"/>
      <c r="P287" s="253" t="s">
        <v>1104</v>
      </c>
      <c r="Q287" s="253" t="s">
        <v>68</v>
      </c>
      <c r="R287" s="253" t="s">
        <v>1174</v>
      </c>
      <c r="S287" s="253"/>
      <c r="T287" s="253" t="s">
        <v>1129</v>
      </c>
      <c r="U287" s="253"/>
      <c r="V287" s="253"/>
      <c r="W287" s="253"/>
      <c r="X287" s="253"/>
      <c r="Y287" s="253"/>
      <c r="Z287" s="253"/>
      <c r="AA287" s="253"/>
      <c r="AB287" s="253"/>
      <c r="AC287" s="253"/>
      <c r="AD287" s="253"/>
      <c r="AE287" s="253"/>
      <c r="AF287" s="253"/>
      <c r="AG287" s="253"/>
      <c r="AH287" s="253"/>
      <c r="AI287" s="253"/>
      <c r="AJ287" s="253"/>
      <c r="AK287" s="253"/>
      <c r="AL287" s="253"/>
      <c r="AM287" s="253"/>
      <c r="AN287" s="253"/>
      <c r="AO287" s="253"/>
      <c r="AP287" s="253"/>
      <c r="AQ287" s="253"/>
      <c r="AR287" s="253"/>
      <c r="AS287" s="253"/>
      <c r="AT287" s="253"/>
      <c r="AU287" s="253"/>
      <c r="AV287" s="253"/>
      <c r="AW287" s="253"/>
      <c r="AX287" s="253"/>
      <c r="AY287" s="253"/>
      <c r="AZ287" s="253"/>
      <c r="BA287" s="253"/>
      <c r="BB287" s="253"/>
      <c r="BC287" s="253"/>
      <c r="BD287" s="253"/>
      <c r="BE287" s="253"/>
      <c r="BF287" s="253"/>
      <c r="BG287" s="253"/>
      <c r="BH287" s="253"/>
      <c r="BI287" s="253"/>
      <c r="BJ287" s="263" t="str">
        <f>HYPERLINK("#일위대가목록!A29","ZZ64 →")</f>
        <v>ZZ64 →</v>
      </c>
    </row>
    <row r="288" spans="1:62" ht="24" customHeight="1">
      <c r="A288" s="256" t="s">
        <v>68</v>
      </c>
      <c r="B288" s="256" t="s">
        <v>68</v>
      </c>
      <c r="C288" s="264"/>
      <c r="D288" s="254" t="s">
        <v>68</v>
      </c>
      <c r="E288" s="254"/>
      <c r="F288" s="258">
        <v>0</v>
      </c>
      <c r="G288" s="254"/>
      <c r="H288" s="258"/>
      <c r="I288" s="254"/>
      <c r="J288" s="258"/>
      <c r="K288" s="258"/>
      <c r="L288" s="258"/>
      <c r="M288" s="256"/>
      <c r="N288" s="253" t="s">
        <v>68</v>
      </c>
      <c r="O288" s="253"/>
      <c r="P288" s="253" t="s">
        <v>1107</v>
      </c>
      <c r="Q288" s="253" t="s">
        <v>68</v>
      </c>
      <c r="R288" s="253" t="s">
        <v>68</v>
      </c>
      <c r="S288" s="253"/>
      <c r="T288" s="253"/>
      <c r="U288" s="253"/>
      <c r="V288" s="253"/>
      <c r="W288" s="253"/>
      <c r="X288" s="253"/>
      <c r="Y288" s="253"/>
      <c r="Z288" s="253"/>
      <c r="AA288" s="253"/>
      <c r="AB288" s="253"/>
      <c r="AC288" s="253"/>
      <c r="AD288" s="253"/>
      <c r="AE288" s="253"/>
      <c r="AF288" s="253"/>
      <c r="AG288" s="253"/>
      <c r="AH288" s="253"/>
      <c r="AI288" s="253"/>
      <c r="AJ288" s="253"/>
      <c r="AK288" s="253"/>
      <c r="AL288" s="253"/>
      <c r="AM288" s="253"/>
      <c r="AN288" s="253"/>
      <c r="AO288" s="253"/>
      <c r="AP288" s="253"/>
      <c r="AQ288" s="253"/>
      <c r="AR288" s="253"/>
      <c r="AS288" s="253"/>
      <c r="AT288" s="253"/>
      <c r="AU288" s="253"/>
      <c r="AV288" s="253"/>
      <c r="AW288" s="253"/>
      <c r="AX288" s="253"/>
      <c r="AY288" s="253"/>
      <c r="AZ288" s="253"/>
      <c r="BA288" s="253"/>
      <c r="BB288" s="253"/>
      <c r="BC288" s="253"/>
      <c r="BD288" s="253"/>
      <c r="BE288" s="253"/>
      <c r="BF288" s="253"/>
      <c r="BG288" s="253"/>
      <c r="BH288" s="253"/>
      <c r="BI288" s="253"/>
      <c r="BJ288" s="253"/>
    </row>
    <row r="289" spans="1:62" ht="24" customHeight="1">
      <c r="A289" s="273" t="s">
        <v>1253</v>
      </c>
      <c r="B289" s="273" t="s">
        <v>68</v>
      </c>
      <c r="C289" s="274">
        <v>1</v>
      </c>
      <c r="D289" s="275" t="s">
        <v>1094</v>
      </c>
      <c r="E289" s="275"/>
      <c r="F289" s="276">
        <f>TRUNC(F291+F292+F293+F294+F295+F296+F297+F298+F299+F300+F301+F302+F303+F306+F307+F308+F309+F310+F311+F312+F313+F314+F315+F316+F317+F320+F321,0)</f>
        <v>0</v>
      </c>
      <c r="G289" s="275"/>
      <c r="H289" s="276"/>
      <c r="I289" s="275"/>
      <c r="J289" s="276"/>
      <c r="K289" s="275"/>
      <c r="L289" s="276"/>
      <c r="M289" s="273"/>
      <c r="N289" s="253" t="s">
        <v>68</v>
      </c>
      <c r="O289" s="253" t="s">
        <v>1518</v>
      </c>
      <c r="P289" s="253"/>
      <c r="Q289" s="253"/>
      <c r="R289" s="253"/>
      <c r="S289" s="253"/>
      <c r="T289" s="253"/>
      <c r="U289" s="253"/>
      <c r="V289" s="253"/>
      <c r="W289" s="253"/>
      <c r="X289" s="253"/>
      <c r="Y289" s="253"/>
      <c r="Z289" s="253"/>
      <c r="AA289" s="253"/>
      <c r="AB289" s="253"/>
      <c r="AC289" s="253"/>
      <c r="AD289" s="253"/>
      <c r="AE289" s="253"/>
      <c r="AF289" s="253"/>
      <c r="AG289" s="253"/>
      <c r="AH289" s="253"/>
      <c r="AI289" s="253"/>
      <c r="AJ289" s="253"/>
      <c r="AK289" s="253"/>
      <c r="AL289" s="253"/>
      <c r="AM289" s="253"/>
      <c r="AN289" s="253"/>
      <c r="AO289" s="253"/>
      <c r="AP289" s="253"/>
      <c r="AQ289" s="253"/>
      <c r="AR289" s="253"/>
      <c r="AS289" s="253"/>
      <c r="AT289" s="253"/>
      <c r="AU289" s="253"/>
      <c r="AV289" s="253"/>
      <c r="AW289" s="253"/>
      <c r="AX289" s="253"/>
      <c r="AY289" s="253"/>
      <c r="AZ289" s="253"/>
      <c r="BA289" s="253"/>
      <c r="BB289" s="253"/>
      <c r="BC289" s="253"/>
      <c r="BD289" s="253"/>
      <c r="BE289" s="253"/>
      <c r="BF289" s="253"/>
      <c r="BG289" s="253"/>
      <c r="BH289" s="253"/>
      <c r="BI289" s="253"/>
      <c r="BJ289" s="253"/>
    </row>
    <row r="290" spans="1:62" ht="24" customHeight="1">
      <c r="A290" s="256" t="s">
        <v>1290</v>
      </c>
      <c r="B290" s="256" t="s">
        <v>68</v>
      </c>
      <c r="C290" s="264"/>
      <c r="D290" s="254" t="s">
        <v>68</v>
      </c>
      <c r="E290" s="254"/>
      <c r="F290" s="258">
        <v>0</v>
      </c>
      <c r="G290" s="254"/>
      <c r="H290" s="258"/>
      <c r="I290" s="254"/>
      <c r="J290" s="258"/>
      <c r="K290" s="258"/>
      <c r="L290" s="258"/>
      <c r="M290" s="256"/>
      <c r="N290" s="253" t="s">
        <v>68</v>
      </c>
      <c r="O290" s="253"/>
      <c r="P290" s="253" t="s">
        <v>1095</v>
      </c>
      <c r="Q290" s="253" t="s">
        <v>68</v>
      </c>
      <c r="R290" s="253" t="s">
        <v>68</v>
      </c>
      <c r="S290" s="253"/>
      <c r="T290" s="253"/>
      <c r="U290" s="253"/>
      <c r="V290" s="253"/>
      <c r="W290" s="253"/>
      <c r="X290" s="253"/>
      <c r="Y290" s="253"/>
      <c r="Z290" s="253"/>
      <c r="AA290" s="253"/>
      <c r="AB290" s="253"/>
      <c r="AC290" s="253"/>
      <c r="AD290" s="253"/>
      <c r="AE290" s="253"/>
      <c r="AF290" s="253"/>
      <c r="AG290" s="253"/>
      <c r="AH290" s="253"/>
      <c r="AI290" s="253"/>
      <c r="AJ290" s="253"/>
      <c r="AK290" s="253"/>
      <c r="AL290" s="253"/>
      <c r="AM290" s="253"/>
      <c r="AN290" s="253"/>
      <c r="AO290" s="253"/>
      <c r="AP290" s="253"/>
      <c r="AQ290" s="253"/>
      <c r="AR290" s="253"/>
      <c r="AS290" s="253"/>
      <c r="AT290" s="253"/>
      <c r="AU290" s="253"/>
      <c r="AV290" s="253"/>
      <c r="AW290" s="253"/>
      <c r="AX290" s="253"/>
      <c r="AY290" s="253"/>
      <c r="AZ290" s="253"/>
      <c r="BA290" s="253"/>
      <c r="BB290" s="253"/>
      <c r="BC290" s="253"/>
      <c r="BD290" s="253"/>
      <c r="BE290" s="253"/>
      <c r="BF290" s="253"/>
      <c r="BG290" s="253"/>
      <c r="BH290" s="253"/>
      <c r="BI290" s="253"/>
      <c r="BJ290" s="253"/>
    </row>
    <row r="291" spans="1:62" ht="24" customHeight="1">
      <c r="A291" s="256" t="s">
        <v>1291</v>
      </c>
      <c r="B291" s="256" t="s">
        <v>1292</v>
      </c>
      <c r="C291" s="264">
        <v>103.65</v>
      </c>
      <c r="D291" s="254" t="s">
        <v>9</v>
      </c>
      <c r="E291" s="258">
        <f>일위목록!E7</f>
        <v>0</v>
      </c>
      <c r="F291" s="258">
        <f t="shared" ref="F291:F303" si="16">TRUNC(E291*C291,0)</f>
        <v>0</v>
      </c>
      <c r="G291" s="258">
        <f>일위목록!F7</f>
        <v>0</v>
      </c>
      <c r="H291" s="258"/>
      <c r="I291" s="258"/>
      <c r="J291" s="258"/>
      <c r="K291" s="258"/>
      <c r="L291" s="258"/>
      <c r="M291" s="256"/>
      <c r="N291" s="253" t="s">
        <v>68</v>
      </c>
      <c r="O291" s="253"/>
      <c r="P291" s="253" t="s">
        <v>1098</v>
      </c>
      <c r="Q291" s="253" t="s">
        <v>68</v>
      </c>
      <c r="R291" s="253" t="s">
        <v>1293</v>
      </c>
      <c r="S291" s="253"/>
      <c r="T291" s="253" t="s">
        <v>1129</v>
      </c>
      <c r="U291" s="253"/>
      <c r="V291" s="253"/>
      <c r="W291" s="253"/>
      <c r="X291" s="253"/>
      <c r="Y291" s="253"/>
      <c r="Z291" s="253"/>
      <c r="AA291" s="253"/>
      <c r="AB291" s="253"/>
      <c r="AC291" s="253"/>
      <c r="AD291" s="253"/>
      <c r="AE291" s="253"/>
      <c r="AF291" s="253"/>
      <c r="AG291" s="253"/>
      <c r="AH291" s="253"/>
      <c r="AI291" s="253"/>
      <c r="AJ291" s="253"/>
      <c r="AK291" s="253"/>
      <c r="AL291" s="253"/>
      <c r="AM291" s="253"/>
      <c r="AN291" s="253"/>
      <c r="AO291" s="253"/>
      <c r="AP291" s="253"/>
      <c r="AQ291" s="253"/>
      <c r="AR291" s="253"/>
      <c r="AS291" s="253"/>
      <c r="AT291" s="253"/>
      <c r="AU291" s="253"/>
      <c r="AV291" s="253"/>
      <c r="AW291" s="253"/>
      <c r="AX291" s="253"/>
      <c r="AY291" s="253"/>
      <c r="AZ291" s="253"/>
      <c r="BA291" s="253"/>
      <c r="BB291" s="253"/>
      <c r="BC291" s="253"/>
      <c r="BD291" s="253"/>
      <c r="BE291" s="253"/>
      <c r="BF291" s="253"/>
      <c r="BG291" s="253"/>
      <c r="BH291" s="253"/>
      <c r="BI291" s="253"/>
      <c r="BJ291" s="263" t="str">
        <f>HYPERLINK("#일위대가목록!A7","P9-2-1/1 →")</f>
        <v>P9-2-1/1 →</v>
      </c>
    </row>
    <row r="292" spans="1:62" ht="24" customHeight="1">
      <c r="A292" s="256" t="s">
        <v>1294</v>
      </c>
      <c r="B292" s="256" t="s">
        <v>1295</v>
      </c>
      <c r="C292" s="264">
        <v>103.65</v>
      </c>
      <c r="D292" s="254" t="s">
        <v>9</v>
      </c>
      <c r="E292" s="258">
        <f>일위목록!E87</f>
        <v>0</v>
      </c>
      <c r="F292" s="258">
        <f t="shared" si="16"/>
        <v>0</v>
      </c>
      <c r="G292" s="258">
        <f>일위목록!F87</f>
        <v>0</v>
      </c>
      <c r="H292" s="258"/>
      <c r="I292" s="258"/>
      <c r="J292" s="258"/>
      <c r="K292" s="258"/>
      <c r="L292" s="258"/>
      <c r="M292" s="256"/>
      <c r="N292" s="253" t="s">
        <v>68</v>
      </c>
      <c r="O292" s="253"/>
      <c r="P292" s="253" t="s">
        <v>1101</v>
      </c>
      <c r="Q292" s="253" t="s">
        <v>68</v>
      </c>
      <c r="R292" s="253" t="s">
        <v>1296</v>
      </c>
      <c r="S292" s="253"/>
      <c r="T292" s="253" t="s">
        <v>1129</v>
      </c>
      <c r="U292" s="253"/>
      <c r="V292" s="253"/>
      <c r="W292" s="253"/>
      <c r="X292" s="253"/>
      <c r="Y292" s="253"/>
      <c r="Z292" s="253"/>
      <c r="AA292" s="253"/>
      <c r="AB292" s="253"/>
      <c r="AC292" s="253"/>
      <c r="AD292" s="253"/>
      <c r="AE292" s="253"/>
      <c r="AF292" s="253"/>
      <c r="AG292" s="253"/>
      <c r="AH292" s="253"/>
      <c r="AI292" s="253"/>
      <c r="AJ292" s="253"/>
      <c r="AK292" s="253"/>
      <c r="AL292" s="253"/>
      <c r="AM292" s="253"/>
      <c r="AN292" s="253"/>
      <c r="AO292" s="253"/>
      <c r="AP292" s="253"/>
      <c r="AQ292" s="253"/>
      <c r="AR292" s="253"/>
      <c r="AS292" s="253"/>
      <c r="AT292" s="253"/>
      <c r="AU292" s="253"/>
      <c r="AV292" s="253"/>
      <c r="AW292" s="253"/>
      <c r="AX292" s="253"/>
      <c r="AY292" s="253"/>
      <c r="AZ292" s="253"/>
      <c r="BA292" s="253"/>
      <c r="BB292" s="253"/>
      <c r="BC292" s="253"/>
      <c r="BD292" s="253"/>
      <c r="BE292" s="253"/>
      <c r="BF292" s="253"/>
      <c r="BG292" s="253"/>
      <c r="BH292" s="253"/>
      <c r="BI292" s="253"/>
      <c r="BJ292" s="263" t="str">
        <f>HYPERLINK("#일위대가목록!A87","PP12-3-1/1 →")</f>
        <v>PP12-3-1/1 →</v>
      </c>
    </row>
    <row r="293" spans="1:62" ht="24" customHeight="1">
      <c r="A293" s="256" t="s">
        <v>1297</v>
      </c>
      <c r="B293" s="256" t="s">
        <v>1298</v>
      </c>
      <c r="C293" s="264">
        <v>103.65</v>
      </c>
      <c r="D293" s="254" t="s">
        <v>9</v>
      </c>
      <c r="E293" s="258">
        <f>일위목록!E88</f>
        <v>0</v>
      </c>
      <c r="F293" s="258">
        <f t="shared" si="16"/>
        <v>0</v>
      </c>
      <c r="G293" s="258">
        <f>일위목록!F88</f>
        <v>0</v>
      </c>
      <c r="H293" s="258"/>
      <c r="I293" s="258"/>
      <c r="J293" s="258"/>
      <c r="K293" s="258"/>
      <c r="L293" s="258"/>
      <c r="M293" s="256"/>
      <c r="N293" s="253" t="s">
        <v>68</v>
      </c>
      <c r="O293" s="253"/>
      <c r="P293" s="253" t="s">
        <v>1104</v>
      </c>
      <c r="Q293" s="253" t="s">
        <v>68</v>
      </c>
      <c r="R293" s="253" t="s">
        <v>1299</v>
      </c>
      <c r="S293" s="253"/>
      <c r="T293" s="253" t="s">
        <v>1129</v>
      </c>
      <c r="U293" s="253"/>
      <c r="V293" s="253"/>
      <c r="W293" s="253"/>
      <c r="X293" s="253"/>
      <c r="Y293" s="253"/>
      <c r="Z293" s="253"/>
      <c r="AA293" s="253"/>
      <c r="AB293" s="253"/>
      <c r="AC293" s="253"/>
      <c r="AD293" s="253"/>
      <c r="AE293" s="253"/>
      <c r="AF293" s="253"/>
      <c r="AG293" s="253"/>
      <c r="AH293" s="253"/>
      <c r="AI293" s="253"/>
      <c r="AJ293" s="253"/>
      <c r="AK293" s="253"/>
      <c r="AL293" s="253"/>
      <c r="AM293" s="253"/>
      <c r="AN293" s="253"/>
      <c r="AO293" s="253"/>
      <c r="AP293" s="253"/>
      <c r="AQ293" s="253"/>
      <c r="AR293" s="253"/>
      <c r="AS293" s="253"/>
      <c r="AT293" s="253"/>
      <c r="AU293" s="253"/>
      <c r="AV293" s="253"/>
      <c r="AW293" s="253"/>
      <c r="AX293" s="253"/>
      <c r="AY293" s="253"/>
      <c r="AZ293" s="253"/>
      <c r="BA293" s="253"/>
      <c r="BB293" s="253"/>
      <c r="BC293" s="253"/>
      <c r="BD293" s="253"/>
      <c r="BE293" s="253"/>
      <c r="BF293" s="253"/>
      <c r="BG293" s="253"/>
      <c r="BH293" s="253"/>
      <c r="BI293" s="253"/>
      <c r="BJ293" s="263" t="str">
        <f>HYPERLINK("#일위대가목록!A88","PP11-3-1/1 →")</f>
        <v>PP11-3-1/1 →</v>
      </c>
    </row>
    <row r="294" spans="1:62" ht="24" customHeight="1">
      <c r="A294" s="256" t="s">
        <v>1525</v>
      </c>
      <c r="B294" s="256" t="s">
        <v>1526</v>
      </c>
      <c r="C294" s="257">
        <v>4</v>
      </c>
      <c r="D294" s="254" t="s">
        <v>437</v>
      </c>
      <c r="E294" s="258">
        <f>자재!D87</f>
        <v>0</v>
      </c>
      <c r="F294" s="258">
        <f t="shared" si="16"/>
        <v>0</v>
      </c>
      <c r="G294" s="258">
        <v>0</v>
      </c>
      <c r="H294" s="258"/>
      <c r="I294" s="258"/>
      <c r="J294" s="258"/>
      <c r="K294" s="258"/>
      <c r="L294" s="258"/>
      <c r="M294" s="256"/>
      <c r="N294" s="253" t="s">
        <v>68</v>
      </c>
      <c r="O294" s="253"/>
      <c r="P294" s="253" t="s">
        <v>1107</v>
      </c>
      <c r="Q294" s="253" t="s">
        <v>68</v>
      </c>
      <c r="R294" s="253" t="s">
        <v>1527</v>
      </c>
      <c r="S294" s="253"/>
      <c r="T294" s="253"/>
      <c r="U294" s="253"/>
      <c r="V294" s="253"/>
      <c r="W294" s="253"/>
      <c r="X294" s="253"/>
      <c r="Y294" s="253"/>
      <c r="Z294" s="253"/>
      <c r="AA294" s="253"/>
      <c r="AB294" s="253"/>
      <c r="AC294" s="253"/>
      <c r="AD294" s="253"/>
      <c r="AE294" s="253"/>
      <c r="AF294" s="253"/>
      <c r="AG294" s="253"/>
      <c r="AH294" s="253"/>
      <c r="AI294" s="253"/>
      <c r="AJ294" s="253"/>
      <c r="AK294" s="253"/>
      <c r="AL294" s="253"/>
      <c r="AM294" s="253"/>
      <c r="AN294" s="253"/>
      <c r="AO294" s="253"/>
      <c r="AP294" s="253"/>
      <c r="AQ294" s="253"/>
      <c r="AR294" s="253"/>
      <c r="AS294" s="253"/>
      <c r="AT294" s="253"/>
      <c r="AU294" s="253"/>
      <c r="AV294" s="253"/>
      <c r="AW294" s="253"/>
      <c r="AX294" s="253"/>
      <c r="AY294" s="253"/>
      <c r="AZ294" s="253"/>
      <c r="BA294" s="253"/>
      <c r="BB294" s="253"/>
      <c r="BC294" s="253"/>
      <c r="BD294" s="253"/>
      <c r="BE294" s="253"/>
      <c r="BF294" s="253"/>
      <c r="BG294" s="253"/>
      <c r="BH294" s="253"/>
      <c r="BI294" s="253"/>
      <c r="BJ294" s="263" t="str">
        <f>HYPERLINK("#자재!A87","MZZ9000025 →")</f>
        <v>MZZ9000025 →</v>
      </c>
    </row>
    <row r="295" spans="1:62" ht="24" customHeight="1">
      <c r="A295" s="256" t="s">
        <v>1528</v>
      </c>
      <c r="B295" s="256" t="s">
        <v>1529</v>
      </c>
      <c r="C295" s="257">
        <v>14</v>
      </c>
      <c r="D295" s="254" t="s">
        <v>9</v>
      </c>
      <c r="E295" s="258">
        <f>일위목록!E137</f>
        <v>0</v>
      </c>
      <c r="F295" s="258">
        <f t="shared" si="16"/>
        <v>0</v>
      </c>
      <c r="G295" s="258">
        <f>일위목록!F137</f>
        <v>0</v>
      </c>
      <c r="H295" s="258"/>
      <c r="I295" s="258"/>
      <c r="J295" s="258"/>
      <c r="K295" s="258"/>
      <c r="L295" s="258"/>
      <c r="M295" s="256"/>
      <c r="N295" s="253" t="s">
        <v>68</v>
      </c>
      <c r="O295" s="253"/>
      <c r="P295" s="253" t="s">
        <v>1108</v>
      </c>
      <c r="Q295" s="253" t="s">
        <v>68</v>
      </c>
      <c r="R295" s="253" t="s">
        <v>1530</v>
      </c>
      <c r="S295" s="253"/>
      <c r="T295" s="253" t="s">
        <v>1129</v>
      </c>
      <c r="U295" s="253"/>
      <c r="V295" s="253"/>
      <c r="W295" s="253"/>
      <c r="X295" s="253"/>
      <c r="Y295" s="253"/>
      <c r="Z295" s="253"/>
      <c r="AA295" s="253"/>
      <c r="AB295" s="253"/>
      <c r="AC295" s="253"/>
      <c r="AD295" s="253"/>
      <c r="AE295" s="253"/>
      <c r="AF295" s="253"/>
      <c r="AG295" s="253"/>
      <c r="AH295" s="253"/>
      <c r="AI295" s="253"/>
      <c r="AJ295" s="253"/>
      <c r="AK295" s="253"/>
      <c r="AL295" s="253"/>
      <c r="AM295" s="253"/>
      <c r="AN295" s="253"/>
      <c r="AO295" s="253"/>
      <c r="AP295" s="253"/>
      <c r="AQ295" s="253"/>
      <c r="AR295" s="253"/>
      <c r="AS295" s="253"/>
      <c r="AT295" s="253"/>
      <c r="AU295" s="253"/>
      <c r="AV295" s="253"/>
      <c r="AW295" s="253"/>
      <c r="AX295" s="253"/>
      <c r="AY295" s="253"/>
      <c r="AZ295" s="253"/>
      <c r="BA295" s="253"/>
      <c r="BB295" s="253"/>
      <c r="BC295" s="253"/>
      <c r="BD295" s="253"/>
      <c r="BE295" s="253"/>
      <c r="BF295" s="253"/>
      <c r="BG295" s="253"/>
      <c r="BH295" s="253"/>
      <c r="BI295" s="253"/>
      <c r="BJ295" s="263" t="str">
        <f>HYPERLINK("#일위대가목록!A137","P4-2-2/1 →")</f>
        <v>P4-2-2/1 →</v>
      </c>
    </row>
    <row r="296" spans="1:62" ht="24" customHeight="1">
      <c r="A296" s="256" t="s">
        <v>1360</v>
      </c>
      <c r="B296" s="256" t="s">
        <v>1531</v>
      </c>
      <c r="C296" s="257">
        <v>57</v>
      </c>
      <c r="D296" s="254" t="s">
        <v>9</v>
      </c>
      <c r="E296" s="258">
        <f>일위목록!E138</f>
        <v>0</v>
      </c>
      <c r="F296" s="258">
        <f t="shared" si="16"/>
        <v>0</v>
      </c>
      <c r="G296" s="258">
        <f>일위목록!F138</f>
        <v>0</v>
      </c>
      <c r="H296" s="258"/>
      <c r="I296" s="258"/>
      <c r="J296" s="258"/>
      <c r="K296" s="258"/>
      <c r="L296" s="258"/>
      <c r="M296" s="256"/>
      <c r="N296" s="253" t="s">
        <v>68</v>
      </c>
      <c r="O296" s="253"/>
      <c r="P296" s="253" t="s">
        <v>1109</v>
      </c>
      <c r="Q296" s="253" t="s">
        <v>68</v>
      </c>
      <c r="R296" s="253" t="s">
        <v>1532</v>
      </c>
      <c r="S296" s="253"/>
      <c r="T296" s="253" t="s">
        <v>1129</v>
      </c>
      <c r="U296" s="253"/>
      <c r="V296" s="253"/>
      <c r="W296" s="253"/>
      <c r="X296" s="253"/>
      <c r="Y296" s="253"/>
      <c r="Z296" s="253"/>
      <c r="AA296" s="253"/>
      <c r="AB296" s="253"/>
      <c r="AC296" s="253"/>
      <c r="AD296" s="253"/>
      <c r="AE296" s="253"/>
      <c r="AF296" s="253"/>
      <c r="AG296" s="253"/>
      <c r="AH296" s="253"/>
      <c r="AI296" s="253"/>
      <c r="AJ296" s="253"/>
      <c r="AK296" s="253"/>
      <c r="AL296" s="253"/>
      <c r="AM296" s="253"/>
      <c r="AN296" s="253"/>
      <c r="AO296" s="253"/>
      <c r="AP296" s="253"/>
      <c r="AQ296" s="253"/>
      <c r="AR296" s="253"/>
      <c r="AS296" s="253"/>
      <c r="AT296" s="253"/>
      <c r="AU296" s="253"/>
      <c r="AV296" s="253"/>
      <c r="AW296" s="253"/>
      <c r="AX296" s="253"/>
      <c r="AY296" s="253"/>
      <c r="AZ296" s="253"/>
      <c r="BA296" s="253"/>
      <c r="BB296" s="253"/>
      <c r="BC296" s="253"/>
      <c r="BD296" s="253"/>
      <c r="BE296" s="253"/>
      <c r="BF296" s="253"/>
      <c r="BG296" s="253"/>
      <c r="BH296" s="253"/>
      <c r="BI296" s="253"/>
      <c r="BJ296" s="263" t="str">
        <f>HYPERLINK("#일위대가목록!A138","P4-2-3/1 →")</f>
        <v>P4-2-3/1 →</v>
      </c>
    </row>
    <row r="297" spans="1:62" ht="24" customHeight="1">
      <c r="A297" s="256" t="s">
        <v>1533</v>
      </c>
      <c r="B297" s="256" t="s">
        <v>1534</v>
      </c>
      <c r="C297" s="257">
        <v>6</v>
      </c>
      <c r="D297" s="254" t="s">
        <v>1033</v>
      </c>
      <c r="E297" s="258">
        <f>자재!D89</f>
        <v>0</v>
      </c>
      <c r="F297" s="258">
        <f t="shared" si="16"/>
        <v>0</v>
      </c>
      <c r="G297" s="258">
        <v>0</v>
      </c>
      <c r="H297" s="258"/>
      <c r="I297" s="258"/>
      <c r="J297" s="258"/>
      <c r="K297" s="258"/>
      <c r="L297" s="258"/>
      <c r="M297" s="256"/>
      <c r="N297" s="253" t="s">
        <v>68</v>
      </c>
      <c r="O297" s="253"/>
      <c r="P297" s="253" t="s">
        <v>1110</v>
      </c>
      <c r="Q297" s="253" t="s">
        <v>68</v>
      </c>
      <c r="R297" s="253" t="s">
        <v>1535</v>
      </c>
      <c r="S297" s="253"/>
      <c r="T297" s="253"/>
      <c r="U297" s="253"/>
      <c r="V297" s="253"/>
      <c r="W297" s="253"/>
      <c r="X297" s="253"/>
      <c r="Y297" s="253"/>
      <c r="Z297" s="253"/>
      <c r="AA297" s="253"/>
      <c r="AB297" s="253"/>
      <c r="AC297" s="253"/>
      <c r="AD297" s="253"/>
      <c r="AE297" s="253"/>
      <c r="AF297" s="253"/>
      <c r="AG297" s="253"/>
      <c r="AH297" s="253"/>
      <c r="AI297" s="253"/>
      <c r="AJ297" s="253"/>
      <c r="AK297" s="253"/>
      <c r="AL297" s="253"/>
      <c r="AM297" s="253"/>
      <c r="AN297" s="253"/>
      <c r="AO297" s="253"/>
      <c r="AP297" s="253"/>
      <c r="AQ297" s="253"/>
      <c r="AR297" s="253"/>
      <c r="AS297" s="253"/>
      <c r="AT297" s="253"/>
      <c r="AU297" s="253"/>
      <c r="AV297" s="253"/>
      <c r="AW297" s="253"/>
      <c r="AX297" s="253"/>
      <c r="AY297" s="253"/>
      <c r="AZ297" s="253"/>
      <c r="BA297" s="253"/>
      <c r="BB297" s="253"/>
      <c r="BC297" s="253"/>
      <c r="BD297" s="253"/>
      <c r="BE297" s="253"/>
      <c r="BF297" s="253"/>
      <c r="BG297" s="253"/>
      <c r="BH297" s="253"/>
      <c r="BI297" s="253"/>
      <c r="BJ297" s="263" t="str">
        <f>HYPERLINK("#자재!A89","MZZ9000027 →")</f>
        <v>MZZ9000027 →</v>
      </c>
    </row>
    <row r="298" spans="1:62" ht="24" customHeight="1">
      <c r="A298" s="256" t="s">
        <v>1536</v>
      </c>
      <c r="B298" s="256" t="s">
        <v>1537</v>
      </c>
      <c r="C298" s="264">
        <v>14.4</v>
      </c>
      <c r="D298" s="254" t="s">
        <v>9</v>
      </c>
      <c r="E298" s="258">
        <f>일위목록!E139</f>
        <v>0</v>
      </c>
      <c r="F298" s="258">
        <f t="shared" si="16"/>
        <v>0</v>
      </c>
      <c r="G298" s="258">
        <f>일위목록!F139</f>
        <v>0</v>
      </c>
      <c r="H298" s="258"/>
      <c r="I298" s="258"/>
      <c r="J298" s="258"/>
      <c r="K298" s="258"/>
      <c r="L298" s="258"/>
      <c r="M298" s="256"/>
      <c r="N298" s="253" t="s">
        <v>68</v>
      </c>
      <c r="O298" s="253"/>
      <c r="P298" s="253" t="s">
        <v>1538</v>
      </c>
      <c r="Q298" s="253" t="s">
        <v>68</v>
      </c>
      <c r="R298" s="253" t="s">
        <v>1539</v>
      </c>
      <c r="S298" s="253"/>
      <c r="T298" s="253" t="s">
        <v>1129</v>
      </c>
      <c r="U298" s="253"/>
      <c r="V298" s="253"/>
      <c r="W298" s="253"/>
      <c r="X298" s="253"/>
      <c r="Y298" s="253"/>
      <c r="Z298" s="253"/>
      <c r="AA298" s="253"/>
      <c r="AB298" s="253"/>
      <c r="AC298" s="253"/>
      <c r="AD298" s="253"/>
      <c r="AE298" s="253"/>
      <c r="AF298" s="253"/>
      <c r="AG298" s="253"/>
      <c r="AH298" s="253"/>
      <c r="AI298" s="253"/>
      <c r="AJ298" s="253"/>
      <c r="AK298" s="253"/>
      <c r="AL298" s="253"/>
      <c r="AM298" s="253"/>
      <c r="AN298" s="253"/>
      <c r="AO298" s="253"/>
      <c r="AP298" s="253"/>
      <c r="AQ298" s="253"/>
      <c r="AR298" s="253"/>
      <c r="AS298" s="253"/>
      <c r="AT298" s="253"/>
      <c r="AU298" s="253"/>
      <c r="AV298" s="253"/>
      <c r="AW298" s="253"/>
      <c r="AX298" s="253"/>
      <c r="AY298" s="253"/>
      <c r="AZ298" s="253"/>
      <c r="BA298" s="253"/>
      <c r="BB298" s="253"/>
      <c r="BC298" s="253"/>
      <c r="BD298" s="253"/>
      <c r="BE298" s="253"/>
      <c r="BF298" s="253"/>
      <c r="BG298" s="253"/>
      <c r="BH298" s="253"/>
      <c r="BI298" s="253"/>
      <c r="BJ298" s="263" t="str">
        <f>HYPERLINK("#일위대가목록!A139","PP10-4-2/3 →")</f>
        <v>PP10-4-2/3 →</v>
      </c>
    </row>
    <row r="299" spans="1:62" ht="24" customHeight="1">
      <c r="A299" s="256" t="s">
        <v>1525</v>
      </c>
      <c r="B299" s="256" t="s">
        <v>1540</v>
      </c>
      <c r="C299" s="257">
        <v>1</v>
      </c>
      <c r="D299" s="254" t="s">
        <v>437</v>
      </c>
      <c r="E299" s="258">
        <f>자재!D88</f>
        <v>0</v>
      </c>
      <c r="F299" s="258">
        <f t="shared" si="16"/>
        <v>0</v>
      </c>
      <c r="G299" s="258">
        <v>0</v>
      </c>
      <c r="H299" s="258"/>
      <c r="I299" s="258"/>
      <c r="J299" s="258"/>
      <c r="K299" s="258"/>
      <c r="L299" s="258"/>
      <c r="M299" s="256"/>
      <c r="N299" s="253" t="s">
        <v>68</v>
      </c>
      <c r="O299" s="253"/>
      <c r="P299" s="253" t="s">
        <v>1111</v>
      </c>
      <c r="Q299" s="253" t="s">
        <v>68</v>
      </c>
      <c r="R299" s="253" t="s">
        <v>1541</v>
      </c>
      <c r="S299" s="253"/>
      <c r="T299" s="253"/>
      <c r="U299" s="253"/>
      <c r="V299" s="253"/>
      <c r="W299" s="253"/>
      <c r="X299" s="253"/>
      <c r="Y299" s="253"/>
      <c r="Z299" s="253"/>
      <c r="AA299" s="253"/>
      <c r="AB299" s="253"/>
      <c r="AC299" s="253"/>
      <c r="AD299" s="253"/>
      <c r="AE299" s="253"/>
      <c r="AF299" s="253"/>
      <c r="AG299" s="253"/>
      <c r="AH299" s="253"/>
      <c r="AI299" s="253"/>
      <c r="AJ299" s="253"/>
      <c r="AK299" s="253"/>
      <c r="AL299" s="253"/>
      <c r="AM299" s="253"/>
      <c r="AN299" s="253"/>
      <c r="AO299" s="253"/>
      <c r="AP299" s="253"/>
      <c r="AQ299" s="253"/>
      <c r="AR299" s="253"/>
      <c r="AS299" s="253"/>
      <c r="AT299" s="253"/>
      <c r="AU299" s="253"/>
      <c r="AV299" s="253"/>
      <c r="AW299" s="253"/>
      <c r="AX299" s="253"/>
      <c r="AY299" s="253"/>
      <c r="AZ299" s="253"/>
      <c r="BA299" s="253"/>
      <c r="BB299" s="253"/>
      <c r="BC299" s="253"/>
      <c r="BD299" s="253"/>
      <c r="BE299" s="253"/>
      <c r="BF299" s="253"/>
      <c r="BG299" s="253"/>
      <c r="BH299" s="253"/>
      <c r="BI299" s="253"/>
      <c r="BJ299" s="263" t="str">
        <f>HYPERLINK("#자재!A88","MZZ9000026 →")</f>
        <v>MZZ9000026 →</v>
      </c>
    </row>
    <row r="300" spans="1:62" ht="24" customHeight="1">
      <c r="A300" s="256" t="s">
        <v>1542</v>
      </c>
      <c r="B300" s="256" t="s">
        <v>1543</v>
      </c>
      <c r="C300" s="264">
        <v>19.54</v>
      </c>
      <c r="D300" s="254" t="s">
        <v>9</v>
      </c>
      <c r="E300" s="258">
        <f>일위목록!E140</f>
        <v>0</v>
      </c>
      <c r="F300" s="258">
        <f t="shared" si="16"/>
        <v>0</v>
      </c>
      <c r="G300" s="258">
        <f>일위목록!F140</f>
        <v>0</v>
      </c>
      <c r="H300" s="258"/>
      <c r="I300" s="258"/>
      <c r="J300" s="258"/>
      <c r="K300" s="258"/>
      <c r="L300" s="258"/>
      <c r="M300" s="256"/>
      <c r="N300" s="253" t="s">
        <v>68</v>
      </c>
      <c r="O300" s="253"/>
      <c r="P300" s="253" t="s">
        <v>1112</v>
      </c>
      <c r="Q300" s="253" t="s">
        <v>68</v>
      </c>
      <c r="R300" s="253" t="s">
        <v>1544</v>
      </c>
      <c r="S300" s="253"/>
      <c r="T300" s="253" t="s">
        <v>1129</v>
      </c>
      <c r="U300" s="253"/>
      <c r="V300" s="253"/>
      <c r="W300" s="253"/>
      <c r="X300" s="253"/>
      <c r="Y300" s="253"/>
      <c r="Z300" s="253"/>
      <c r="AA300" s="253"/>
      <c r="AB300" s="253"/>
      <c r="AC300" s="253"/>
      <c r="AD300" s="253"/>
      <c r="AE300" s="253"/>
      <c r="AF300" s="253"/>
      <c r="AG300" s="253"/>
      <c r="AH300" s="253"/>
      <c r="AI300" s="253"/>
      <c r="AJ300" s="253"/>
      <c r="AK300" s="253"/>
      <c r="AL300" s="253"/>
      <c r="AM300" s="253"/>
      <c r="AN300" s="253"/>
      <c r="AO300" s="253"/>
      <c r="AP300" s="253"/>
      <c r="AQ300" s="253"/>
      <c r="AR300" s="253"/>
      <c r="AS300" s="253"/>
      <c r="AT300" s="253"/>
      <c r="AU300" s="253"/>
      <c r="AV300" s="253"/>
      <c r="AW300" s="253"/>
      <c r="AX300" s="253"/>
      <c r="AY300" s="253"/>
      <c r="AZ300" s="253"/>
      <c r="BA300" s="253"/>
      <c r="BB300" s="253"/>
      <c r="BC300" s="253"/>
      <c r="BD300" s="253"/>
      <c r="BE300" s="253"/>
      <c r="BF300" s="253"/>
      <c r="BG300" s="253"/>
      <c r="BH300" s="253"/>
      <c r="BI300" s="253"/>
      <c r="BJ300" s="263" t="str">
        <f>HYPERLINK("#일위대가목록!A140","P3-1-1/13 →")</f>
        <v>P3-1-1/13 →</v>
      </c>
    </row>
    <row r="301" spans="1:62" ht="24" customHeight="1">
      <c r="A301" s="256" t="s">
        <v>1317</v>
      </c>
      <c r="B301" s="256" t="s">
        <v>1318</v>
      </c>
      <c r="C301" s="264">
        <v>11.3</v>
      </c>
      <c r="D301" s="254" t="s">
        <v>1033</v>
      </c>
      <c r="E301" s="258">
        <f>일위목록!E93</f>
        <v>0</v>
      </c>
      <c r="F301" s="258">
        <f t="shared" si="16"/>
        <v>0</v>
      </c>
      <c r="G301" s="258">
        <f>일위목록!F93</f>
        <v>0</v>
      </c>
      <c r="H301" s="258"/>
      <c r="I301" s="258"/>
      <c r="J301" s="258"/>
      <c r="K301" s="258"/>
      <c r="L301" s="258"/>
      <c r="M301" s="256"/>
      <c r="N301" s="253" t="s">
        <v>68</v>
      </c>
      <c r="O301" s="253"/>
      <c r="P301" s="253" t="s">
        <v>1113</v>
      </c>
      <c r="Q301" s="253" t="s">
        <v>68</v>
      </c>
      <c r="R301" s="253" t="s">
        <v>1319</v>
      </c>
      <c r="S301" s="253"/>
      <c r="T301" s="253" t="s">
        <v>1129</v>
      </c>
      <c r="U301" s="253"/>
      <c r="V301" s="253"/>
      <c r="W301" s="253"/>
      <c r="X301" s="253"/>
      <c r="Y301" s="253"/>
      <c r="Z301" s="253"/>
      <c r="AA301" s="253"/>
      <c r="AB301" s="253"/>
      <c r="AC301" s="253"/>
      <c r="AD301" s="253"/>
      <c r="AE301" s="253"/>
      <c r="AF301" s="253"/>
      <c r="AG301" s="253"/>
      <c r="AH301" s="253"/>
      <c r="AI301" s="253"/>
      <c r="AJ301" s="253"/>
      <c r="AK301" s="253"/>
      <c r="AL301" s="253"/>
      <c r="AM301" s="253"/>
      <c r="AN301" s="253"/>
      <c r="AO301" s="253"/>
      <c r="AP301" s="253"/>
      <c r="AQ301" s="253"/>
      <c r="AR301" s="253"/>
      <c r="AS301" s="253"/>
      <c r="AT301" s="253"/>
      <c r="AU301" s="253"/>
      <c r="AV301" s="253"/>
      <c r="AW301" s="253"/>
      <c r="AX301" s="253"/>
      <c r="AY301" s="253"/>
      <c r="AZ301" s="253"/>
      <c r="BA301" s="253"/>
      <c r="BB301" s="253"/>
      <c r="BC301" s="253"/>
      <c r="BD301" s="253"/>
      <c r="BE301" s="253"/>
      <c r="BF301" s="253"/>
      <c r="BG301" s="253"/>
      <c r="BH301" s="253"/>
      <c r="BI301" s="253"/>
      <c r="BJ301" s="263" t="str">
        <f>HYPERLINK("#일위대가목록!A93","P4-2-5/1 →")</f>
        <v>P4-2-5/1 →</v>
      </c>
    </row>
    <row r="302" spans="1:62" ht="24" customHeight="1">
      <c r="A302" s="256" t="s">
        <v>1323</v>
      </c>
      <c r="B302" s="256" t="s">
        <v>1545</v>
      </c>
      <c r="C302" s="257">
        <v>1</v>
      </c>
      <c r="D302" s="254" t="s">
        <v>437</v>
      </c>
      <c r="E302" s="258">
        <f>일위목록!E141</f>
        <v>0</v>
      </c>
      <c r="F302" s="258">
        <f t="shared" si="16"/>
        <v>0</v>
      </c>
      <c r="G302" s="258">
        <f>일위목록!F141</f>
        <v>0</v>
      </c>
      <c r="H302" s="258"/>
      <c r="I302" s="258"/>
      <c r="J302" s="258"/>
      <c r="K302" s="258"/>
      <c r="L302" s="258"/>
      <c r="M302" s="256"/>
      <c r="N302" s="253" t="s">
        <v>68</v>
      </c>
      <c r="O302" s="253"/>
      <c r="P302" s="253" t="s">
        <v>1114</v>
      </c>
      <c r="Q302" s="253" t="s">
        <v>68</v>
      </c>
      <c r="R302" s="253" t="s">
        <v>1546</v>
      </c>
      <c r="S302" s="253"/>
      <c r="T302" s="253" t="s">
        <v>1129</v>
      </c>
      <c r="U302" s="253"/>
      <c r="V302" s="253"/>
      <c r="W302" s="253"/>
      <c r="X302" s="253"/>
      <c r="Y302" s="253"/>
      <c r="Z302" s="253"/>
      <c r="AA302" s="253"/>
      <c r="AB302" s="253"/>
      <c r="AC302" s="253"/>
      <c r="AD302" s="253"/>
      <c r="AE302" s="253"/>
      <c r="AF302" s="253"/>
      <c r="AG302" s="253"/>
      <c r="AH302" s="253"/>
      <c r="AI302" s="253"/>
      <c r="AJ302" s="253"/>
      <c r="AK302" s="253"/>
      <c r="AL302" s="253"/>
      <c r="AM302" s="253"/>
      <c r="AN302" s="253"/>
      <c r="AO302" s="253"/>
      <c r="AP302" s="253"/>
      <c r="AQ302" s="253"/>
      <c r="AR302" s="253"/>
      <c r="AS302" s="253"/>
      <c r="AT302" s="253"/>
      <c r="AU302" s="253"/>
      <c r="AV302" s="253"/>
      <c r="AW302" s="253"/>
      <c r="AX302" s="253"/>
      <c r="AY302" s="253"/>
      <c r="AZ302" s="253"/>
      <c r="BA302" s="253"/>
      <c r="BB302" s="253"/>
      <c r="BC302" s="253"/>
      <c r="BD302" s="253"/>
      <c r="BE302" s="253"/>
      <c r="BF302" s="253"/>
      <c r="BG302" s="253"/>
      <c r="BH302" s="253"/>
      <c r="BI302" s="253"/>
      <c r="BJ302" s="263" t="str">
        <f>HYPERLINK("#일위대가목록!A141","_0065 →")</f>
        <v>_0065 →</v>
      </c>
    </row>
    <row r="303" spans="1:62" ht="24" customHeight="1">
      <c r="A303" s="256" t="s">
        <v>1547</v>
      </c>
      <c r="B303" s="256" t="s">
        <v>1548</v>
      </c>
      <c r="C303" s="257">
        <v>1</v>
      </c>
      <c r="D303" s="254" t="s">
        <v>437</v>
      </c>
      <c r="E303" s="258">
        <f>일위목록!E142</f>
        <v>0</v>
      </c>
      <c r="F303" s="258">
        <f t="shared" si="16"/>
        <v>0</v>
      </c>
      <c r="G303" s="258">
        <f>일위목록!F142</f>
        <v>0</v>
      </c>
      <c r="H303" s="258"/>
      <c r="I303" s="258"/>
      <c r="J303" s="258"/>
      <c r="K303" s="258"/>
      <c r="L303" s="258"/>
      <c r="M303" s="256"/>
      <c r="N303" s="253" t="s">
        <v>68</v>
      </c>
      <c r="O303" s="253"/>
      <c r="P303" s="253" t="s">
        <v>1115</v>
      </c>
      <c r="Q303" s="253" t="s">
        <v>68</v>
      </c>
      <c r="R303" s="253" t="s">
        <v>1549</v>
      </c>
      <c r="S303" s="253"/>
      <c r="T303" s="253" t="s">
        <v>1129</v>
      </c>
      <c r="U303" s="253"/>
      <c r="V303" s="253"/>
      <c r="W303" s="253"/>
      <c r="X303" s="253"/>
      <c r="Y303" s="253"/>
      <c r="Z303" s="253"/>
      <c r="AA303" s="253"/>
      <c r="AB303" s="253"/>
      <c r="AC303" s="253"/>
      <c r="AD303" s="253"/>
      <c r="AE303" s="253"/>
      <c r="AF303" s="253"/>
      <c r="AG303" s="253"/>
      <c r="AH303" s="253"/>
      <c r="AI303" s="253"/>
      <c r="AJ303" s="253"/>
      <c r="AK303" s="253"/>
      <c r="AL303" s="253"/>
      <c r="AM303" s="253"/>
      <c r="AN303" s="253"/>
      <c r="AO303" s="253"/>
      <c r="AP303" s="253"/>
      <c r="AQ303" s="253"/>
      <c r="AR303" s="253"/>
      <c r="AS303" s="253"/>
      <c r="AT303" s="253"/>
      <c r="AU303" s="253"/>
      <c r="AV303" s="253"/>
      <c r="AW303" s="253"/>
      <c r="AX303" s="253"/>
      <c r="AY303" s="253"/>
      <c r="AZ303" s="253"/>
      <c r="BA303" s="253"/>
      <c r="BB303" s="253"/>
      <c r="BC303" s="253"/>
      <c r="BD303" s="253"/>
      <c r="BE303" s="253"/>
      <c r="BF303" s="253"/>
      <c r="BG303" s="253"/>
      <c r="BH303" s="253"/>
      <c r="BI303" s="253"/>
      <c r="BJ303" s="263" t="str">
        <f>HYPERLINK("#일위대가목록!A142","_0066 →")</f>
        <v>_0066 →</v>
      </c>
    </row>
    <row r="304" spans="1:62" ht="24" customHeight="1">
      <c r="A304" s="256" t="s">
        <v>68</v>
      </c>
      <c r="B304" s="256" t="s">
        <v>68</v>
      </c>
      <c r="C304" s="264"/>
      <c r="D304" s="254" t="s">
        <v>68</v>
      </c>
      <c r="E304" s="254"/>
      <c r="F304" s="258">
        <v>0</v>
      </c>
      <c r="G304" s="254"/>
      <c r="H304" s="258"/>
      <c r="I304" s="254"/>
      <c r="J304" s="258"/>
      <c r="K304" s="258"/>
      <c r="L304" s="258"/>
      <c r="M304" s="256"/>
      <c r="N304" s="253" t="s">
        <v>68</v>
      </c>
      <c r="O304" s="253"/>
      <c r="P304" s="253" t="s">
        <v>1116</v>
      </c>
      <c r="Q304" s="253" t="s">
        <v>68</v>
      </c>
      <c r="R304" s="253" t="s">
        <v>68</v>
      </c>
      <c r="S304" s="253"/>
      <c r="T304" s="253"/>
      <c r="U304" s="253"/>
      <c r="V304" s="253"/>
      <c r="W304" s="253"/>
      <c r="X304" s="253"/>
      <c r="Y304" s="253"/>
      <c r="Z304" s="253"/>
      <c r="AA304" s="253"/>
      <c r="AB304" s="253"/>
      <c r="AC304" s="253"/>
      <c r="AD304" s="253"/>
      <c r="AE304" s="253"/>
      <c r="AF304" s="253"/>
      <c r="AG304" s="253"/>
      <c r="AH304" s="253"/>
      <c r="AI304" s="253"/>
      <c r="AJ304" s="253"/>
      <c r="AK304" s="253"/>
      <c r="AL304" s="253"/>
      <c r="AM304" s="253"/>
      <c r="AN304" s="253"/>
      <c r="AO304" s="253"/>
      <c r="AP304" s="253"/>
      <c r="AQ304" s="253"/>
      <c r="AR304" s="253"/>
      <c r="AS304" s="253"/>
      <c r="AT304" s="253"/>
      <c r="AU304" s="253"/>
      <c r="AV304" s="253"/>
      <c r="AW304" s="253"/>
      <c r="AX304" s="253"/>
      <c r="AY304" s="253"/>
      <c r="AZ304" s="253"/>
      <c r="BA304" s="253"/>
      <c r="BB304" s="253"/>
      <c r="BC304" s="253"/>
      <c r="BD304" s="253"/>
      <c r="BE304" s="253"/>
      <c r="BF304" s="253"/>
      <c r="BG304" s="253"/>
      <c r="BH304" s="253"/>
      <c r="BI304" s="253"/>
      <c r="BJ304" s="253"/>
    </row>
    <row r="305" spans="1:62" ht="24" customHeight="1">
      <c r="A305" s="256" t="s">
        <v>1344</v>
      </c>
      <c r="B305" s="256" t="s">
        <v>68</v>
      </c>
      <c r="C305" s="264"/>
      <c r="D305" s="254" t="s">
        <v>68</v>
      </c>
      <c r="E305" s="254"/>
      <c r="F305" s="258">
        <v>0</v>
      </c>
      <c r="G305" s="254"/>
      <c r="H305" s="258"/>
      <c r="I305" s="254"/>
      <c r="J305" s="258"/>
      <c r="K305" s="258"/>
      <c r="L305" s="258"/>
      <c r="M305" s="256"/>
      <c r="N305" s="253" t="s">
        <v>68</v>
      </c>
      <c r="O305" s="253"/>
      <c r="P305" s="253" t="s">
        <v>1120</v>
      </c>
      <c r="Q305" s="253" t="s">
        <v>68</v>
      </c>
      <c r="R305" s="253" t="s">
        <v>68</v>
      </c>
      <c r="S305" s="253"/>
      <c r="T305" s="253"/>
      <c r="U305" s="253"/>
      <c r="V305" s="253"/>
      <c r="W305" s="253"/>
      <c r="X305" s="253"/>
      <c r="Y305" s="253"/>
      <c r="Z305" s="253"/>
      <c r="AA305" s="253"/>
      <c r="AB305" s="253"/>
      <c r="AC305" s="253"/>
      <c r="AD305" s="253"/>
      <c r="AE305" s="253"/>
      <c r="AF305" s="253"/>
      <c r="AG305" s="253"/>
      <c r="AH305" s="253"/>
      <c r="AI305" s="253"/>
      <c r="AJ305" s="253"/>
      <c r="AK305" s="253"/>
      <c r="AL305" s="253"/>
      <c r="AM305" s="253"/>
      <c r="AN305" s="253"/>
      <c r="AO305" s="253"/>
      <c r="AP305" s="253"/>
      <c r="AQ305" s="253"/>
      <c r="AR305" s="253"/>
      <c r="AS305" s="253"/>
      <c r="AT305" s="253"/>
      <c r="AU305" s="253"/>
      <c r="AV305" s="253"/>
      <c r="AW305" s="253"/>
      <c r="AX305" s="253"/>
      <c r="AY305" s="253"/>
      <c r="AZ305" s="253"/>
      <c r="BA305" s="253"/>
      <c r="BB305" s="253"/>
      <c r="BC305" s="253"/>
      <c r="BD305" s="253"/>
      <c r="BE305" s="253"/>
      <c r="BF305" s="253"/>
      <c r="BG305" s="253"/>
      <c r="BH305" s="253"/>
      <c r="BI305" s="253"/>
      <c r="BJ305" s="253"/>
    </row>
    <row r="306" spans="1:62" ht="24" customHeight="1">
      <c r="A306" s="256" t="s">
        <v>1346</v>
      </c>
      <c r="B306" s="256" t="s">
        <v>1295</v>
      </c>
      <c r="C306" s="264">
        <v>50.04</v>
      </c>
      <c r="D306" s="254" t="s">
        <v>9</v>
      </c>
      <c r="E306" s="258">
        <f>일위목록!E103</f>
        <v>0</v>
      </c>
      <c r="F306" s="258">
        <f t="shared" ref="F306:F317" si="17">TRUNC(E306*C306,0)</f>
        <v>0</v>
      </c>
      <c r="G306" s="258">
        <f>일위목록!F103</f>
        <v>0</v>
      </c>
      <c r="H306" s="258"/>
      <c r="I306" s="258"/>
      <c r="J306" s="258"/>
      <c r="K306" s="258"/>
      <c r="L306" s="258"/>
      <c r="M306" s="256"/>
      <c r="N306" s="253" t="s">
        <v>68</v>
      </c>
      <c r="O306" s="253"/>
      <c r="P306" s="253" t="s">
        <v>1173</v>
      </c>
      <c r="Q306" s="253" t="s">
        <v>68</v>
      </c>
      <c r="R306" s="253" t="s">
        <v>1348</v>
      </c>
      <c r="S306" s="253"/>
      <c r="T306" s="253" t="s">
        <v>1129</v>
      </c>
      <c r="U306" s="253"/>
      <c r="V306" s="253"/>
      <c r="W306" s="253"/>
      <c r="X306" s="253"/>
      <c r="Y306" s="253"/>
      <c r="Z306" s="253"/>
      <c r="AA306" s="253"/>
      <c r="AB306" s="253"/>
      <c r="AC306" s="253"/>
      <c r="AD306" s="253"/>
      <c r="AE306" s="253"/>
      <c r="AF306" s="253"/>
      <c r="AG306" s="253"/>
      <c r="AH306" s="253"/>
      <c r="AI306" s="253"/>
      <c r="AJ306" s="253"/>
      <c r="AK306" s="253"/>
      <c r="AL306" s="253"/>
      <c r="AM306" s="253"/>
      <c r="AN306" s="253"/>
      <c r="AO306" s="253"/>
      <c r="AP306" s="253"/>
      <c r="AQ306" s="253"/>
      <c r="AR306" s="253"/>
      <c r="AS306" s="253"/>
      <c r="AT306" s="253"/>
      <c r="AU306" s="253"/>
      <c r="AV306" s="253"/>
      <c r="AW306" s="253"/>
      <c r="AX306" s="253"/>
      <c r="AY306" s="253"/>
      <c r="AZ306" s="253"/>
      <c r="BA306" s="253"/>
      <c r="BB306" s="253"/>
      <c r="BC306" s="253"/>
      <c r="BD306" s="253"/>
      <c r="BE306" s="253"/>
      <c r="BF306" s="253"/>
      <c r="BG306" s="253"/>
      <c r="BH306" s="253"/>
      <c r="BI306" s="253"/>
      <c r="BJ306" s="263" t="str">
        <f>HYPERLINK("#일위대가목록!A103","PP12-3-1/2 →")</f>
        <v>PP12-3-1/2 →</v>
      </c>
    </row>
    <row r="307" spans="1:62" ht="24" customHeight="1">
      <c r="A307" s="256" t="s">
        <v>1300</v>
      </c>
      <c r="B307" s="256" t="s">
        <v>1349</v>
      </c>
      <c r="C307" s="264">
        <v>50.04</v>
      </c>
      <c r="D307" s="254" t="s">
        <v>9</v>
      </c>
      <c r="E307" s="258">
        <f>일위목록!E104</f>
        <v>0</v>
      </c>
      <c r="F307" s="258">
        <f t="shared" si="17"/>
        <v>0</v>
      </c>
      <c r="G307" s="258">
        <f>일위목록!F104</f>
        <v>0</v>
      </c>
      <c r="H307" s="258"/>
      <c r="I307" s="258"/>
      <c r="J307" s="258"/>
      <c r="K307" s="258"/>
      <c r="L307" s="258"/>
      <c r="M307" s="256"/>
      <c r="N307" s="253" t="s">
        <v>68</v>
      </c>
      <c r="O307" s="253"/>
      <c r="P307" s="253" t="s">
        <v>1175</v>
      </c>
      <c r="Q307" s="253" t="s">
        <v>68</v>
      </c>
      <c r="R307" s="253" t="s">
        <v>1351</v>
      </c>
      <c r="S307" s="253"/>
      <c r="T307" s="253" t="s">
        <v>1129</v>
      </c>
      <c r="U307" s="253"/>
      <c r="V307" s="253"/>
      <c r="W307" s="253"/>
      <c r="X307" s="253"/>
      <c r="Y307" s="253"/>
      <c r="Z307" s="253"/>
      <c r="AA307" s="253"/>
      <c r="AB307" s="253"/>
      <c r="AC307" s="253"/>
      <c r="AD307" s="253"/>
      <c r="AE307" s="253"/>
      <c r="AF307" s="253"/>
      <c r="AG307" s="253"/>
      <c r="AH307" s="253"/>
      <c r="AI307" s="253"/>
      <c r="AJ307" s="253"/>
      <c r="AK307" s="253"/>
      <c r="AL307" s="253"/>
      <c r="AM307" s="253"/>
      <c r="AN307" s="253"/>
      <c r="AO307" s="253"/>
      <c r="AP307" s="253"/>
      <c r="AQ307" s="253"/>
      <c r="AR307" s="253"/>
      <c r="AS307" s="253"/>
      <c r="AT307" s="253"/>
      <c r="AU307" s="253"/>
      <c r="AV307" s="253"/>
      <c r="AW307" s="253"/>
      <c r="AX307" s="253"/>
      <c r="AY307" s="253"/>
      <c r="AZ307" s="253"/>
      <c r="BA307" s="253"/>
      <c r="BB307" s="253"/>
      <c r="BC307" s="253"/>
      <c r="BD307" s="253"/>
      <c r="BE307" s="253"/>
      <c r="BF307" s="253"/>
      <c r="BG307" s="253"/>
      <c r="BH307" s="253"/>
      <c r="BI307" s="253"/>
      <c r="BJ307" s="263" t="str">
        <f>HYPERLINK("#일위대가목록!A104","PP11-2-2/2 →")</f>
        <v>PP11-2-2/2 →</v>
      </c>
    </row>
    <row r="308" spans="1:62" ht="24" customHeight="1">
      <c r="A308" s="256" t="s">
        <v>1352</v>
      </c>
      <c r="B308" s="256" t="s">
        <v>1353</v>
      </c>
      <c r="C308" s="264">
        <v>67.959999999999994</v>
      </c>
      <c r="D308" s="254" t="s">
        <v>9</v>
      </c>
      <c r="E308" s="258">
        <f>일위목록!E105</f>
        <v>0</v>
      </c>
      <c r="F308" s="258">
        <f t="shared" si="17"/>
        <v>0</v>
      </c>
      <c r="G308" s="258">
        <f>일위목록!F105</f>
        <v>0</v>
      </c>
      <c r="H308" s="258"/>
      <c r="I308" s="258"/>
      <c r="J308" s="258"/>
      <c r="K308" s="258"/>
      <c r="L308" s="258"/>
      <c r="M308" s="256"/>
      <c r="N308" s="253" t="s">
        <v>68</v>
      </c>
      <c r="O308" s="253"/>
      <c r="P308" s="253" t="s">
        <v>1231</v>
      </c>
      <c r="Q308" s="253" t="s">
        <v>68</v>
      </c>
      <c r="R308" s="253" t="s">
        <v>1355</v>
      </c>
      <c r="S308" s="253"/>
      <c r="T308" s="253" t="s">
        <v>1129</v>
      </c>
      <c r="U308" s="253"/>
      <c r="V308" s="253"/>
      <c r="W308" s="253"/>
      <c r="X308" s="253"/>
      <c r="Y308" s="253"/>
      <c r="Z308" s="253"/>
      <c r="AA308" s="253"/>
      <c r="AB308" s="253"/>
      <c r="AC308" s="253"/>
      <c r="AD308" s="253"/>
      <c r="AE308" s="253"/>
      <c r="AF308" s="253"/>
      <c r="AG308" s="253"/>
      <c r="AH308" s="253"/>
      <c r="AI308" s="253"/>
      <c r="AJ308" s="253"/>
      <c r="AK308" s="253"/>
      <c r="AL308" s="253"/>
      <c r="AM308" s="253"/>
      <c r="AN308" s="253"/>
      <c r="AO308" s="253"/>
      <c r="AP308" s="253"/>
      <c r="AQ308" s="253"/>
      <c r="AR308" s="253"/>
      <c r="AS308" s="253"/>
      <c r="AT308" s="253"/>
      <c r="AU308" s="253"/>
      <c r="AV308" s="253"/>
      <c r="AW308" s="253"/>
      <c r="AX308" s="253"/>
      <c r="AY308" s="253"/>
      <c r="AZ308" s="253"/>
      <c r="BA308" s="253"/>
      <c r="BB308" s="253"/>
      <c r="BC308" s="253"/>
      <c r="BD308" s="253"/>
      <c r="BE308" s="253"/>
      <c r="BF308" s="253"/>
      <c r="BG308" s="253"/>
      <c r="BH308" s="253"/>
      <c r="BI308" s="253"/>
      <c r="BJ308" s="263" t="str">
        <f>HYPERLINK("#일위대가목록!A105","P8-2-4/51 →")</f>
        <v>P8-2-4/51 →</v>
      </c>
    </row>
    <row r="309" spans="1:62" ht="24" customHeight="1">
      <c r="A309" s="256" t="s">
        <v>1356</v>
      </c>
      <c r="B309" s="256" t="s">
        <v>1357</v>
      </c>
      <c r="C309" s="264">
        <v>67.959999999999994</v>
      </c>
      <c r="D309" s="254" t="s">
        <v>9</v>
      </c>
      <c r="E309" s="258">
        <f>일위목록!E106</f>
        <v>0</v>
      </c>
      <c r="F309" s="258">
        <f t="shared" si="17"/>
        <v>0</v>
      </c>
      <c r="G309" s="258">
        <f>일위목록!F106</f>
        <v>0</v>
      </c>
      <c r="H309" s="258"/>
      <c r="I309" s="258"/>
      <c r="J309" s="258"/>
      <c r="K309" s="258"/>
      <c r="L309" s="258"/>
      <c r="M309" s="256"/>
      <c r="N309" s="253" t="s">
        <v>68</v>
      </c>
      <c r="O309" s="253"/>
      <c r="P309" s="253" t="s">
        <v>1233</v>
      </c>
      <c r="Q309" s="253" t="s">
        <v>68</v>
      </c>
      <c r="R309" s="253" t="s">
        <v>1359</v>
      </c>
      <c r="S309" s="253"/>
      <c r="T309" s="253" t="s">
        <v>1129</v>
      </c>
      <c r="U309" s="253"/>
      <c r="V309" s="253"/>
      <c r="W309" s="253"/>
      <c r="X309" s="253"/>
      <c r="Y309" s="253"/>
      <c r="Z309" s="253"/>
      <c r="AA309" s="253"/>
      <c r="AB309" s="253"/>
      <c r="AC309" s="253"/>
      <c r="AD309" s="253"/>
      <c r="AE309" s="253"/>
      <c r="AF309" s="253"/>
      <c r="AG309" s="253"/>
      <c r="AH309" s="253"/>
      <c r="AI309" s="253"/>
      <c r="AJ309" s="253"/>
      <c r="AK309" s="253"/>
      <c r="AL309" s="253"/>
      <c r="AM309" s="253"/>
      <c r="AN309" s="253"/>
      <c r="AO309" s="253"/>
      <c r="AP309" s="253"/>
      <c r="AQ309" s="253"/>
      <c r="AR309" s="253"/>
      <c r="AS309" s="253"/>
      <c r="AT309" s="253"/>
      <c r="AU309" s="253"/>
      <c r="AV309" s="253"/>
      <c r="AW309" s="253"/>
      <c r="AX309" s="253"/>
      <c r="AY309" s="253"/>
      <c r="AZ309" s="253"/>
      <c r="BA309" s="253"/>
      <c r="BB309" s="253"/>
      <c r="BC309" s="253"/>
      <c r="BD309" s="253"/>
      <c r="BE309" s="253"/>
      <c r="BF309" s="253"/>
      <c r="BG309" s="253"/>
      <c r="BH309" s="253"/>
      <c r="BI309" s="253"/>
      <c r="BJ309" s="263" t="str">
        <f>HYPERLINK("#일위대가목록!A106","P5-2-3/2 →")</f>
        <v>P5-2-3/2 →</v>
      </c>
    </row>
    <row r="310" spans="1:62" ht="24" customHeight="1">
      <c r="A310" s="256" t="s">
        <v>1360</v>
      </c>
      <c r="B310" s="256" t="s">
        <v>1361</v>
      </c>
      <c r="C310" s="264">
        <v>67.959999999999994</v>
      </c>
      <c r="D310" s="254" t="s">
        <v>9</v>
      </c>
      <c r="E310" s="258">
        <f>일위목록!E107</f>
        <v>0</v>
      </c>
      <c r="F310" s="258">
        <f t="shared" si="17"/>
        <v>0</v>
      </c>
      <c r="G310" s="258">
        <f>일위목록!F107</f>
        <v>0</v>
      </c>
      <c r="H310" s="258"/>
      <c r="I310" s="258"/>
      <c r="J310" s="258"/>
      <c r="K310" s="258"/>
      <c r="L310" s="258"/>
      <c r="M310" s="256"/>
      <c r="N310" s="253" t="s">
        <v>68</v>
      </c>
      <c r="O310" s="253"/>
      <c r="P310" s="253" t="s">
        <v>1341</v>
      </c>
      <c r="Q310" s="253" t="s">
        <v>68</v>
      </c>
      <c r="R310" s="253" t="s">
        <v>1363</v>
      </c>
      <c r="S310" s="253"/>
      <c r="T310" s="253" t="s">
        <v>1129</v>
      </c>
      <c r="U310" s="253"/>
      <c r="V310" s="253"/>
      <c r="W310" s="253"/>
      <c r="X310" s="253"/>
      <c r="Y310" s="253"/>
      <c r="Z310" s="253"/>
      <c r="AA310" s="253"/>
      <c r="AB310" s="253"/>
      <c r="AC310" s="253"/>
      <c r="AD310" s="253"/>
      <c r="AE310" s="253"/>
      <c r="AF310" s="253"/>
      <c r="AG310" s="253"/>
      <c r="AH310" s="253"/>
      <c r="AI310" s="253"/>
      <c r="AJ310" s="253"/>
      <c r="AK310" s="253"/>
      <c r="AL310" s="253"/>
      <c r="AM310" s="253"/>
      <c r="AN310" s="253"/>
      <c r="AO310" s="253"/>
      <c r="AP310" s="253"/>
      <c r="AQ310" s="253"/>
      <c r="AR310" s="253"/>
      <c r="AS310" s="253"/>
      <c r="AT310" s="253"/>
      <c r="AU310" s="253"/>
      <c r="AV310" s="253"/>
      <c r="AW310" s="253"/>
      <c r="AX310" s="253"/>
      <c r="AY310" s="253"/>
      <c r="AZ310" s="253"/>
      <c r="BA310" s="253"/>
      <c r="BB310" s="253"/>
      <c r="BC310" s="253"/>
      <c r="BD310" s="253"/>
      <c r="BE310" s="253"/>
      <c r="BF310" s="253"/>
      <c r="BG310" s="253"/>
      <c r="BH310" s="253"/>
      <c r="BI310" s="253"/>
      <c r="BJ310" s="263" t="str">
        <f>HYPERLINK("#일위대가목록!A107","P4-2-3/0 →")</f>
        <v>P4-2-3/0 →</v>
      </c>
    </row>
    <row r="311" spans="1:62" ht="24" customHeight="1">
      <c r="A311" s="256" t="s">
        <v>1306</v>
      </c>
      <c r="B311" s="256" t="s">
        <v>1364</v>
      </c>
      <c r="C311" s="264">
        <v>67.959999999999994</v>
      </c>
      <c r="D311" s="254" t="s">
        <v>9</v>
      </c>
      <c r="E311" s="258">
        <f>일위목록!E108</f>
        <v>0</v>
      </c>
      <c r="F311" s="258">
        <f t="shared" si="17"/>
        <v>0</v>
      </c>
      <c r="G311" s="258">
        <f>일위목록!F108</f>
        <v>0</v>
      </c>
      <c r="H311" s="258"/>
      <c r="I311" s="258"/>
      <c r="J311" s="258"/>
      <c r="K311" s="258"/>
      <c r="L311" s="258"/>
      <c r="M311" s="256"/>
      <c r="N311" s="253" t="s">
        <v>68</v>
      </c>
      <c r="O311" s="253"/>
      <c r="P311" s="253" t="s">
        <v>1343</v>
      </c>
      <c r="Q311" s="253" t="s">
        <v>68</v>
      </c>
      <c r="R311" s="253" t="s">
        <v>1366</v>
      </c>
      <c r="S311" s="253"/>
      <c r="T311" s="253" t="s">
        <v>1129</v>
      </c>
      <c r="U311" s="253"/>
      <c r="V311" s="253"/>
      <c r="W311" s="253"/>
      <c r="X311" s="253"/>
      <c r="Y311" s="253"/>
      <c r="Z311" s="253"/>
      <c r="AA311" s="253"/>
      <c r="AB311" s="253"/>
      <c r="AC311" s="253"/>
      <c r="AD311" s="253"/>
      <c r="AE311" s="253"/>
      <c r="AF311" s="253"/>
      <c r="AG311" s="253"/>
      <c r="AH311" s="253"/>
      <c r="AI311" s="253"/>
      <c r="AJ311" s="253"/>
      <c r="AK311" s="253"/>
      <c r="AL311" s="253"/>
      <c r="AM311" s="253"/>
      <c r="AN311" s="253"/>
      <c r="AO311" s="253"/>
      <c r="AP311" s="253"/>
      <c r="AQ311" s="253"/>
      <c r="AR311" s="253"/>
      <c r="AS311" s="253"/>
      <c r="AT311" s="253"/>
      <c r="AU311" s="253"/>
      <c r="AV311" s="253"/>
      <c r="AW311" s="253"/>
      <c r="AX311" s="253"/>
      <c r="AY311" s="253"/>
      <c r="AZ311" s="253"/>
      <c r="BA311" s="253"/>
      <c r="BB311" s="253"/>
      <c r="BC311" s="253"/>
      <c r="BD311" s="253"/>
      <c r="BE311" s="253"/>
      <c r="BF311" s="253"/>
      <c r="BG311" s="253"/>
      <c r="BH311" s="253"/>
      <c r="BI311" s="253"/>
      <c r="BJ311" s="263" t="str">
        <f>HYPERLINK("#일위대가목록!A108","PP11-1-4/2 →")</f>
        <v>PP11-1-4/2 →</v>
      </c>
    </row>
    <row r="312" spans="1:62" ht="24" customHeight="1">
      <c r="A312" s="256" t="s">
        <v>1367</v>
      </c>
      <c r="B312" s="256" t="s">
        <v>1368</v>
      </c>
      <c r="C312" s="264">
        <v>67.959999999999994</v>
      </c>
      <c r="D312" s="254" t="s">
        <v>9</v>
      </c>
      <c r="E312" s="258">
        <f>일위목록!E109</f>
        <v>0</v>
      </c>
      <c r="F312" s="258">
        <f t="shared" si="17"/>
        <v>0</v>
      </c>
      <c r="G312" s="258">
        <f>일위목록!F109</f>
        <v>0</v>
      </c>
      <c r="H312" s="258"/>
      <c r="I312" s="258"/>
      <c r="J312" s="258"/>
      <c r="K312" s="258"/>
      <c r="L312" s="258"/>
      <c r="M312" s="256"/>
      <c r="N312" s="253" t="s">
        <v>68</v>
      </c>
      <c r="O312" s="253"/>
      <c r="P312" s="253" t="s">
        <v>1345</v>
      </c>
      <c r="Q312" s="253" t="s">
        <v>68</v>
      </c>
      <c r="R312" s="253" t="s">
        <v>1370</v>
      </c>
      <c r="S312" s="253"/>
      <c r="T312" s="253" t="s">
        <v>1129</v>
      </c>
      <c r="U312" s="253"/>
      <c r="V312" s="253"/>
      <c r="W312" s="253"/>
      <c r="X312" s="253"/>
      <c r="Y312" s="253"/>
      <c r="Z312" s="253"/>
      <c r="AA312" s="253"/>
      <c r="AB312" s="253"/>
      <c r="AC312" s="253"/>
      <c r="AD312" s="253"/>
      <c r="AE312" s="253"/>
      <c r="AF312" s="253"/>
      <c r="AG312" s="253"/>
      <c r="AH312" s="253"/>
      <c r="AI312" s="253"/>
      <c r="AJ312" s="253"/>
      <c r="AK312" s="253"/>
      <c r="AL312" s="253"/>
      <c r="AM312" s="253"/>
      <c r="AN312" s="253"/>
      <c r="AO312" s="253"/>
      <c r="AP312" s="253"/>
      <c r="AQ312" s="253"/>
      <c r="AR312" s="253"/>
      <c r="AS312" s="253"/>
      <c r="AT312" s="253"/>
      <c r="AU312" s="253"/>
      <c r="AV312" s="253"/>
      <c r="AW312" s="253"/>
      <c r="AX312" s="253"/>
      <c r="AY312" s="253"/>
      <c r="AZ312" s="253"/>
      <c r="BA312" s="253"/>
      <c r="BB312" s="253"/>
      <c r="BC312" s="253"/>
      <c r="BD312" s="253"/>
      <c r="BE312" s="253"/>
      <c r="BF312" s="253"/>
      <c r="BG312" s="253"/>
      <c r="BH312" s="253"/>
      <c r="BI312" s="253"/>
      <c r="BJ312" s="263" t="str">
        <f>HYPERLINK("#일위대가목록!A109","PP11-2-7/2 →")</f>
        <v>PP11-2-7/2 →</v>
      </c>
    </row>
    <row r="313" spans="1:62" ht="24" customHeight="1">
      <c r="A313" s="256" t="s">
        <v>1371</v>
      </c>
      <c r="B313" s="256" t="s">
        <v>1372</v>
      </c>
      <c r="C313" s="264">
        <v>42.2</v>
      </c>
      <c r="D313" s="254" t="s">
        <v>1033</v>
      </c>
      <c r="E313" s="258">
        <f>일위목록!E110</f>
        <v>0</v>
      </c>
      <c r="F313" s="258">
        <f t="shared" si="17"/>
        <v>0</v>
      </c>
      <c r="G313" s="258">
        <f>일위목록!F110</f>
        <v>0</v>
      </c>
      <c r="H313" s="258"/>
      <c r="I313" s="258"/>
      <c r="J313" s="258"/>
      <c r="K313" s="258"/>
      <c r="L313" s="258"/>
      <c r="M313" s="256"/>
      <c r="N313" s="253" t="s">
        <v>68</v>
      </c>
      <c r="O313" s="253"/>
      <c r="P313" s="253" t="s">
        <v>1347</v>
      </c>
      <c r="Q313" s="253" t="s">
        <v>68</v>
      </c>
      <c r="R313" s="253" t="s">
        <v>1374</v>
      </c>
      <c r="S313" s="253"/>
      <c r="T313" s="253" t="s">
        <v>1129</v>
      </c>
      <c r="U313" s="253"/>
      <c r="V313" s="253"/>
      <c r="W313" s="253"/>
      <c r="X313" s="253"/>
      <c r="Y313" s="253"/>
      <c r="Z313" s="253"/>
      <c r="AA313" s="253"/>
      <c r="AB313" s="253"/>
      <c r="AC313" s="253"/>
      <c r="AD313" s="253"/>
      <c r="AE313" s="253"/>
      <c r="AF313" s="253"/>
      <c r="AG313" s="253"/>
      <c r="AH313" s="253"/>
      <c r="AI313" s="253"/>
      <c r="AJ313" s="253"/>
      <c r="AK313" s="253"/>
      <c r="AL313" s="253"/>
      <c r="AM313" s="253"/>
      <c r="AN313" s="253"/>
      <c r="AO313" s="253"/>
      <c r="AP313" s="253"/>
      <c r="AQ313" s="253"/>
      <c r="AR313" s="253"/>
      <c r="AS313" s="253"/>
      <c r="AT313" s="253"/>
      <c r="AU313" s="253"/>
      <c r="AV313" s="253"/>
      <c r="AW313" s="253"/>
      <c r="AX313" s="253"/>
      <c r="AY313" s="253"/>
      <c r="AZ313" s="253"/>
      <c r="BA313" s="253"/>
      <c r="BB313" s="253"/>
      <c r="BC313" s="253"/>
      <c r="BD313" s="253"/>
      <c r="BE313" s="253"/>
      <c r="BF313" s="253"/>
      <c r="BG313" s="253"/>
      <c r="BH313" s="253"/>
      <c r="BI313" s="253"/>
      <c r="BJ313" s="263" t="str">
        <f>HYPERLINK("#일위대가목록!A110","P8-1-5/3 →")</f>
        <v>P8-1-5/3 →</v>
      </c>
    </row>
    <row r="314" spans="1:62" ht="24" customHeight="1">
      <c r="A314" s="256" t="s">
        <v>1371</v>
      </c>
      <c r="B314" s="256" t="s">
        <v>1375</v>
      </c>
      <c r="C314" s="264">
        <v>63.84</v>
      </c>
      <c r="D314" s="254" t="s">
        <v>1033</v>
      </c>
      <c r="E314" s="258">
        <f>일위목록!E111</f>
        <v>0</v>
      </c>
      <c r="F314" s="258">
        <f t="shared" si="17"/>
        <v>0</v>
      </c>
      <c r="G314" s="258">
        <f>일위목록!F111</f>
        <v>0</v>
      </c>
      <c r="H314" s="258"/>
      <c r="I314" s="258"/>
      <c r="J314" s="258"/>
      <c r="K314" s="258"/>
      <c r="L314" s="258"/>
      <c r="M314" s="256"/>
      <c r="N314" s="253" t="s">
        <v>68</v>
      </c>
      <c r="O314" s="253"/>
      <c r="P314" s="253" t="s">
        <v>1350</v>
      </c>
      <c r="Q314" s="253" t="s">
        <v>68</v>
      </c>
      <c r="R314" s="253" t="s">
        <v>1377</v>
      </c>
      <c r="S314" s="253"/>
      <c r="T314" s="253" t="s">
        <v>1129</v>
      </c>
      <c r="U314" s="253"/>
      <c r="V314" s="253"/>
      <c r="W314" s="253"/>
      <c r="X314" s="253"/>
      <c r="Y314" s="253"/>
      <c r="Z314" s="253"/>
      <c r="AA314" s="253"/>
      <c r="AB314" s="253"/>
      <c r="AC314" s="253"/>
      <c r="AD314" s="253"/>
      <c r="AE314" s="253"/>
      <c r="AF314" s="253"/>
      <c r="AG314" s="253"/>
      <c r="AH314" s="253"/>
      <c r="AI314" s="253"/>
      <c r="AJ314" s="253"/>
      <c r="AK314" s="253"/>
      <c r="AL314" s="253"/>
      <c r="AM314" s="253"/>
      <c r="AN314" s="253"/>
      <c r="AO314" s="253"/>
      <c r="AP314" s="253"/>
      <c r="AQ314" s="253"/>
      <c r="AR314" s="253"/>
      <c r="AS314" s="253"/>
      <c r="AT314" s="253"/>
      <c r="AU314" s="253"/>
      <c r="AV314" s="253"/>
      <c r="AW314" s="253"/>
      <c r="AX314" s="253"/>
      <c r="AY314" s="253"/>
      <c r="AZ314" s="253"/>
      <c r="BA314" s="253"/>
      <c r="BB314" s="253"/>
      <c r="BC314" s="253"/>
      <c r="BD314" s="253"/>
      <c r="BE314" s="253"/>
      <c r="BF314" s="253"/>
      <c r="BG314" s="253"/>
      <c r="BH314" s="253"/>
      <c r="BI314" s="253"/>
      <c r="BJ314" s="263" t="str">
        <f>HYPERLINK("#일위대가목록!A111","P8-1-5/4 →")</f>
        <v>P8-1-5/4 →</v>
      </c>
    </row>
    <row r="315" spans="1:62" ht="24" customHeight="1">
      <c r="A315" s="256" t="s">
        <v>1378</v>
      </c>
      <c r="B315" s="256" t="s">
        <v>1379</v>
      </c>
      <c r="C315" s="257">
        <v>2</v>
      </c>
      <c r="D315" s="254" t="s">
        <v>378</v>
      </c>
      <c r="E315" s="258">
        <f>일위목록!E112</f>
        <v>0</v>
      </c>
      <c r="F315" s="258">
        <f t="shared" si="17"/>
        <v>0</v>
      </c>
      <c r="G315" s="258">
        <f>일위목록!F112</f>
        <v>0</v>
      </c>
      <c r="H315" s="258"/>
      <c r="I315" s="258"/>
      <c r="J315" s="258"/>
      <c r="K315" s="258"/>
      <c r="L315" s="258"/>
      <c r="M315" s="256"/>
      <c r="N315" s="253" t="s">
        <v>68</v>
      </c>
      <c r="O315" s="253"/>
      <c r="P315" s="253" t="s">
        <v>1354</v>
      </c>
      <c r="Q315" s="253" t="s">
        <v>68</v>
      </c>
      <c r="R315" s="253" t="s">
        <v>1381</v>
      </c>
      <c r="S315" s="253"/>
      <c r="T315" s="253" t="s">
        <v>1129</v>
      </c>
      <c r="U315" s="253"/>
      <c r="V315" s="253"/>
      <c r="W315" s="253"/>
      <c r="X315" s="253"/>
      <c r="Y315" s="253"/>
      <c r="Z315" s="253"/>
      <c r="AA315" s="253"/>
      <c r="AB315" s="253"/>
      <c r="AC315" s="253"/>
      <c r="AD315" s="253"/>
      <c r="AE315" s="253"/>
      <c r="AF315" s="253"/>
      <c r="AG315" s="253"/>
      <c r="AH315" s="253"/>
      <c r="AI315" s="253"/>
      <c r="AJ315" s="253"/>
      <c r="AK315" s="253"/>
      <c r="AL315" s="253"/>
      <c r="AM315" s="253"/>
      <c r="AN315" s="253"/>
      <c r="AO315" s="253"/>
      <c r="AP315" s="253"/>
      <c r="AQ315" s="253"/>
      <c r="AR315" s="253"/>
      <c r="AS315" s="253"/>
      <c r="AT315" s="253"/>
      <c r="AU315" s="253"/>
      <c r="AV315" s="253"/>
      <c r="AW315" s="253"/>
      <c r="AX315" s="253"/>
      <c r="AY315" s="253"/>
      <c r="AZ315" s="253"/>
      <c r="BA315" s="253"/>
      <c r="BB315" s="253"/>
      <c r="BC315" s="253"/>
      <c r="BD315" s="253"/>
      <c r="BE315" s="253"/>
      <c r="BF315" s="253"/>
      <c r="BG315" s="253"/>
      <c r="BH315" s="253"/>
      <c r="BI315" s="253"/>
      <c r="BJ315" s="263" t="str">
        <f>HYPERLINK("#일위대가목록!A112","P8-1-6/1 →")</f>
        <v>P8-1-6/1 →</v>
      </c>
    </row>
    <row r="316" spans="1:62" ht="24" customHeight="1">
      <c r="A316" s="256" t="s">
        <v>1550</v>
      </c>
      <c r="B316" s="256" t="s">
        <v>1551</v>
      </c>
      <c r="C316" s="257">
        <v>1</v>
      </c>
      <c r="D316" s="254" t="s">
        <v>149</v>
      </c>
      <c r="E316" s="258">
        <f>일위목록!E143</f>
        <v>0</v>
      </c>
      <c r="F316" s="258">
        <f t="shared" si="17"/>
        <v>0</v>
      </c>
      <c r="G316" s="258">
        <f>일위목록!F143</f>
        <v>0</v>
      </c>
      <c r="H316" s="258"/>
      <c r="I316" s="258"/>
      <c r="J316" s="258"/>
      <c r="K316" s="258"/>
      <c r="L316" s="258"/>
      <c r="M316" s="256"/>
      <c r="N316" s="253" t="s">
        <v>68</v>
      </c>
      <c r="O316" s="253"/>
      <c r="P316" s="253" t="s">
        <v>1358</v>
      </c>
      <c r="Q316" s="253" t="s">
        <v>68</v>
      </c>
      <c r="R316" s="253" t="s">
        <v>1552</v>
      </c>
      <c r="S316" s="253"/>
      <c r="T316" s="253" t="s">
        <v>1129</v>
      </c>
      <c r="U316" s="253"/>
      <c r="V316" s="253"/>
      <c r="W316" s="253"/>
      <c r="X316" s="253"/>
      <c r="Y316" s="253"/>
      <c r="Z316" s="253"/>
      <c r="AA316" s="253"/>
      <c r="AB316" s="253"/>
      <c r="AC316" s="253"/>
      <c r="AD316" s="253"/>
      <c r="AE316" s="253"/>
      <c r="AF316" s="253"/>
      <c r="AG316" s="253"/>
      <c r="AH316" s="253"/>
      <c r="AI316" s="253"/>
      <c r="AJ316" s="253"/>
      <c r="AK316" s="253"/>
      <c r="AL316" s="253"/>
      <c r="AM316" s="253"/>
      <c r="AN316" s="253"/>
      <c r="AO316" s="253"/>
      <c r="AP316" s="253"/>
      <c r="AQ316" s="253"/>
      <c r="AR316" s="253"/>
      <c r="AS316" s="253"/>
      <c r="AT316" s="253"/>
      <c r="AU316" s="253"/>
      <c r="AV316" s="253"/>
      <c r="AW316" s="253"/>
      <c r="AX316" s="253"/>
      <c r="AY316" s="253"/>
      <c r="AZ316" s="253"/>
      <c r="BA316" s="253"/>
      <c r="BB316" s="253"/>
      <c r="BC316" s="253"/>
      <c r="BD316" s="253"/>
      <c r="BE316" s="253"/>
      <c r="BF316" s="253"/>
      <c r="BG316" s="253"/>
      <c r="BH316" s="253"/>
      <c r="BI316" s="253"/>
      <c r="BJ316" s="263" t="str">
        <f>HYPERLINK("#일위대가목록!A143","Z08-07-11-20 →")</f>
        <v>Z08-07-11-20 →</v>
      </c>
    </row>
    <row r="317" spans="1:62" ht="24" customHeight="1">
      <c r="A317" s="256" t="s">
        <v>1553</v>
      </c>
      <c r="B317" s="256" t="s">
        <v>1554</v>
      </c>
      <c r="C317" s="257">
        <v>1</v>
      </c>
      <c r="D317" s="254" t="s">
        <v>437</v>
      </c>
      <c r="E317" s="258">
        <f>자재조서!E96</f>
        <v>0</v>
      </c>
      <c r="F317" s="258">
        <f t="shared" si="17"/>
        <v>0</v>
      </c>
      <c r="G317" s="258">
        <v>0</v>
      </c>
      <c r="H317" s="258"/>
      <c r="I317" s="258"/>
      <c r="J317" s="258"/>
      <c r="K317" s="258"/>
      <c r="L317" s="258"/>
      <c r="M317" s="256"/>
      <c r="N317" s="253" t="s">
        <v>68</v>
      </c>
      <c r="O317" s="253"/>
      <c r="P317" s="253" t="s">
        <v>1362</v>
      </c>
      <c r="Q317" s="253" t="s">
        <v>68</v>
      </c>
      <c r="R317" s="253" t="s">
        <v>1555</v>
      </c>
      <c r="S317" s="253"/>
      <c r="T317" s="253"/>
      <c r="U317" s="253"/>
      <c r="V317" s="253"/>
      <c r="W317" s="253"/>
      <c r="X317" s="253"/>
      <c r="Y317" s="253"/>
      <c r="Z317" s="253"/>
      <c r="AA317" s="253"/>
      <c r="AB317" s="253"/>
      <c r="AC317" s="253"/>
      <c r="AD317" s="253"/>
      <c r="AE317" s="253"/>
      <c r="AF317" s="253"/>
      <c r="AG317" s="253"/>
      <c r="AH317" s="253"/>
      <c r="AI317" s="253"/>
      <c r="AJ317" s="253"/>
      <c r="AK317" s="253"/>
      <c r="AL317" s="253"/>
      <c r="AM317" s="253"/>
      <c r="AN317" s="253"/>
      <c r="AO317" s="253"/>
      <c r="AP317" s="253"/>
      <c r="AQ317" s="253"/>
      <c r="AR317" s="253"/>
      <c r="AS317" s="253"/>
      <c r="AT317" s="253"/>
      <c r="AU317" s="253"/>
      <c r="AV317" s="253"/>
      <c r="AW317" s="253"/>
      <c r="AX317" s="253"/>
      <c r="AY317" s="253"/>
      <c r="AZ317" s="253"/>
      <c r="BA317" s="253"/>
      <c r="BB317" s="253"/>
      <c r="BC317" s="253"/>
      <c r="BD317" s="253"/>
      <c r="BE317" s="253"/>
      <c r="BF317" s="253"/>
      <c r="BG317" s="253"/>
      <c r="BH317" s="253"/>
      <c r="BI317" s="253"/>
      <c r="BJ317" s="263" t="str">
        <f>HYPERLINK("#자재조서!A96","MZZ9000042 →")</f>
        <v>MZZ9000042 →</v>
      </c>
    </row>
    <row r="318" spans="1:62" ht="24" customHeight="1">
      <c r="A318" s="256" t="s">
        <v>68</v>
      </c>
      <c r="B318" s="256" t="s">
        <v>68</v>
      </c>
      <c r="C318" s="264"/>
      <c r="D318" s="254" t="s">
        <v>68</v>
      </c>
      <c r="E318" s="254"/>
      <c r="F318" s="258">
        <v>0</v>
      </c>
      <c r="G318" s="254"/>
      <c r="H318" s="258"/>
      <c r="I318" s="254"/>
      <c r="J318" s="258"/>
      <c r="K318" s="258"/>
      <c r="L318" s="258"/>
      <c r="M318" s="256"/>
      <c r="N318" s="253" t="s">
        <v>68</v>
      </c>
      <c r="O318" s="253"/>
      <c r="P318" s="253" t="s">
        <v>1365</v>
      </c>
      <c r="Q318" s="253" t="s">
        <v>68</v>
      </c>
      <c r="R318" s="253" t="s">
        <v>68</v>
      </c>
      <c r="S318" s="253"/>
      <c r="T318" s="253"/>
      <c r="U318" s="253"/>
      <c r="V318" s="253"/>
      <c r="W318" s="253"/>
      <c r="X318" s="253"/>
      <c r="Y318" s="253"/>
      <c r="Z318" s="253"/>
      <c r="AA318" s="253"/>
      <c r="AB318" s="253"/>
      <c r="AC318" s="253"/>
      <c r="AD318" s="253"/>
      <c r="AE318" s="253"/>
      <c r="AF318" s="253"/>
      <c r="AG318" s="253"/>
      <c r="AH318" s="253"/>
      <c r="AI318" s="253"/>
      <c r="AJ318" s="253"/>
      <c r="AK318" s="253"/>
      <c r="AL318" s="253"/>
      <c r="AM318" s="253"/>
      <c r="AN318" s="253"/>
      <c r="AO318" s="253"/>
      <c r="AP318" s="253"/>
      <c r="AQ318" s="253"/>
      <c r="AR318" s="253"/>
      <c r="AS318" s="253"/>
      <c r="AT318" s="253"/>
      <c r="AU318" s="253"/>
      <c r="AV318" s="253"/>
      <c r="AW318" s="253"/>
      <c r="AX318" s="253"/>
      <c r="AY318" s="253"/>
      <c r="AZ318" s="253"/>
      <c r="BA318" s="253"/>
      <c r="BB318" s="253"/>
      <c r="BC318" s="253"/>
      <c r="BD318" s="253"/>
      <c r="BE318" s="253"/>
      <c r="BF318" s="253"/>
      <c r="BG318" s="253"/>
      <c r="BH318" s="253"/>
      <c r="BI318" s="253"/>
      <c r="BJ318" s="253"/>
    </row>
    <row r="319" spans="1:62" ht="24" customHeight="1">
      <c r="A319" s="256" t="s">
        <v>1383</v>
      </c>
      <c r="B319" s="256" t="s">
        <v>68</v>
      </c>
      <c r="C319" s="264"/>
      <c r="D319" s="254" t="s">
        <v>68</v>
      </c>
      <c r="E319" s="254"/>
      <c r="F319" s="258">
        <v>0</v>
      </c>
      <c r="G319" s="254"/>
      <c r="H319" s="258"/>
      <c r="I319" s="254"/>
      <c r="J319" s="258"/>
      <c r="K319" s="258"/>
      <c r="L319" s="258"/>
      <c r="M319" s="256"/>
      <c r="N319" s="253" t="s">
        <v>68</v>
      </c>
      <c r="O319" s="253"/>
      <c r="P319" s="253" t="s">
        <v>1369</v>
      </c>
      <c r="Q319" s="253" t="s">
        <v>68</v>
      </c>
      <c r="R319" s="253" t="s">
        <v>68</v>
      </c>
      <c r="S319" s="253"/>
      <c r="T319" s="253"/>
      <c r="U319" s="253"/>
      <c r="V319" s="253"/>
      <c r="W319" s="253"/>
      <c r="X319" s="253"/>
      <c r="Y319" s="253"/>
      <c r="Z319" s="253"/>
      <c r="AA319" s="253"/>
      <c r="AB319" s="253"/>
      <c r="AC319" s="253"/>
      <c r="AD319" s="253"/>
      <c r="AE319" s="253"/>
      <c r="AF319" s="253"/>
      <c r="AG319" s="253"/>
      <c r="AH319" s="253"/>
      <c r="AI319" s="253"/>
      <c r="AJ319" s="253"/>
      <c r="AK319" s="253"/>
      <c r="AL319" s="253"/>
      <c r="AM319" s="253"/>
      <c r="AN319" s="253"/>
      <c r="AO319" s="253"/>
      <c r="AP319" s="253"/>
      <c r="AQ319" s="253"/>
      <c r="AR319" s="253"/>
      <c r="AS319" s="253"/>
      <c r="AT319" s="253"/>
      <c r="AU319" s="253"/>
      <c r="AV319" s="253"/>
      <c r="AW319" s="253"/>
      <c r="AX319" s="253"/>
      <c r="AY319" s="253"/>
      <c r="AZ319" s="253"/>
      <c r="BA319" s="253"/>
      <c r="BB319" s="253"/>
      <c r="BC319" s="253"/>
      <c r="BD319" s="253"/>
      <c r="BE319" s="253"/>
      <c r="BF319" s="253"/>
      <c r="BG319" s="253"/>
      <c r="BH319" s="253"/>
      <c r="BI319" s="253"/>
      <c r="BJ319" s="253"/>
    </row>
    <row r="320" spans="1:62" ht="24" customHeight="1">
      <c r="A320" s="256" t="s">
        <v>1556</v>
      </c>
      <c r="B320" s="256" t="s">
        <v>1557</v>
      </c>
      <c r="C320" s="264">
        <v>59.63</v>
      </c>
      <c r="D320" s="254" t="s">
        <v>9</v>
      </c>
      <c r="E320" s="258">
        <f>일위목록!E144</f>
        <v>0</v>
      </c>
      <c r="F320" s="258">
        <f>TRUNC(E320*C320,0)</f>
        <v>0</v>
      </c>
      <c r="G320" s="258">
        <f>일위목록!F144</f>
        <v>0</v>
      </c>
      <c r="H320" s="258"/>
      <c r="I320" s="258"/>
      <c r="J320" s="258"/>
      <c r="K320" s="258"/>
      <c r="L320" s="258"/>
      <c r="M320" s="256"/>
      <c r="N320" s="253" t="s">
        <v>68</v>
      </c>
      <c r="O320" s="253"/>
      <c r="P320" s="253" t="s">
        <v>1558</v>
      </c>
      <c r="Q320" s="253" t="s">
        <v>68</v>
      </c>
      <c r="R320" s="253" t="s">
        <v>1559</v>
      </c>
      <c r="S320" s="253"/>
      <c r="T320" s="253" t="s">
        <v>1129</v>
      </c>
      <c r="U320" s="253"/>
      <c r="V320" s="253"/>
      <c r="W320" s="253"/>
      <c r="X320" s="253"/>
      <c r="Y320" s="253"/>
      <c r="Z320" s="253"/>
      <c r="AA320" s="253"/>
      <c r="AB320" s="253"/>
      <c r="AC320" s="253"/>
      <c r="AD320" s="253"/>
      <c r="AE320" s="253"/>
      <c r="AF320" s="253"/>
      <c r="AG320" s="253"/>
      <c r="AH320" s="253"/>
      <c r="AI320" s="253"/>
      <c r="AJ320" s="253"/>
      <c r="AK320" s="253"/>
      <c r="AL320" s="253"/>
      <c r="AM320" s="253"/>
      <c r="AN320" s="253"/>
      <c r="AO320" s="253"/>
      <c r="AP320" s="253"/>
      <c r="AQ320" s="253"/>
      <c r="AR320" s="253"/>
      <c r="AS320" s="253"/>
      <c r="AT320" s="253"/>
      <c r="AU320" s="253"/>
      <c r="AV320" s="253"/>
      <c r="AW320" s="253"/>
      <c r="AX320" s="253"/>
      <c r="AY320" s="253"/>
      <c r="AZ320" s="253"/>
      <c r="BA320" s="253"/>
      <c r="BB320" s="253"/>
      <c r="BC320" s="253"/>
      <c r="BD320" s="253"/>
      <c r="BE320" s="253"/>
      <c r="BF320" s="253"/>
      <c r="BG320" s="253"/>
      <c r="BH320" s="253"/>
      <c r="BI320" s="253"/>
      <c r="BJ320" s="263" t="str">
        <f>HYPERLINK("#일위대가목록!A144","P4-1-2/1 →")</f>
        <v>P4-1-2/1 →</v>
      </c>
    </row>
    <row r="321" spans="1:62" ht="24" customHeight="1">
      <c r="A321" s="256" t="s">
        <v>1560</v>
      </c>
      <c r="B321" s="256" t="s">
        <v>1561</v>
      </c>
      <c r="C321" s="264">
        <v>55.45</v>
      </c>
      <c r="D321" s="254" t="s">
        <v>9</v>
      </c>
      <c r="E321" s="258">
        <f>일위목록!E145</f>
        <v>0</v>
      </c>
      <c r="F321" s="258">
        <f>TRUNC(E321*C321,0)</f>
        <v>0</v>
      </c>
      <c r="G321" s="258">
        <f>일위목록!F145</f>
        <v>0</v>
      </c>
      <c r="H321" s="258"/>
      <c r="I321" s="258"/>
      <c r="J321" s="258"/>
      <c r="K321" s="258"/>
      <c r="L321" s="258"/>
      <c r="M321" s="256"/>
      <c r="N321" s="253" t="s">
        <v>68</v>
      </c>
      <c r="O321" s="253"/>
      <c r="P321" s="253" t="s">
        <v>1373</v>
      </c>
      <c r="Q321" s="253" t="s">
        <v>68</v>
      </c>
      <c r="R321" s="253" t="s">
        <v>1562</v>
      </c>
      <c r="S321" s="253"/>
      <c r="T321" s="253" t="s">
        <v>1129</v>
      </c>
      <c r="U321" s="253"/>
      <c r="V321" s="253"/>
      <c r="W321" s="253"/>
      <c r="X321" s="253"/>
      <c r="Y321" s="253"/>
      <c r="Z321" s="253"/>
      <c r="AA321" s="253"/>
      <c r="AB321" s="253"/>
      <c r="AC321" s="253"/>
      <c r="AD321" s="253"/>
      <c r="AE321" s="253"/>
      <c r="AF321" s="253"/>
      <c r="AG321" s="253"/>
      <c r="AH321" s="253"/>
      <c r="AI321" s="253"/>
      <c r="AJ321" s="253"/>
      <c r="AK321" s="253"/>
      <c r="AL321" s="253"/>
      <c r="AM321" s="253"/>
      <c r="AN321" s="253"/>
      <c r="AO321" s="253"/>
      <c r="AP321" s="253"/>
      <c r="AQ321" s="253"/>
      <c r="AR321" s="253"/>
      <c r="AS321" s="253"/>
      <c r="AT321" s="253"/>
      <c r="AU321" s="253"/>
      <c r="AV321" s="253"/>
      <c r="AW321" s="253"/>
      <c r="AX321" s="253"/>
      <c r="AY321" s="253"/>
      <c r="AZ321" s="253"/>
      <c r="BA321" s="253"/>
      <c r="BB321" s="253"/>
      <c r="BC321" s="253"/>
      <c r="BD321" s="253"/>
      <c r="BE321" s="253"/>
      <c r="BF321" s="253"/>
      <c r="BG321" s="253"/>
      <c r="BH321" s="253"/>
      <c r="BI321" s="253"/>
      <c r="BJ321" s="263" t="str">
        <f>HYPERLINK("#일위대가목록!A145","P4-1-3/1 →")</f>
        <v>P4-1-3/1 →</v>
      </c>
    </row>
    <row r="322" spans="1:62" ht="24" customHeight="1">
      <c r="A322" s="256" t="s">
        <v>68</v>
      </c>
      <c r="B322" s="256" t="s">
        <v>68</v>
      </c>
      <c r="C322" s="264"/>
      <c r="D322" s="254" t="s">
        <v>68</v>
      </c>
      <c r="E322" s="254"/>
      <c r="F322" s="258">
        <v>0</v>
      </c>
      <c r="G322" s="254"/>
      <c r="H322" s="258"/>
      <c r="I322" s="254"/>
      <c r="J322" s="258"/>
      <c r="K322" s="258"/>
      <c r="L322" s="258"/>
      <c r="M322" s="256"/>
      <c r="N322" s="253" t="s">
        <v>68</v>
      </c>
      <c r="O322" s="253"/>
      <c r="P322" s="253" t="s">
        <v>1376</v>
      </c>
      <c r="Q322" s="253" t="s">
        <v>68</v>
      </c>
      <c r="R322" s="253" t="s">
        <v>68</v>
      </c>
      <c r="S322" s="253"/>
      <c r="T322" s="253"/>
      <c r="U322" s="253"/>
      <c r="V322" s="253"/>
      <c r="W322" s="253"/>
      <c r="X322" s="253"/>
      <c r="Y322" s="253"/>
      <c r="Z322" s="253"/>
      <c r="AA322" s="253"/>
      <c r="AB322" s="253"/>
      <c r="AC322" s="253"/>
      <c r="AD322" s="253"/>
      <c r="AE322" s="253"/>
      <c r="AF322" s="253"/>
      <c r="AG322" s="253"/>
      <c r="AH322" s="253"/>
      <c r="AI322" s="253"/>
      <c r="AJ322" s="253"/>
      <c r="AK322" s="253"/>
      <c r="AL322" s="253"/>
      <c r="AM322" s="253"/>
      <c r="AN322" s="253"/>
      <c r="AO322" s="253"/>
      <c r="AP322" s="253"/>
      <c r="AQ322" s="253"/>
      <c r="AR322" s="253"/>
      <c r="AS322" s="253"/>
      <c r="AT322" s="253"/>
      <c r="AU322" s="253"/>
      <c r="AV322" s="253"/>
      <c r="AW322" s="253"/>
      <c r="AX322" s="253"/>
      <c r="AY322" s="253"/>
      <c r="AZ322" s="253"/>
      <c r="BA322" s="253"/>
      <c r="BB322" s="253"/>
      <c r="BC322" s="253"/>
      <c r="BD322" s="253"/>
      <c r="BE322" s="253"/>
      <c r="BF322" s="253"/>
      <c r="BG322" s="253"/>
      <c r="BH322" s="253"/>
      <c r="BI322" s="253"/>
      <c r="BJ322" s="253"/>
    </row>
    <row r="323" spans="1:62" ht="24" customHeight="1">
      <c r="A323" s="273" t="s">
        <v>1255</v>
      </c>
      <c r="B323" s="273" t="s">
        <v>68</v>
      </c>
      <c r="C323" s="274">
        <v>1</v>
      </c>
      <c r="D323" s="275" t="s">
        <v>1094</v>
      </c>
      <c r="E323" s="275"/>
      <c r="F323" s="276">
        <f>TRUNC(F324+F325+F326+F327+F328,0)</f>
        <v>0</v>
      </c>
      <c r="G323" s="275"/>
      <c r="H323" s="276"/>
      <c r="I323" s="275"/>
      <c r="J323" s="276"/>
      <c r="K323" s="275"/>
      <c r="L323" s="276"/>
      <c r="M323" s="273"/>
      <c r="N323" s="253" t="s">
        <v>68</v>
      </c>
      <c r="O323" s="253" t="s">
        <v>1519</v>
      </c>
      <c r="P323" s="253"/>
      <c r="Q323" s="253"/>
      <c r="R323" s="253"/>
      <c r="S323" s="253"/>
      <c r="T323" s="253"/>
      <c r="U323" s="253"/>
      <c r="V323" s="253"/>
      <c r="W323" s="253"/>
      <c r="X323" s="253"/>
      <c r="Y323" s="253"/>
      <c r="Z323" s="253"/>
      <c r="AA323" s="253"/>
      <c r="AB323" s="253"/>
      <c r="AC323" s="253"/>
      <c r="AD323" s="253"/>
      <c r="AE323" s="253"/>
      <c r="AF323" s="253"/>
      <c r="AG323" s="253"/>
      <c r="AH323" s="253"/>
      <c r="AI323" s="253"/>
      <c r="AJ323" s="253"/>
      <c r="AK323" s="253"/>
      <c r="AL323" s="253"/>
      <c r="AM323" s="253"/>
      <c r="AN323" s="253"/>
      <c r="AO323" s="253"/>
      <c r="AP323" s="253"/>
      <c r="AQ323" s="253"/>
      <c r="AR323" s="253"/>
      <c r="AS323" s="253"/>
      <c r="AT323" s="253"/>
      <c r="AU323" s="253"/>
      <c r="AV323" s="253"/>
      <c r="AW323" s="253"/>
      <c r="AX323" s="253"/>
      <c r="AY323" s="253"/>
      <c r="AZ323" s="253"/>
      <c r="BA323" s="253"/>
      <c r="BB323" s="253"/>
      <c r="BC323" s="253"/>
      <c r="BD323" s="253"/>
      <c r="BE323" s="253"/>
      <c r="BF323" s="253"/>
      <c r="BG323" s="253"/>
      <c r="BH323" s="253"/>
      <c r="BI323" s="253"/>
      <c r="BJ323" s="253"/>
    </row>
    <row r="324" spans="1:62" ht="24" customHeight="1">
      <c r="A324" s="256" t="s">
        <v>1390</v>
      </c>
      <c r="B324" s="256" t="s">
        <v>1563</v>
      </c>
      <c r="C324" s="257">
        <v>1</v>
      </c>
      <c r="D324" s="254" t="s">
        <v>149</v>
      </c>
      <c r="E324" s="258">
        <f>일위목록!E146</f>
        <v>0</v>
      </c>
      <c r="F324" s="258">
        <f>TRUNC(E324*C324,0)</f>
        <v>0</v>
      </c>
      <c r="G324" s="258">
        <f>일위목록!F146</f>
        <v>0</v>
      </c>
      <c r="H324" s="258"/>
      <c r="I324" s="258"/>
      <c r="J324" s="258"/>
      <c r="K324" s="258"/>
      <c r="L324" s="258"/>
      <c r="M324" s="256"/>
      <c r="N324" s="253" t="s">
        <v>68</v>
      </c>
      <c r="O324" s="253"/>
      <c r="P324" s="253" t="s">
        <v>1095</v>
      </c>
      <c r="Q324" s="253" t="s">
        <v>68</v>
      </c>
      <c r="R324" s="253" t="s">
        <v>1564</v>
      </c>
      <c r="S324" s="253"/>
      <c r="T324" s="253" t="s">
        <v>1129</v>
      </c>
      <c r="U324" s="253"/>
      <c r="V324" s="253"/>
      <c r="W324" s="253"/>
      <c r="X324" s="253"/>
      <c r="Y324" s="253"/>
      <c r="Z324" s="253"/>
      <c r="AA324" s="253"/>
      <c r="AB324" s="253"/>
      <c r="AC324" s="253"/>
      <c r="AD324" s="253"/>
      <c r="AE324" s="253"/>
      <c r="AF324" s="253"/>
      <c r="AG324" s="253"/>
      <c r="AH324" s="253"/>
      <c r="AI324" s="253"/>
      <c r="AJ324" s="253"/>
      <c r="AK324" s="253"/>
      <c r="AL324" s="253"/>
      <c r="AM324" s="253"/>
      <c r="AN324" s="253"/>
      <c r="AO324" s="253"/>
      <c r="AP324" s="253"/>
      <c r="AQ324" s="253"/>
      <c r="AR324" s="253"/>
      <c r="AS324" s="253"/>
      <c r="AT324" s="253"/>
      <c r="AU324" s="253"/>
      <c r="AV324" s="253"/>
      <c r="AW324" s="253"/>
      <c r="AX324" s="253"/>
      <c r="AY324" s="253"/>
      <c r="AZ324" s="253"/>
      <c r="BA324" s="253"/>
      <c r="BB324" s="253"/>
      <c r="BC324" s="253"/>
      <c r="BD324" s="253"/>
      <c r="BE324" s="253"/>
      <c r="BF324" s="253"/>
      <c r="BG324" s="253"/>
      <c r="BH324" s="253"/>
      <c r="BI324" s="253"/>
      <c r="BJ324" s="263" t="str">
        <f>HYPERLINK("#일위대가목록!A146","S8-2-4/1 →")</f>
        <v>S8-2-4/1 →</v>
      </c>
    </row>
    <row r="325" spans="1:62" ht="24" customHeight="1">
      <c r="A325" s="256" t="s">
        <v>1398</v>
      </c>
      <c r="B325" s="256" t="s">
        <v>1399</v>
      </c>
      <c r="C325" s="257">
        <v>15</v>
      </c>
      <c r="D325" s="254" t="s">
        <v>1400</v>
      </c>
      <c r="E325" s="258">
        <f>자재조서!E26</f>
        <v>0</v>
      </c>
      <c r="F325" s="258">
        <f>TRUNC(E325*C325,0)</f>
        <v>0</v>
      </c>
      <c r="G325" s="258">
        <v>0</v>
      </c>
      <c r="H325" s="258"/>
      <c r="I325" s="258"/>
      <c r="J325" s="258"/>
      <c r="K325" s="258"/>
      <c r="L325" s="258"/>
      <c r="M325" s="256"/>
      <c r="N325" s="253" t="s">
        <v>68</v>
      </c>
      <c r="O325" s="253"/>
      <c r="P325" s="253" t="s">
        <v>1101</v>
      </c>
      <c r="Q325" s="253" t="s">
        <v>68</v>
      </c>
      <c r="R325" s="253" t="s">
        <v>1401</v>
      </c>
      <c r="S325" s="253"/>
      <c r="T325" s="253"/>
      <c r="U325" s="253"/>
      <c r="V325" s="253"/>
      <c r="W325" s="253"/>
      <c r="X325" s="253"/>
      <c r="Y325" s="253"/>
      <c r="Z325" s="253"/>
      <c r="AA325" s="253"/>
      <c r="AB325" s="253"/>
      <c r="AC325" s="253"/>
      <c r="AD325" s="253"/>
      <c r="AE325" s="253"/>
      <c r="AF325" s="253"/>
      <c r="AG325" s="253"/>
      <c r="AH325" s="253"/>
      <c r="AI325" s="253"/>
      <c r="AJ325" s="253"/>
      <c r="AK325" s="253"/>
      <c r="AL325" s="253"/>
      <c r="AM325" s="253"/>
      <c r="AN325" s="253"/>
      <c r="AO325" s="253"/>
      <c r="AP325" s="253"/>
      <c r="AQ325" s="253"/>
      <c r="AR325" s="253"/>
      <c r="AS325" s="253"/>
      <c r="AT325" s="253"/>
      <c r="AU325" s="253"/>
      <c r="AV325" s="253"/>
      <c r="AW325" s="253"/>
      <c r="AX325" s="253"/>
      <c r="AY325" s="253"/>
      <c r="AZ325" s="253"/>
      <c r="BA325" s="253"/>
      <c r="BB325" s="253"/>
      <c r="BC325" s="253"/>
      <c r="BD325" s="253"/>
      <c r="BE325" s="253"/>
      <c r="BF325" s="253"/>
      <c r="BG325" s="253"/>
      <c r="BH325" s="253"/>
      <c r="BI325" s="253"/>
      <c r="BJ325" s="263" t="str">
        <f>HYPERLINK("#자재조서!A26","M5103009 →")</f>
        <v>M5103009 →</v>
      </c>
    </row>
    <row r="326" spans="1:62" ht="24" customHeight="1">
      <c r="A326" s="256" t="s">
        <v>1402</v>
      </c>
      <c r="B326" s="256" t="s">
        <v>1403</v>
      </c>
      <c r="C326" s="257">
        <v>4</v>
      </c>
      <c r="D326" s="254" t="s">
        <v>437</v>
      </c>
      <c r="E326" s="258">
        <f>자재조서!E27</f>
        <v>0</v>
      </c>
      <c r="F326" s="258">
        <f>TRUNC(E326*C326,0)</f>
        <v>0</v>
      </c>
      <c r="G326" s="258">
        <v>0</v>
      </c>
      <c r="H326" s="258"/>
      <c r="I326" s="258"/>
      <c r="J326" s="258"/>
      <c r="K326" s="258"/>
      <c r="L326" s="258"/>
      <c r="M326" s="256"/>
      <c r="N326" s="253" t="s">
        <v>68</v>
      </c>
      <c r="O326" s="253"/>
      <c r="P326" s="253" t="s">
        <v>1104</v>
      </c>
      <c r="Q326" s="253" t="s">
        <v>68</v>
      </c>
      <c r="R326" s="253" t="s">
        <v>1404</v>
      </c>
      <c r="S326" s="253"/>
      <c r="T326" s="253"/>
      <c r="U326" s="253"/>
      <c r="V326" s="253"/>
      <c r="W326" s="253"/>
      <c r="X326" s="253"/>
      <c r="Y326" s="253"/>
      <c r="Z326" s="253"/>
      <c r="AA326" s="253"/>
      <c r="AB326" s="253"/>
      <c r="AC326" s="253"/>
      <c r="AD326" s="253"/>
      <c r="AE326" s="253"/>
      <c r="AF326" s="253"/>
      <c r="AG326" s="253"/>
      <c r="AH326" s="253"/>
      <c r="AI326" s="253"/>
      <c r="AJ326" s="253"/>
      <c r="AK326" s="253"/>
      <c r="AL326" s="253"/>
      <c r="AM326" s="253"/>
      <c r="AN326" s="253"/>
      <c r="AO326" s="253"/>
      <c r="AP326" s="253"/>
      <c r="AQ326" s="253"/>
      <c r="AR326" s="253"/>
      <c r="AS326" s="253"/>
      <c r="AT326" s="253"/>
      <c r="AU326" s="253"/>
      <c r="AV326" s="253"/>
      <c r="AW326" s="253"/>
      <c r="AX326" s="253"/>
      <c r="AY326" s="253"/>
      <c r="AZ326" s="253"/>
      <c r="BA326" s="253"/>
      <c r="BB326" s="253"/>
      <c r="BC326" s="253"/>
      <c r="BD326" s="253"/>
      <c r="BE326" s="253"/>
      <c r="BF326" s="253"/>
      <c r="BG326" s="253"/>
      <c r="BH326" s="253"/>
      <c r="BI326" s="253"/>
      <c r="BJ326" s="263" t="str">
        <f>HYPERLINK("#자재조서!A27","M5106011 →")</f>
        <v>M5106011 →</v>
      </c>
    </row>
    <row r="327" spans="1:62" ht="24" customHeight="1">
      <c r="A327" s="256" t="s">
        <v>1405</v>
      </c>
      <c r="B327" s="256" t="s">
        <v>1403</v>
      </c>
      <c r="C327" s="257">
        <v>4</v>
      </c>
      <c r="D327" s="254" t="s">
        <v>437</v>
      </c>
      <c r="E327" s="258">
        <f>자재조서!E28</f>
        <v>0</v>
      </c>
      <c r="F327" s="258">
        <f>TRUNC(E327*C327,0)</f>
        <v>0</v>
      </c>
      <c r="G327" s="258">
        <v>0</v>
      </c>
      <c r="H327" s="258"/>
      <c r="I327" s="258"/>
      <c r="J327" s="258"/>
      <c r="K327" s="258"/>
      <c r="L327" s="258"/>
      <c r="M327" s="256"/>
      <c r="N327" s="253" t="s">
        <v>68</v>
      </c>
      <c r="O327" s="253"/>
      <c r="P327" s="253" t="s">
        <v>1107</v>
      </c>
      <c r="Q327" s="253" t="s">
        <v>68</v>
      </c>
      <c r="R327" s="253" t="s">
        <v>1406</v>
      </c>
      <c r="S327" s="253"/>
      <c r="T327" s="253"/>
      <c r="U327" s="253"/>
      <c r="V327" s="253"/>
      <c r="W327" s="253"/>
      <c r="X327" s="253"/>
      <c r="Y327" s="253"/>
      <c r="Z327" s="253"/>
      <c r="AA327" s="253"/>
      <c r="AB327" s="253"/>
      <c r="AC327" s="253"/>
      <c r="AD327" s="253"/>
      <c r="AE327" s="253"/>
      <c r="AF327" s="253"/>
      <c r="AG327" s="253"/>
      <c r="AH327" s="253"/>
      <c r="AI327" s="253"/>
      <c r="AJ327" s="253"/>
      <c r="AK327" s="253"/>
      <c r="AL327" s="253"/>
      <c r="AM327" s="253"/>
      <c r="AN327" s="253"/>
      <c r="AO327" s="253"/>
      <c r="AP327" s="253"/>
      <c r="AQ327" s="253"/>
      <c r="AR327" s="253"/>
      <c r="AS327" s="253"/>
      <c r="AT327" s="253"/>
      <c r="AU327" s="253"/>
      <c r="AV327" s="253"/>
      <c r="AW327" s="253"/>
      <c r="AX327" s="253"/>
      <c r="AY327" s="253"/>
      <c r="AZ327" s="253"/>
      <c r="BA327" s="253"/>
      <c r="BB327" s="253"/>
      <c r="BC327" s="253"/>
      <c r="BD327" s="253"/>
      <c r="BE327" s="253"/>
      <c r="BF327" s="253"/>
      <c r="BG327" s="253"/>
      <c r="BH327" s="253"/>
      <c r="BI327" s="253"/>
      <c r="BJ327" s="263" t="str">
        <f>HYPERLINK("#자재조서!A28","M5115011 →")</f>
        <v>M5115011 →</v>
      </c>
    </row>
    <row r="328" spans="1:62" ht="24" customHeight="1">
      <c r="A328" s="256" t="s">
        <v>1407</v>
      </c>
      <c r="B328" s="256" t="s">
        <v>1408</v>
      </c>
      <c r="C328" s="257">
        <v>4</v>
      </c>
      <c r="D328" s="254" t="s">
        <v>378</v>
      </c>
      <c r="E328" s="258">
        <f>일위목록!E117</f>
        <v>0</v>
      </c>
      <c r="F328" s="258">
        <f>TRUNC(E328*C328,0)</f>
        <v>0</v>
      </c>
      <c r="G328" s="258">
        <f>일위목록!F117</f>
        <v>0</v>
      </c>
      <c r="H328" s="258"/>
      <c r="I328" s="258"/>
      <c r="J328" s="258"/>
      <c r="K328" s="258"/>
      <c r="L328" s="258"/>
      <c r="M328" s="256"/>
      <c r="N328" s="253" t="s">
        <v>68</v>
      </c>
      <c r="O328" s="253"/>
      <c r="P328" s="253" t="s">
        <v>1108</v>
      </c>
      <c r="Q328" s="253" t="s">
        <v>68</v>
      </c>
      <c r="R328" s="253" t="s">
        <v>1409</v>
      </c>
      <c r="S328" s="253"/>
      <c r="T328" s="253" t="s">
        <v>1129</v>
      </c>
      <c r="U328" s="253"/>
      <c r="V328" s="253"/>
      <c r="W328" s="253"/>
      <c r="X328" s="253"/>
      <c r="Y328" s="253"/>
      <c r="Z328" s="253"/>
      <c r="AA328" s="253"/>
      <c r="AB328" s="253"/>
      <c r="AC328" s="253"/>
      <c r="AD328" s="253"/>
      <c r="AE328" s="253"/>
      <c r="AF328" s="253"/>
      <c r="AG328" s="253"/>
      <c r="AH328" s="253"/>
      <c r="AI328" s="253"/>
      <c r="AJ328" s="253"/>
      <c r="AK328" s="253"/>
      <c r="AL328" s="253"/>
      <c r="AM328" s="253"/>
      <c r="AN328" s="253"/>
      <c r="AO328" s="253"/>
      <c r="AP328" s="253"/>
      <c r="AQ328" s="253"/>
      <c r="AR328" s="253"/>
      <c r="AS328" s="253"/>
      <c r="AT328" s="253"/>
      <c r="AU328" s="253"/>
      <c r="AV328" s="253"/>
      <c r="AW328" s="253"/>
      <c r="AX328" s="253"/>
      <c r="AY328" s="253"/>
      <c r="AZ328" s="253"/>
      <c r="BA328" s="253"/>
      <c r="BB328" s="253"/>
      <c r="BC328" s="253"/>
      <c r="BD328" s="253"/>
      <c r="BE328" s="253"/>
      <c r="BF328" s="253"/>
      <c r="BG328" s="253"/>
      <c r="BH328" s="253"/>
      <c r="BI328" s="253"/>
      <c r="BJ328" s="263" t="str">
        <f>HYPERLINK("#일위대가목록!A117","S1-2-1/4 →")</f>
        <v>S1-2-1/4 →</v>
      </c>
    </row>
    <row r="329" spans="1:62" ht="24" customHeight="1">
      <c r="A329" s="256" t="s">
        <v>68</v>
      </c>
      <c r="B329" s="256" t="s">
        <v>68</v>
      </c>
      <c r="C329" s="264"/>
      <c r="D329" s="254" t="s">
        <v>68</v>
      </c>
      <c r="E329" s="254"/>
      <c r="F329" s="258">
        <v>0</v>
      </c>
      <c r="G329" s="254"/>
      <c r="H329" s="258"/>
      <c r="I329" s="254"/>
      <c r="J329" s="258"/>
      <c r="K329" s="258"/>
      <c r="L329" s="258"/>
      <c r="M329" s="256"/>
      <c r="N329" s="253" t="s">
        <v>68</v>
      </c>
      <c r="O329" s="253"/>
      <c r="P329" s="253" t="s">
        <v>1109</v>
      </c>
      <c r="Q329" s="253" t="s">
        <v>68</v>
      </c>
      <c r="R329" s="253" t="s">
        <v>68</v>
      </c>
      <c r="S329" s="253"/>
      <c r="T329" s="253"/>
      <c r="U329" s="253"/>
      <c r="V329" s="253"/>
      <c r="W329" s="253"/>
      <c r="X329" s="253"/>
      <c r="Y329" s="253"/>
      <c r="Z329" s="253"/>
      <c r="AA329" s="253"/>
      <c r="AB329" s="253"/>
      <c r="AC329" s="253"/>
      <c r="AD329" s="253"/>
      <c r="AE329" s="253"/>
      <c r="AF329" s="253"/>
      <c r="AG329" s="253"/>
      <c r="AH329" s="253"/>
      <c r="AI329" s="253"/>
      <c r="AJ329" s="253"/>
      <c r="AK329" s="253"/>
      <c r="AL329" s="253"/>
      <c r="AM329" s="253"/>
      <c r="AN329" s="253"/>
      <c r="AO329" s="253"/>
      <c r="AP329" s="253"/>
      <c r="AQ329" s="253"/>
      <c r="AR329" s="253"/>
      <c r="AS329" s="253"/>
      <c r="AT329" s="253"/>
      <c r="AU329" s="253"/>
      <c r="AV329" s="253"/>
      <c r="AW329" s="253"/>
      <c r="AX329" s="253"/>
      <c r="AY329" s="253"/>
      <c r="AZ329" s="253"/>
      <c r="BA329" s="253"/>
      <c r="BB329" s="253"/>
      <c r="BC329" s="253"/>
      <c r="BD329" s="253"/>
      <c r="BE329" s="253"/>
      <c r="BF329" s="253"/>
      <c r="BG329" s="253"/>
      <c r="BH329" s="253"/>
      <c r="BI329" s="253"/>
      <c r="BJ329" s="253"/>
    </row>
    <row r="330" spans="1:62" ht="24" customHeight="1">
      <c r="A330" s="273" t="s">
        <v>1257</v>
      </c>
      <c r="B330" s="273" t="s">
        <v>68</v>
      </c>
      <c r="C330" s="274">
        <v>1</v>
      </c>
      <c r="D330" s="275" t="s">
        <v>1094</v>
      </c>
      <c r="E330" s="275"/>
      <c r="F330" s="276">
        <f>TRUNC(F331+F332+F333+F334+F335+F336+F337+F338+F339+F340+F341+F342+F343+F344+F345+F346+F347+F348,0)</f>
        <v>0</v>
      </c>
      <c r="G330" s="275"/>
      <c r="H330" s="276"/>
      <c r="I330" s="275"/>
      <c r="J330" s="276"/>
      <c r="K330" s="275"/>
      <c r="L330" s="276"/>
      <c r="M330" s="273"/>
      <c r="N330" s="253" t="s">
        <v>68</v>
      </c>
      <c r="O330" s="253" t="s">
        <v>1520</v>
      </c>
      <c r="P330" s="253"/>
      <c r="Q330" s="253"/>
      <c r="R330" s="253"/>
      <c r="S330" s="253"/>
      <c r="T330" s="253"/>
      <c r="U330" s="253"/>
      <c r="V330" s="253"/>
      <c r="W330" s="253"/>
      <c r="X330" s="253"/>
      <c r="Y330" s="253"/>
      <c r="Z330" s="253"/>
      <c r="AA330" s="253"/>
      <c r="AB330" s="253"/>
      <c r="AC330" s="253"/>
      <c r="AD330" s="253"/>
      <c r="AE330" s="253"/>
      <c r="AF330" s="253"/>
      <c r="AG330" s="253"/>
      <c r="AH330" s="253"/>
      <c r="AI330" s="253"/>
      <c r="AJ330" s="253"/>
      <c r="AK330" s="253"/>
      <c r="AL330" s="253"/>
      <c r="AM330" s="253"/>
      <c r="AN330" s="253"/>
      <c r="AO330" s="253"/>
      <c r="AP330" s="253"/>
      <c r="AQ330" s="253"/>
      <c r="AR330" s="253"/>
      <c r="AS330" s="253"/>
      <c r="AT330" s="253"/>
      <c r="AU330" s="253"/>
      <c r="AV330" s="253"/>
      <c r="AW330" s="253"/>
      <c r="AX330" s="253"/>
      <c r="AY330" s="253"/>
      <c r="AZ330" s="253"/>
      <c r="BA330" s="253"/>
      <c r="BB330" s="253"/>
      <c r="BC330" s="253"/>
      <c r="BD330" s="253"/>
      <c r="BE330" s="253"/>
      <c r="BF330" s="253"/>
      <c r="BG330" s="253"/>
      <c r="BH330" s="253"/>
      <c r="BI330" s="253"/>
      <c r="BJ330" s="253"/>
    </row>
    <row r="331" spans="1:62" ht="24" customHeight="1">
      <c r="A331" s="256" t="s">
        <v>1410</v>
      </c>
      <c r="B331" s="256" t="s">
        <v>1411</v>
      </c>
      <c r="C331" s="257">
        <v>1</v>
      </c>
      <c r="D331" s="254" t="s">
        <v>1412</v>
      </c>
      <c r="E331" s="258">
        <f>일위목록!E118</f>
        <v>0</v>
      </c>
      <c r="F331" s="258">
        <f t="shared" ref="F331:F348" si="18">TRUNC(E331*C331,0)</f>
        <v>0</v>
      </c>
      <c r="G331" s="258">
        <f>일위목록!F118</f>
        <v>0</v>
      </c>
      <c r="H331" s="258"/>
      <c r="I331" s="258"/>
      <c r="J331" s="258"/>
      <c r="K331" s="258"/>
      <c r="L331" s="258"/>
      <c r="M331" s="256"/>
      <c r="N331" s="253" t="s">
        <v>68</v>
      </c>
      <c r="O331" s="253"/>
      <c r="P331" s="253" t="s">
        <v>1095</v>
      </c>
      <c r="Q331" s="253" t="s">
        <v>68</v>
      </c>
      <c r="R331" s="253" t="s">
        <v>1413</v>
      </c>
      <c r="S331" s="253"/>
      <c r="T331" s="253" t="s">
        <v>1129</v>
      </c>
      <c r="U331" s="253"/>
      <c r="V331" s="253"/>
      <c r="W331" s="253"/>
      <c r="X331" s="253"/>
      <c r="Y331" s="253"/>
      <c r="Z331" s="253"/>
      <c r="AA331" s="253"/>
      <c r="AB331" s="253"/>
      <c r="AC331" s="253"/>
      <c r="AD331" s="253"/>
      <c r="AE331" s="253"/>
      <c r="AF331" s="253"/>
      <c r="AG331" s="253"/>
      <c r="AH331" s="253"/>
      <c r="AI331" s="253"/>
      <c r="AJ331" s="253"/>
      <c r="AK331" s="253"/>
      <c r="AL331" s="253"/>
      <c r="AM331" s="253"/>
      <c r="AN331" s="253"/>
      <c r="AO331" s="253"/>
      <c r="AP331" s="253"/>
      <c r="AQ331" s="253"/>
      <c r="AR331" s="253"/>
      <c r="AS331" s="253"/>
      <c r="AT331" s="253"/>
      <c r="AU331" s="253"/>
      <c r="AV331" s="253"/>
      <c r="AW331" s="253"/>
      <c r="AX331" s="253"/>
      <c r="AY331" s="253"/>
      <c r="AZ331" s="253"/>
      <c r="BA331" s="253"/>
      <c r="BB331" s="253"/>
      <c r="BC331" s="253"/>
      <c r="BD331" s="253"/>
      <c r="BE331" s="253"/>
      <c r="BF331" s="253"/>
      <c r="BG331" s="253"/>
      <c r="BH331" s="253"/>
      <c r="BI331" s="253"/>
      <c r="BJ331" s="263" t="str">
        <f>HYPERLINK("#일위대가목록!A118","S4-2-2/1 →")</f>
        <v>S4-2-2/1 →</v>
      </c>
    </row>
    <row r="332" spans="1:62" ht="24" customHeight="1">
      <c r="A332" s="256" t="s">
        <v>1416</v>
      </c>
      <c r="B332" s="256" t="s">
        <v>1417</v>
      </c>
      <c r="C332" s="257">
        <v>15</v>
      </c>
      <c r="D332" s="254" t="s">
        <v>1033</v>
      </c>
      <c r="E332" s="258">
        <f>자재조서!E54</f>
        <v>0</v>
      </c>
      <c r="F332" s="258">
        <f t="shared" si="18"/>
        <v>0</v>
      </c>
      <c r="G332" s="258">
        <v>0</v>
      </c>
      <c r="H332" s="258"/>
      <c r="I332" s="258"/>
      <c r="J332" s="258"/>
      <c r="K332" s="258"/>
      <c r="L332" s="258"/>
      <c r="M332" s="256"/>
      <c r="N332" s="253" t="s">
        <v>68</v>
      </c>
      <c r="O332" s="253"/>
      <c r="P332" s="253" t="s">
        <v>1098</v>
      </c>
      <c r="Q332" s="253" t="s">
        <v>68</v>
      </c>
      <c r="R332" s="253" t="s">
        <v>1418</v>
      </c>
      <c r="S332" s="253"/>
      <c r="T332" s="253"/>
      <c r="U332" s="253"/>
      <c r="V332" s="253"/>
      <c r="W332" s="253"/>
      <c r="X332" s="253"/>
      <c r="Y332" s="253"/>
      <c r="Z332" s="253"/>
      <c r="AA332" s="253"/>
      <c r="AB332" s="253"/>
      <c r="AC332" s="253"/>
      <c r="AD332" s="253"/>
      <c r="AE332" s="253"/>
      <c r="AF332" s="253"/>
      <c r="AG332" s="253"/>
      <c r="AH332" s="253"/>
      <c r="AI332" s="253"/>
      <c r="AJ332" s="253"/>
      <c r="AK332" s="253"/>
      <c r="AL332" s="253"/>
      <c r="AM332" s="253"/>
      <c r="AN332" s="253"/>
      <c r="AO332" s="253"/>
      <c r="AP332" s="253"/>
      <c r="AQ332" s="253"/>
      <c r="AR332" s="253"/>
      <c r="AS332" s="253"/>
      <c r="AT332" s="253"/>
      <c r="AU332" s="253"/>
      <c r="AV332" s="253"/>
      <c r="AW332" s="253"/>
      <c r="AX332" s="253"/>
      <c r="AY332" s="253"/>
      <c r="AZ332" s="253"/>
      <c r="BA332" s="253"/>
      <c r="BB332" s="253"/>
      <c r="BC332" s="253"/>
      <c r="BD332" s="253"/>
      <c r="BE332" s="253"/>
      <c r="BF332" s="253"/>
      <c r="BG332" s="253"/>
      <c r="BH332" s="253"/>
      <c r="BI332" s="253"/>
      <c r="BJ332" s="263" t="str">
        <f>HYPERLINK("#자재조서!A54","MZZ1011427 →")</f>
        <v>MZZ1011427 →</v>
      </c>
    </row>
    <row r="333" spans="1:62" ht="24" customHeight="1">
      <c r="A333" s="256" t="s">
        <v>1419</v>
      </c>
      <c r="B333" s="256" t="s">
        <v>1417</v>
      </c>
      <c r="C333" s="257">
        <v>2</v>
      </c>
      <c r="D333" s="254" t="s">
        <v>1412</v>
      </c>
      <c r="E333" s="258">
        <f>자재조서!E59</f>
        <v>0</v>
      </c>
      <c r="F333" s="258">
        <f t="shared" si="18"/>
        <v>0</v>
      </c>
      <c r="G333" s="258">
        <v>0</v>
      </c>
      <c r="H333" s="258"/>
      <c r="I333" s="258"/>
      <c r="J333" s="258"/>
      <c r="K333" s="258"/>
      <c r="L333" s="258"/>
      <c r="M333" s="256"/>
      <c r="N333" s="253" t="s">
        <v>68</v>
      </c>
      <c r="O333" s="253"/>
      <c r="P333" s="253" t="s">
        <v>1101</v>
      </c>
      <c r="Q333" s="253" t="s">
        <v>68</v>
      </c>
      <c r="R333" s="253" t="s">
        <v>1420</v>
      </c>
      <c r="S333" s="253"/>
      <c r="T333" s="253"/>
      <c r="U333" s="253"/>
      <c r="V333" s="253"/>
      <c r="W333" s="253"/>
      <c r="X333" s="253"/>
      <c r="Y333" s="253"/>
      <c r="Z333" s="253"/>
      <c r="AA333" s="253"/>
      <c r="AB333" s="253"/>
      <c r="AC333" s="253"/>
      <c r="AD333" s="253"/>
      <c r="AE333" s="253"/>
      <c r="AF333" s="253"/>
      <c r="AG333" s="253"/>
      <c r="AH333" s="253"/>
      <c r="AI333" s="253"/>
      <c r="AJ333" s="253"/>
      <c r="AK333" s="253"/>
      <c r="AL333" s="253"/>
      <c r="AM333" s="253"/>
      <c r="AN333" s="253"/>
      <c r="AO333" s="253"/>
      <c r="AP333" s="253"/>
      <c r="AQ333" s="253"/>
      <c r="AR333" s="253"/>
      <c r="AS333" s="253"/>
      <c r="AT333" s="253"/>
      <c r="AU333" s="253"/>
      <c r="AV333" s="253"/>
      <c r="AW333" s="253"/>
      <c r="AX333" s="253"/>
      <c r="AY333" s="253"/>
      <c r="AZ333" s="253"/>
      <c r="BA333" s="253"/>
      <c r="BB333" s="253"/>
      <c r="BC333" s="253"/>
      <c r="BD333" s="253"/>
      <c r="BE333" s="253"/>
      <c r="BF333" s="253"/>
      <c r="BG333" s="253"/>
      <c r="BH333" s="253"/>
      <c r="BI333" s="253"/>
      <c r="BJ333" s="263" t="str">
        <f>HYPERLINK("#자재조서!A59","MZZ1011523 →")</f>
        <v>MZZ1011523 →</v>
      </c>
    </row>
    <row r="334" spans="1:62" ht="24" customHeight="1">
      <c r="A334" s="256" t="s">
        <v>1421</v>
      </c>
      <c r="B334" s="256" t="s">
        <v>1417</v>
      </c>
      <c r="C334" s="257">
        <v>1</v>
      </c>
      <c r="D334" s="254" t="s">
        <v>1412</v>
      </c>
      <c r="E334" s="258">
        <f>자재조서!E57</f>
        <v>0</v>
      </c>
      <c r="F334" s="258">
        <f t="shared" si="18"/>
        <v>0</v>
      </c>
      <c r="G334" s="258">
        <v>0</v>
      </c>
      <c r="H334" s="258"/>
      <c r="I334" s="258"/>
      <c r="J334" s="258"/>
      <c r="K334" s="258"/>
      <c r="L334" s="258"/>
      <c r="M334" s="256"/>
      <c r="N334" s="253" t="s">
        <v>68</v>
      </c>
      <c r="O334" s="253"/>
      <c r="P334" s="253" t="s">
        <v>1104</v>
      </c>
      <c r="Q334" s="253" t="s">
        <v>68</v>
      </c>
      <c r="R334" s="253" t="s">
        <v>1422</v>
      </c>
      <c r="S334" s="253"/>
      <c r="T334" s="253"/>
      <c r="U334" s="253"/>
      <c r="V334" s="253"/>
      <c r="W334" s="253"/>
      <c r="X334" s="253"/>
      <c r="Y334" s="253"/>
      <c r="Z334" s="253"/>
      <c r="AA334" s="253"/>
      <c r="AB334" s="253"/>
      <c r="AC334" s="253"/>
      <c r="AD334" s="253"/>
      <c r="AE334" s="253"/>
      <c r="AF334" s="253"/>
      <c r="AG334" s="253"/>
      <c r="AH334" s="253"/>
      <c r="AI334" s="253"/>
      <c r="AJ334" s="253"/>
      <c r="AK334" s="253"/>
      <c r="AL334" s="253"/>
      <c r="AM334" s="253"/>
      <c r="AN334" s="253"/>
      <c r="AO334" s="253"/>
      <c r="AP334" s="253"/>
      <c r="AQ334" s="253"/>
      <c r="AR334" s="253"/>
      <c r="AS334" s="253"/>
      <c r="AT334" s="253"/>
      <c r="AU334" s="253"/>
      <c r="AV334" s="253"/>
      <c r="AW334" s="253"/>
      <c r="AX334" s="253"/>
      <c r="AY334" s="253"/>
      <c r="AZ334" s="253"/>
      <c r="BA334" s="253"/>
      <c r="BB334" s="253"/>
      <c r="BC334" s="253"/>
      <c r="BD334" s="253"/>
      <c r="BE334" s="253"/>
      <c r="BF334" s="253"/>
      <c r="BG334" s="253"/>
      <c r="BH334" s="253"/>
      <c r="BI334" s="253"/>
      <c r="BJ334" s="263" t="str">
        <f>HYPERLINK("#자재조서!A57","MZZ1011473 →")</f>
        <v>MZZ1011473 →</v>
      </c>
    </row>
    <row r="335" spans="1:62" ht="24" customHeight="1">
      <c r="A335" s="256" t="s">
        <v>1423</v>
      </c>
      <c r="B335" s="256" t="s">
        <v>1417</v>
      </c>
      <c r="C335" s="257">
        <v>2</v>
      </c>
      <c r="D335" s="254" t="s">
        <v>1412</v>
      </c>
      <c r="E335" s="258">
        <f>자재조서!E55</f>
        <v>0</v>
      </c>
      <c r="F335" s="258">
        <f t="shared" si="18"/>
        <v>0</v>
      </c>
      <c r="G335" s="258">
        <v>0</v>
      </c>
      <c r="H335" s="258"/>
      <c r="I335" s="258"/>
      <c r="J335" s="258"/>
      <c r="K335" s="258"/>
      <c r="L335" s="258"/>
      <c r="M335" s="256"/>
      <c r="N335" s="253" t="s">
        <v>68</v>
      </c>
      <c r="O335" s="253"/>
      <c r="P335" s="253" t="s">
        <v>1107</v>
      </c>
      <c r="Q335" s="253" t="s">
        <v>68</v>
      </c>
      <c r="R335" s="253" t="s">
        <v>1424</v>
      </c>
      <c r="S335" s="253"/>
      <c r="T335" s="253"/>
      <c r="U335" s="253"/>
      <c r="V335" s="253"/>
      <c r="W335" s="253"/>
      <c r="X335" s="253"/>
      <c r="Y335" s="253"/>
      <c r="Z335" s="253"/>
      <c r="AA335" s="253"/>
      <c r="AB335" s="253"/>
      <c r="AC335" s="253"/>
      <c r="AD335" s="253"/>
      <c r="AE335" s="253"/>
      <c r="AF335" s="253"/>
      <c r="AG335" s="253"/>
      <c r="AH335" s="253"/>
      <c r="AI335" s="253"/>
      <c r="AJ335" s="253"/>
      <c r="AK335" s="253"/>
      <c r="AL335" s="253"/>
      <c r="AM335" s="253"/>
      <c r="AN335" s="253"/>
      <c r="AO335" s="253"/>
      <c r="AP335" s="253"/>
      <c r="AQ335" s="253"/>
      <c r="AR335" s="253"/>
      <c r="AS335" s="253"/>
      <c r="AT335" s="253"/>
      <c r="AU335" s="253"/>
      <c r="AV335" s="253"/>
      <c r="AW335" s="253"/>
      <c r="AX335" s="253"/>
      <c r="AY335" s="253"/>
      <c r="AZ335" s="253"/>
      <c r="BA335" s="253"/>
      <c r="BB335" s="253"/>
      <c r="BC335" s="253"/>
      <c r="BD335" s="253"/>
      <c r="BE335" s="253"/>
      <c r="BF335" s="253"/>
      <c r="BG335" s="253"/>
      <c r="BH335" s="253"/>
      <c r="BI335" s="253"/>
      <c r="BJ335" s="263" t="str">
        <f>HYPERLINK("#자재조서!A55","MZZ1011442 →")</f>
        <v>MZZ1011442 →</v>
      </c>
    </row>
    <row r="336" spans="1:62" ht="24" customHeight="1">
      <c r="A336" s="256" t="s">
        <v>1425</v>
      </c>
      <c r="B336" s="256" t="s">
        <v>1426</v>
      </c>
      <c r="C336" s="257">
        <v>15</v>
      </c>
      <c r="D336" s="254" t="s">
        <v>1033</v>
      </c>
      <c r="E336" s="258">
        <f>일위목록!E120</f>
        <v>0</v>
      </c>
      <c r="F336" s="258">
        <f t="shared" si="18"/>
        <v>0</v>
      </c>
      <c r="G336" s="258">
        <f>일위목록!F120</f>
        <v>0</v>
      </c>
      <c r="H336" s="258"/>
      <c r="I336" s="258"/>
      <c r="J336" s="258"/>
      <c r="K336" s="258"/>
      <c r="L336" s="258"/>
      <c r="M336" s="256"/>
      <c r="N336" s="253" t="s">
        <v>68</v>
      </c>
      <c r="O336" s="253"/>
      <c r="P336" s="253" t="s">
        <v>1108</v>
      </c>
      <c r="Q336" s="253" t="s">
        <v>68</v>
      </c>
      <c r="R336" s="253" t="s">
        <v>1427</v>
      </c>
      <c r="S336" s="253"/>
      <c r="T336" s="253" t="s">
        <v>1129</v>
      </c>
      <c r="U336" s="253"/>
      <c r="V336" s="253"/>
      <c r="W336" s="253"/>
      <c r="X336" s="253"/>
      <c r="Y336" s="253"/>
      <c r="Z336" s="253"/>
      <c r="AA336" s="253"/>
      <c r="AB336" s="253"/>
      <c r="AC336" s="253"/>
      <c r="AD336" s="253"/>
      <c r="AE336" s="253"/>
      <c r="AF336" s="253"/>
      <c r="AG336" s="253"/>
      <c r="AH336" s="253"/>
      <c r="AI336" s="253"/>
      <c r="AJ336" s="253"/>
      <c r="AK336" s="253"/>
      <c r="AL336" s="253"/>
      <c r="AM336" s="253"/>
      <c r="AN336" s="253"/>
      <c r="AO336" s="253"/>
      <c r="AP336" s="253"/>
      <c r="AQ336" s="253"/>
      <c r="AR336" s="253"/>
      <c r="AS336" s="253"/>
      <c r="AT336" s="253"/>
      <c r="AU336" s="253"/>
      <c r="AV336" s="253"/>
      <c r="AW336" s="253"/>
      <c r="AX336" s="253"/>
      <c r="AY336" s="253"/>
      <c r="AZ336" s="253"/>
      <c r="BA336" s="253"/>
      <c r="BB336" s="253"/>
      <c r="BC336" s="253"/>
      <c r="BD336" s="253"/>
      <c r="BE336" s="253"/>
      <c r="BF336" s="253"/>
      <c r="BG336" s="253"/>
      <c r="BH336" s="253"/>
      <c r="BI336" s="253"/>
      <c r="BJ336" s="263" t="str">
        <f>HYPERLINK("#일위대가목록!A120","S1-5-2/05 →")</f>
        <v>S1-5-2/05 →</v>
      </c>
    </row>
    <row r="337" spans="1:62" ht="24" customHeight="1">
      <c r="A337" s="256" t="s">
        <v>1428</v>
      </c>
      <c r="B337" s="256" t="s">
        <v>1429</v>
      </c>
      <c r="C337" s="257">
        <v>15</v>
      </c>
      <c r="D337" s="254" t="s">
        <v>1033</v>
      </c>
      <c r="E337" s="258">
        <f>자재조서!E42</f>
        <v>0</v>
      </c>
      <c r="F337" s="258">
        <f t="shared" si="18"/>
        <v>0</v>
      </c>
      <c r="G337" s="258">
        <v>0</v>
      </c>
      <c r="H337" s="258"/>
      <c r="I337" s="258"/>
      <c r="J337" s="258"/>
      <c r="K337" s="258"/>
      <c r="L337" s="258"/>
      <c r="M337" s="256"/>
      <c r="N337" s="253" t="s">
        <v>68</v>
      </c>
      <c r="O337" s="253"/>
      <c r="P337" s="253" t="s">
        <v>1109</v>
      </c>
      <c r="Q337" s="253" t="s">
        <v>68</v>
      </c>
      <c r="R337" s="253" t="s">
        <v>1430</v>
      </c>
      <c r="S337" s="253"/>
      <c r="T337" s="253"/>
      <c r="U337" s="253"/>
      <c r="V337" s="253"/>
      <c r="W337" s="253"/>
      <c r="X337" s="253"/>
      <c r="Y337" s="253"/>
      <c r="Z337" s="253"/>
      <c r="AA337" s="253"/>
      <c r="AB337" s="253"/>
      <c r="AC337" s="253"/>
      <c r="AD337" s="253"/>
      <c r="AE337" s="253"/>
      <c r="AF337" s="253"/>
      <c r="AG337" s="253"/>
      <c r="AH337" s="253"/>
      <c r="AI337" s="253"/>
      <c r="AJ337" s="253"/>
      <c r="AK337" s="253"/>
      <c r="AL337" s="253"/>
      <c r="AM337" s="253"/>
      <c r="AN337" s="253"/>
      <c r="AO337" s="253"/>
      <c r="AP337" s="253"/>
      <c r="AQ337" s="253"/>
      <c r="AR337" s="253"/>
      <c r="AS337" s="253"/>
      <c r="AT337" s="253"/>
      <c r="AU337" s="253"/>
      <c r="AV337" s="253"/>
      <c r="AW337" s="253"/>
      <c r="AX337" s="253"/>
      <c r="AY337" s="253"/>
      <c r="AZ337" s="253"/>
      <c r="BA337" s="253"/>
      <c r="BB337" s="253"/>
      <c r="BC337" s="253"/>
      <c r="BD337" s="253"/>
      <c r="BE337" s="253"/>
      <c r="BF337" s="253"/>
      <c r="BG337" s="253"/>
      <c r="BH337" s="253"/>
      <c r="BI337" s="253"/>
      <c r="BJ337" s="263" t="str">
        <f>HYPERLINK("#자재조서!A42","MZZ1002902 →")</f>
        <v>MZZ1002902 →</v>
      </c>
    </row>
    <row r="338" spans="1:62" ht="24" customHeight="1">
      <c r="A338" s="256" t="s">
        <v>1419</v>
      </c>
      <c r="B338" s="256" t="s">
        <v>1431</v>
      </c>
      <c r="C338" s="257">
        <v>2</v>
      </c>
      <c r="D338" s="254" t="s">
        <v>1412</v>
      </c>
      <c r="E338" s="258">
        <f>자재조서!E60</f>
        <v>0</v>
      </c>
      <c r="F338" s="258">
        <f t="shared" si="18"/>
        <v>0</v>
      </c>
      <c r="G338" s="258">
        <v>0</v>
      </c>
      <c r="H338" s="258"/>
      <c r="I338" s="258"/>
      <c r="J338" s="258"/>
      <c r="K338" s="258"/>
      <c r="L338" s="258"/>
      <c r="M338" s="256"/>
      <c r="N338" s="253" t="s">
        <v>68</v>
      </c>
      <c r="O338" s="253"/>
      <c r="P338" s="253" t="s">
        <v>1110</v>
      </c>
      <c r="Q338" s="253" t="s">
        <v>68</v>
      </c>
      <c r="R338" s="253" t="s">
        <v>1432</v>
      </c>
      <c r="S338" s="253"/>
      <c r="T338" s="253"/>
      <c r="U338" s="253"/>
      <c r="V338" s="253"/>
      <c r="W338" s="253"/>
      <c r="X338" s="253"/>
      <c r="Y338" s="253"/>
      <c r="Z338" s="253"/>
      <c r="AA338" s="253"/>
      <c r="AB338" s="253"/>
      <c r="AC338" s="253"/>
      <c r="AD338" s="253"/>
      <c r="AE338" s="253"/>
      <c r="AF338" s="253"/>
      <c r="AG338" s="253"/>
      <c r="AH338" s="253"/>
      <c r="AI338" s="253"/>
      <c r="AJ338" s="253"/>
      <c r="AK338" s="253"/>
      <c r="AL338" s="253"/>
      <c r="AM338" s="253"/>
      <c r="AN338" s="253"/>
      <c r="AO338" s="253"/>
      <c r="AP338" s="253"/>
      <c r="AQ338" s="253"/>
      <c r="AR338" s="253"/>
      <c r="AS338" s="253"/>
      <c r="AT338" s="253"/>
      <c r="AU338" s="253"/>
      <c r="AV338" s="253"/>
      <c r="AW338" s="253"/>
      <c r="AX338" s="253"/>
      <c r="AY338" s="253"/>
      <c r="AZ338" s="253"/>
      <c r="BA338" s="253"/>
      <c r="BB338" s="253"/>
      <c r="BC338" s="253"/>
      <c r="BD338" s="253"/>
      <c r="BE338" s="253"/>
      <c r="BF338" s="253"/>
      <c r="BG338" s="253"/>
      <c r="BH338" s="253"/>
      <c r="BI338" s="253"/>
      <c r="BJ338" s="263" t="str">
        <f>HYPERLINK("#자재조서!A60","MZZ1011527 →")</f>
        <v>MZZ1011527 →</v>
      </c>
    </row>
    <row r="339" spans="1:62" ht="24" customHeight="1">
      <c r="A339" s="256" t="s">
        <v>1423</v>
      </c>
      <c r="B339" s="256" t="s">
        <v>1431</v>
      </c>
      <c r="C339" s="257">
        <v>1</v>
      </c>
      <c r="D339" s="254" t="s">
        <v>1412</v>
      </c>
      <c r="E339" s="258">
        <f>자재조서!E56</f>
        <v>0</v>
      </c>
      <c r="F339" s="258">
        <f t="shared" si="18"/>
        <v>0</v>
      </c>
      <c r="G339" s="258">
        <v>0</v>
      </c>
      <c r="H339" s="258"/>
      <c r="I339" s="258"/>
      <c r="J339" s="258"/>
      <c r="K339" s="258"/>
      <c r="L339" s="258"/>
      <c r="M339" s="256"/>
      <c r="N339" s="253" t="s">
        <v>68</v>
      </c>
      <c r="O339" s="253"/>
      <c r="P339" s="253" t="s">
        <v>1111</v>
      </c>
      <c r="Q339" s="253" t="s">
        <v>68</v>
      </c>
      <c r="R339" s="253" t="s">
        <v>1433</v>
      </c>
      <c r="S339" s="253"/>
      <c r="T339" s="253"/>
      <c r="U339" s="253"/>
      <c r="V339" s="253"/>
      <c r="W339" s="253"/>
      <c r="X339" s="253"/>
      <c r="Y339" s="253"/>
      <c r="Z339" s="253"/>
      <c r="AA339" s="253"/>
      <c r="AB339" s="253"/>
      <c r="AC339" s="253"/>
      <c r="AD339" s="253"/>
      <c r="AE339" s="253"/>
      <c r="AF339" s="253"/>
      <c r="AG339" s="253"/>
      <c r="AH339" s="253"/>
      <c r="AI339" s="253"/>
      <c r="AJ339" s="253"/>
      <c r="AK339" s="253"/>
      <c r="AL339" s="253"/>
      <c r="AM339" s="253"/>
      <c r="AN339" s="253"/>
      <c r="AO339" s="253"/>
      <c r="AP339" s="253"/>
      <c r="AQ339" s="253"/>
      <c r="AR339" s="253"/>
      <c r="AS339" s="253"/>
      <c r="AT339" s="253"/>
      <c r="AU339" s="253"/>
      <c r="AV339" s="253"/>
      <c r="AW339" s="253"/>
      <c r="AX339" s="253"/>
      <c r="AY339" s="253"/>
      <c r="AZ339" s="253"/>
      <c r="BA339" s="253"/>
      <c r="BB339" s="253"/>
      <c r="BC339" s="253"/>
      <c r="BD339" s="253"/>
      <c r="BE339" s="253"/>
      <c r="BF339" s="253"/>
      <c r="BG339" s="253"/>
      <c r="BH339" s="253"/>
      <c r="BI339" s="253"/>
      <c r="BJ339" s="263" t="str">
        <f>HYPERLINK("#자재조서!A56","MZZ1011446 →")</f>
        <v>MZZ1011446 →</v>
      </c>
    </row>
    <row r="340" spans="1:62" ht="24" customHeight="1">
      <c r="A340" s="256" t="s">
        <v>1421</v>
      </c>
      <c r="B340" s="256" t="s">
        <v>1431</v>
      </c>
      <c r="C340" s="257">
        <v>2</v>
      </c>
      <c r="D340" s="254" t="s">
        <v>1412</v>
      </c>
      <c r="E340" s="258">
        <f>자재조서!E58</f>
        <v>0</v>
      </c>
      <c r="F340" s="258">
        <f t="shared" si="18"/>
        <v>0</v>
      </c>
      <c r="G340" s="258">
        <v>0</v>
      </c>
      <c r="H340" s="258"/>
      <c r="I340" s="258"/>
      <c r="J340" s="258"/>
      <c r="K340" s="258"/>
      <c r="L340" s="258"/>
      <c r="M340" s="256"/>
      <c r="N340" s="253" t="s">
        <v>68</v>
      </c>
      <c r="O340" s="253"/>
      <c r="P340" s="253" t="s">
        <v>1112</v>
      </c>
      <c r="Q340" s="253" t="s">
        <v>68</v>
      </c>
      <c r="R340" s="253" t="s">
        <v>1434</v>
      </c>
      <c r="S340" s="253"/>
      <c r="T340" s="253"/>
      <c r="U340" s="253"/>
      <c r="V340" s="253"/>
      <c r="W340" s="253"/>
      <c r="X340" s="253"/>
      <c r="Y340" s="253"/>
      <c r="Z340" s="253"/>
      <c r="AA340" s="253"/>
      <c r="AB340" s="253"/>
      <c r="AC340" s="253"/>
      <c r="AD340" s="253"/>
      <c r="AE340" s="253"/>
      <c r="AF340" s="253"/>
      <c r="AG340" s="253"/>
      <c r="AH340" s="253"/>
      <c r="AI340" s="253"/>
      <c r="AJ340" s="253"/>
      <c r="AK340" s="253"/>
      <c r="AL340" s="253"/>
      <c r="AM340" s="253"/>
      <c r="AN340" s="253"/>
      <c r="AO340" s="253"/>
      <c r="AP340" s="253"/>
      <c r="AQ340" s="253"/>
      <c r="AR340" s="253"/>
      <c r="AS340" s="253"/>
      <c r="AT340" s="253"/>
      <c r="AU340" s="253"/>
      <c r="AV340" s="253"/>
      <c r="AW340" s="253"/>
      <c r="AX340" s="253"/>
      <c r="AY340" s="253"/>
      <c r="AZ340" s="253"/>
      <c r="BA340" s="253"/>
      <c r="BB340" s="253"/>
      <c r="BC340" s="253"/>
      <c r="BD340" s="253"/>
      <c r="BE340" s="253"/>
      <c r="BF340" s="253"/>
      <c r="BG340" s="253"/>
      <c r="BH340" s="253"/>
      <c r="BI340" s="253"/>
      <c r="BJ340" s="263" t="str">
        <f>HYPERLINK("#자재조서!A58","MZZ1011476 →")</f>
        <v>MZZ1011476 →</v>
      </c>
    </row>
    <row r="341" spans="1:62" ht="24" customHeight="1">
      <c r="A341" s="256" t="s">
        <v>1425</v>
      </c>
      <c r="B341" s="256" t="s">
        <v>635</v>
      </c>
      <c r="C341" s="257">
        <v>15</v>
      </c>
      <c r="D341" s="254" t="s">
        <v>1033</v>
      </c>
      <c r="E341" s="258">
        <f>일위목록!E121</f>
        <v>0</v>
      </c>
      <c r="F341" s="258">
        <f t="shared" si="18"/>
        <v>0</v>
      </c>
      <c r="G341" s="258">
        <f>일위목록!F121</f>
        <v>0</v>
      </c>
      <c r="H341" s="258"/>
      <c r="I341" s="258"/>
      <c r="J341" s="258"/>
      <c r="K341" s="258"/>
      <c r="L341" s="258"/>
      <c r="M341" s="256"/>
      <c r="N341" s="253" t="s">
        <v>68</v>
      </c>
      <c r="O341" s="253"/>
      <c r="P341" s="253" t="s">
        <v>1113</v>
      </c>
      <c r="Q341" s="253" t="s">
        <v>68</v>
      </c>
      <c r="R341" s="253" t="s">
        <v>1435</v>
      </c>
      <c r="S341" s="253"/>
      <c r="T341" s="253" t="s">
        <v>1129</v>
      </c>
      <c r="U341" s="253"/>
      <c r="V341" s="253"/>
      <c r="W341" s="253"/>
      <c r="X341" s="253"/>
      <c r="Y341" s="253"/>
      <c r="Z341" s="253"/>
      <c r="AA341" s="253"/>
      <c r="AB341" s="253"/>
      <c r="AC341" s="253"/>
      <c r="AD341" s="253"/>
      <c r="AE341" s="253"/>
      <c r="AF341" s="253"/>
      <c r="AG341" s="253"/>
      <c r="AH341" s="253"/>
      <c r="AI341" s="253"/>
      <c r="AJ341" s="253"/>
      <c r="AK341" s="253"/>
      <c r="AL341" s="253"/>
      <c r="AM341" s="253"/>
      <c r="AN341" s="253"/>
      <c r="AO341" s="253"/>
      <c r="AP341" s="253"/>
      <c r="AQ341" s="253"/>
      <c r="AR341" s="253"/>
      <c r="AS341" s="253"/>
      <c r="AT341" s="253"/>
      <c r="AU341" s="253"/>
      <c r="AV341" s="253"/>
      <c r="AW341" s="253"/>
      <c r="AX341" s="253"/>
      <c r="AY341" s="253"/>
      <c r="AZ341" s="253"/>
      <c r="BA341" s="253"/>
      <c r="BB341" s="253"/>
      <c r="BC341" s="253"/>
      <c r="BD341" s="253"/>
      <c r="BE341" s="253"/>
      <c r="BF341" s="253"/>
      <c r="BG341" s="253"/>
      <c r="BH341" s="253"/>
      <c r="BI341" s="253"/>
      <c r="BJ341" s="263" t="str">
        <f>HYPERLINK("#일위대가목록!A121","S1-5-2/09 →")</f>
        <v>S1-5-2/09 →</v>
      </c>
    </row>
    <row r="342" spans="1:62" ht="24" customHeight="1">
      <c r="A342" s="256" t="s">
        <v>1436</v>
      </c>
      <c r="B342" s="256" t="s">
        <v>1437</v>
      </c>
      <c r="C342" s="257">
        <v>1</v>
      </c>
      <c r="D342" s="254" t="s">
        <v>149</v>
      </c>
      <c r="E342" s="258">
        <f>일위목록!E122</f>
        <v>0</v>
      </c>
      <c r="F342" s="258">
        <f t="shared" si="18"/>
        <v>0</v>
      </c>
      <c r="G342" s="258">
        <f>일위목록!F122</f>
        <v>0</v>
      </c>
      <c r="H342" s="258"/>
      <c r="I342" s="258"/>
      <c r="J342" s="258"/>
      <c r="K342" s="258"/>
      <c r="L342" s="258"/>
      <c r="M342" s="256"/>
      <c r="N342" s="253" t="s">
        <v>68</v>
      </c>
      <c r="O342" s="253"/>
      <c r="P342" s="253" t="s">
        <v>1114</v>
      </c>
      <c r="Q342" s="253" t="s">
        <v>68</v>
      </c>
      <c r="R342" s="253" t="s">
        <v>1438</v>
      </c>
      <c r="S342" s="253"/>
      <c r="T342" s="253" t="s">
        <v>1129</v>
      </c>
      <c r="U342" s="253"/>
      <c r="V342" s="253"/>
      <c r="W342" s="253"/>
      <c r="X342" s="253"/>
      <c r="Y342" s="253"/>
      <c r="Z342" s="253"/>
      <c r="AA342" s="253"/>
      <c r="AB342" s="253"/>
      <c r="AC342" s="253"/>
      <c r="AD342" s="253"/>
      <c r="AE342" s="253"/>
      <c r="AF342" s="253"/>
      <c r="AG342" s="253"/>
      <c r="AH342" s="253"/>
      <c r="AI342" s="253"/>
      <c r="AJ342" s="253"/>
      <c r="AK342" s="253"/>
      <c r="AL342" s="253"/>
      <c r="AM342" s="253"/>
      <c r="AN342" s="253"/>
      <c r="AO342" s="253"/>
      <c r="AP342" s="253"/>
      <c r="AQ342" s="253"/>
      <c r="AR342" s="253"/>
      <c r="AS342" s="253"/>
      <c r="AT342" s="253"/>
      <c r="AU342" s="253"/>
      <c r="AV342" s="253"/>
      <c r="AW342" s="253"/>
      <c r="AX342" s="253"/>
      <c r="AY342" s="253"/>
      <c r="AZ342" s="253"/>
      <c r="BA342" s="253"/>
      <c r="BB342" s="253"/>
      <c r="BC342" s="253"/>
      <c r="BD342" s="253"/>
      <c r="BE342" s="253"/>
      <c r="BF342" s="253"/>
      <c r="BG342" s="253"/>
      <c r="BH342" s="253"/>
      <c r="BI342" s="253"/>
      <c r="BJ342" s="263" t="str">
        <f>HYPERLINK("#일위대가목록!A122","S8-4-2/1 →")</f>
        <v>S8-4-2/1 →</v>
      </c>
    </row>
    <row r="343" spans="1:62" ht="24" customHeight="1">
      <c r="A343" s="256" t="s">
        <v>1447</v>
      </c>
      <c r="B343" s="256" t="s">
        <v>1565</v>
      </c>
      <c r="C343" s="257">
        <v>1</v>
      </c>
      <c r="D343" s="254" t="s">
        <v>1412</v>
      </c>
      <c r="E343" s="258">
        <f>일위목록!E147</f>
        <v>0</v>
      </c>
      <c r="F343" s="258">
        <f t="shared" si="18"/>
        <v>0</v>
      </c>
      <c r="G343" s="258">
        <f>일위목록!F147</f>
        <v>0</v>
      </c>
      <c r="H343" s="258"/>
      <c r="I343" s="258"/>
      <c r="J343" s="258"/>
      <c r="K343" s="258"/>
      <c r="L343" s="258"/>
      <c r="M343" s="256"/>
      <c r="N343" s="253" t="s">
        <v>68</v>
      </c>
      <c r="O343" s="253"/>
      <c r="P343" s="253" t="s">
        <v>1115</v>
      </c>
      <c r="Q343" s="253" t="s">
        <v>68</v>
      </c>
      <c r="R343" s="253" t="s">
        <v>1566</v>
      </c>
      <c r="S343" s="253"/>
      <c r="T343" s="253" t="s">
        <v>1129</v>
      </c>
      <c r="U343" s="253"/>
      <c r="V343" s="253"/>
      <c r="W343" s="253"/>
      <c r="X343" s="253"/>
      <c r="Y343" s="253"/>
      <c r="Z343" s="253"/>
      <c r="AA343" s="253"/>
      <c r="AB343" s="253"/>
      <c r="AC343" s="253"/>
      <c r="AD343" s="253"/>
      <c r="AE343" s="253"/>
      <c r="AF343" s="253"/>
      <c r="AG343" s="253"/>
      <c r="AH343" s="253"/>
      <c r="AI343" s="253"/>
      <c r="AJ343" s="253"/>
      <c r="AK343" s="253"/>
      <c r="AL343" s="253"/>
      <c r="AM343" s="253"/>
      <c r="AN343" s="253"/>
      <c r="AO343" s="253"/>
      <c r="AP343" s="253"/>
      <c r="AQ343" s="253"/>
      <c r="AR343" s="253"/>
      <c r="AS343" s="253"/>
      <c r="AT343" s="253"/>
      <c r="AU343" s="253"/>
      <c r="AV343" s="253"/>
      <c r="AW343" s="253"/>
      <c r="AX343" s="253"/>
      <c r="AY343" s="253"/>
      <c r="AZ343" s="253"/>
      <c r="BA343" s="253"/>
      <c r="BB343" s="253"/>
      <c r="BC343" s="253"/>
      <c r="BD343" s="253"/>
      <c r="BE343" s="253"/>
      <c r="BF343" s="253"/>
      <c r="BG343" s="253"/>
      <c r="BH343" s="253"/>
      <c r="BI343" s="253"/>
      <c r="BJ343" s="263" t="str">
        <f>HYPERLINK("#일위대가목록!A147","S7-1-3/2 →")</f>
        <v>S7-1-3/2 →</v>
      </c>
    </row>
    <row r="344" spans="1:62" ht="24" customHeight="1">
      <c r="A344" s="256" t="s">
        <v>1450</v>
      </c>
      <c r="B344" s="256" t="s">
        <v>1455</v>
      </c>
      <c r="C344" s="257">
        <v>1</v>
      </c>
      <c r="D344" s="254" t="s">
        <v>1412</v>
      </c>
      <c r="E344" s="258">
        <f>일위목록!E129</f>
        <v>0</v>
      </c>
      <c r="F344" s="258">
        <f t="shared" si="18"/>
        <v>0</v>
      </c>
      <c r="G344" s="258">
        <f>일위목록!F129</f>
        <v>0</v>
      </c>
      <c r="H344" s="258"/>
      <c r="I344" s="258"/>
      <c r="J344" s="258"/>
      <c r="K344" s="258"/>
      <c r="L344" s="258"/>
      <c r="M344" s="256"/>
      <c r="N344" s="253" t="s">
        <v>68</v>
      </c>
      <c r="O344" s="253"/>
      <c r="P344" s="253" t="s">
        <v>1116</v>
      </c>
      <c r="Q344" s="253" t="s">
        <v>68</v>
      </c>
      <c r="R344" s="253" t="s">
        <v>1456</v>
      </c>
      <c r="S344" s="253"/>
      <c r="T344" s="253" t="s">
        <v>1129</v>
      </c>
      <c r="U344" s="253"/>
      <c r="V344" s="253"/>
      <c r="W344" s="253"/>
      <c r="X344" s="253"/>
      <c r="Y344" s="253"/>
      <c r="Z344" s="253"/>
      <c r="AA344" s="253"/>
      <c r="AB344" s="253"/>
      <c r="AC344" s="253"/>
      <c r="AD344" s="253"/>
      <c r="AE344" s="253"/>
      <c r="AF344" s="253"/>
      <c r="AG344" s="253"/>
      <c r="AH344" s="253"/>
      <c r="AI344" s="253"/>
      <c r="AJ344" s="253"/>
      <c r="AK344" s="253"/>
      <c r="AL344" s="253"/>
      <c r="AM344" s="253"/>
      <c r="AN344" s="253"/>
      <c r="AO344" s="253"/>
      <c r="AP344" s="253"/>
      <c r="AQ344" s="253"/>
      <c r="AR344" s="253"/>
      <c r="AS344" s="253"/>
      <c r="AT344" s="253"/>
      <c r="AU344" s="253"/>
      <c r="AV344" s="253"/>
      <c r="AW344" s="253"/>
      <c r="AX344" s="253"/>
      <c r="AY344" s="253"/>
      <c r="AZ344" s="253"/>
      <c r="BA344" s="253"/>
      <c r="BB344" s="253"/>
      <c r="BC344" s="253"/>
      <c r="BD344" s="253"/>
      <c r="BE344" s="253"/>
      <c r="BF344" s="253"/>
      <c r="BG344" s="253"/>
      <c r="BH344" s="253"/>
      <c r="BI344" s="253"/>
      <c r="BJ344" s="263" t="str">
        <f>HYPERLINK("#일위대가목록!A129","S7-2-3/1 →")</f>
        <v>S7-2-3/1 →</v>
      </c>
    </row>
    <row r="345" spans="1:62" ht="24" customHeight="1">
      <c r="A345" s="256" t="s">
        <v>1457</v>
      </c>
      <c r="B345" s="256" t="s">
        <v>1458</v>
      </c>
      <c r="C345" s="257">
        <v>1</v>
      </c>
      <c r="D345" s="254" t="s">
        <v>1412</v>
      </c>
      <c r="E345" s="258">
        <f>일위목록!E130</f>
        <v>0</v>
      </c>
      <c r="F345" s="258">
        <f t="shared" si="18"/>
        <v>0</v>
      </c>
      <c r="G345" s="258">
        <f>일위목록!F130</f>
        <v>0</v>
      </c>
      <c r="H345" s="258"/>
      <c r="I345" s="258"/>
      <c r="J345" s="258"/>
      <c r="K345" s="258"/>
      <c r="L345" s="258"/>
      <c r="M345" s="256"/>
      <c r="N345" s="253" t="s">
        <v>68</v>
      </c>
      <c r="O345" s="253"/>
      <c r="P345" s="253" t="s">
        <v>1120</v>
      </c>
      <c r="Q345" s="253" t="s">
        <v>68</v>
      </c>
      <c r="R345" s="253" t="s">
        <v>1460</v>
      </c>
      <c r="S345" s="253"/>
      <c r="T345" s="253" t="s">
        <v>1129</v>
      </c>
      <c r="U345" s="253"/>
      <c r="V345" s="253"/>
      <c r="W345" s="253"/>
      <c r="X345" s="253"/>
      <c r="Y345" s="253"/>
      <c r="Z345" s="253"/>
      <c r="AA345" s="253"/>
      <c r="AB345" s="253"/>
      <c r="AC345" s="253"/>
      <c r="AD345" s="253"/>
      <c r="AE345" s="253"/>
      <c r="AF345" s="253"/>
      <c r="AG345" s="253"/>
      <c r="AH345" s="253"/>
      <c r="AI345" s="253"/>
      <c r="AJ345" s="253"/>
      <c r="AK345" s="253"/>
      <c r="AL345" s="253"/>
      <c r="AM345" s="253"/>
      <c r="AN345" s="253"/>
      <c r="AO345" s="253"/>
      <c r="AP345" s="253"/>
      <c r="AQ345" s="253"/>
      <c r="AR345" s="253"/>
      <c r="AS345" s="253"/>
      <c r="AT345" s="253"/>
      <c r="AU345" s="253"/>
      <c r="AV345" s="253"/>
      <c r="AW345" s="253"/>
      <c r="AX345" s="253"/>
      <c r="AY345" s="253"/>
      <c r="AZ345" s="253"/>
      <c r="BA345" s="253"/>
      <c r="BB345" s="253"/>
      <c r="BC345" s="253"/>
      <c r="BD345" s="253"/>
      <c r="BE345" s="253"/>
      <c r="BF345" s="253"/>
      <c r="BG345" s="253"/>
      <c r="BH345" s="253"/>
      <c r="BI345" s="253"/>
      <c r="BJ345" s="263" t="str">
        <f>HYPERLINK("#일위대가목록!A130","S7-2-5/1 →")</f>
        <v>S7-2-5/1 →</v>
      </c>
    </row>
    <row r="346" spans="1:62" ht="24" customHeight="1">
      <c r="A346" s="256" t="s">
        <v>1461</v>
      </c>
      <c r="B346" s="256" t="s">
        <v>1462</v>
      </c>
      <c r="C346" s="257">
        <v>1</v>
      </c>
      <c r="D346" s="254" t="s">
        <v>1412</v>
      </c>
      <c r="E346" s="258">
        <f>일위목록!E131</f>
        <v>0</v>
      </c>
      <c r="F346" s="258">
        <f t="shared" si="18"/>
        <v>0</v>
      </c>
      <c r="G346" s="258">
        <f>일위목록!F131</f>
        <v>0</v>
      </c>
      <c r="H346" s="258"/>
      <c r="I346" s="258"/>
      <c r="J346" s="258"/>
      <c r="K346" s="258"/>
      <c r="L346" s="258"/>
      <c r="M346" s="256"/>
      <c r="N346" s="253" t="s">
        <v>68</v>
      </c>
      <c r="O346" s="253"/>
      <c r="P346" s="253" t="s">
        <v>1173</v>
      </c>
      <c r="Q346" s="253" t="s">
        <v>68</v>
      </c>
      <c r="R346" s="253" t="s">
        <v>1463</v>
      </c>
      <c r="S346" s="253"/>
      <c r="T346" s="253" t="s">
        <v>1129</v>
      </c>
      <c r="U346" s="253"/>
      <c r="V346" s="253"/>
      <c r="W346" s="253"/>
      <c r="X346" s="253"/>
      <c r="Y346" s="253"/>
      <c r="Z346" s="253"/>
      <c r="AA346" s="253"/>
      <c r="AB346" s="253"/>
      <c r="AC346" s="253"/>
      <c r="AD346" s="253"/>
      <c r="AE346" s="253"/>
      <c r="AF346" s="253"/>
      <c r="AG346" s="253"/>
      <c r="AH346" s="253"/>
      <c r="AI346" s="253"/>
      <c r="AJ346" s="253"/>
      <c r="AK346" s="253"/>
      <c r="AL346" s="253"/>
      <c r="AM346" s="253"/>
      <c r="AN346" s="253"/>
      <c r="AO346" s="253"/>
      <c r="AP346" s="253"/>
      <c r="AQ346" s="253"/>
      <c r="AR346" s="253"/>
      <c r="AS346" s="253"/>
      <c r="AT346" s="253"/>
      <c r="AU346" s="253"/>
      <c r="AV346" s="253"/>
      <c r="AW346" s="253"/>
      <c r="AX346" s="253"/>
      <c r="AY346" s="253"/>
      <c r="AZ346" s="253"/>
      <c r="BA346" s="253"/>
      <c r="BB346" s="253"/>
      <c r="BC346" s="253"/>
      <c r="BD346" s="253"/>
      <c r="BE346" s="253"/>
      <c r="BF346" s="253"/>
      <c r="BG346" s="253"/>
      <c r="BH346" s="253"/>
      <c r="BI346" s="253"/>
      <c r="BJ346" s="263" t="str">
        <f>HYPERLINK("#일위대가목록!A131","S7-3-3/3 →")</f>
        <v>S7-3-3/3 →</v>
      </c>
    </row>
    <row r="347" spans="1:62" ht="24" customHeight="1">
      <c r="A347" s="256" t="s">
        <v>1464</v>
      </c>
      <c r="B347" s="256" t="s">
        <v>1465</v>
      </c>
      <c r="C347" s="257">
        <v>1</v>
      </c>
      <c r="D347" s="254" t="s">
        <v>1412</v>
      </c>
      <c r="E347" s="258">
        <f>일위목록!E132</f>
        <v>0</v>
      </c>
      <c r="F347" s="258">
        <f t="shared" si="18"/>
        <v>0</v>
      </c>
      <c r="G347" s="258">
        <f>일위목록!F132</f>
        <v>0</v>
      </c>
      <c r="H347" s="258"/>
      <c r="I347" s="258"/>
      <c r="J347" s="258"/>
      <c r="K347" s="258"/>
      <c r="L347" s="258"/>
      <c r="M347" s="256"/>
      <c r="N347" s="253" t="s">
        <v>68</v>
      </c>
      <c r="O347" s="253"/>
      <c r="P347" s="253" t="s">
        <v>1175</v>
      </c>
      <c r="Q347" s="253" t="s">
        <v>68</v>
      </c>
      <c r="R347" s="253" t="s">
        <v>1466</v>
      </c>
      <c r="S347" s="253"/>
      <c r="T347" s="253" t="s">
        <v>1129</v>
      </c>
      <c r="U347" s="253"/>
      <c r="V347" s="253"/>
      <c r="W347" s="253"/>
      <c r="X347" s="253"/>
      <c r="Y347" s="253"/>
      <c r="Z347" s="253"/>
      <c r="AA347" s="253"/>
      <c r="AB347" s="253"/>
      <c r="AC347" s="253"/>
      <c r="AD347" s="253"/>
      <c r="AE347" s="253"/>
      <c r="AF347" s="253"/>
      <c r="AG347" s="253"/>
      <c r="AH347" s="253"/>
      <c r="AI347" s="253"/>
      <c r="AJ347" s="253"/>
      <c r="AK347" s="253"/>
      <c r="AL347" s="253"/>
      <c r="AM347" s="253"/>
      <c r="AN347" s="253"/>
      <c r="AO347" s="253"/>
      <c r="AP347" s="253"/>
      <c r="AQ347" s="253"/>
      <c r="AR347" s="253"/>
      <c r="AS347" s="253"/>
      <c r="AT347" s="253"/>
      <c r="AU347" s="253"/>
      <c r="AV347" s="253"/>
      <c r="AW347" s="253"/>
      <c r="AX347" s="253"/>
      <c r="AY347" s="253"/>
      <c r="AZ347" s="253"/>
      <c r="BA347" s="253"/>
      <c r="BB347" s="253"/>
      <c r="BC347" s="253"/>
      <c r="BD347" s="253"/>
      <c r="BE347" s="253"/>
      <c r="BF347" s="253"/>
      <c r="BG347" s="253"/>
      <c r="BH347" s="253"/>
      <c r="BI347" s="253"/>
      <c r="BJ347" s="263" t="str">
        <f>HYPERLINK("#일위대가목록!A132","S7-1-2/2 →")</f>
        <v>S7-1-2/2 →</v>
      </c>
    </row>
    <row r="348" spans="1:62" ht="24" customHeight="1">
      <c r="A348" s="256" t="s">
        <v>1467</v>
      </c>
      <c r="B348" s="256" t="s">
        <v>1448</v>
      </c>
      <c r="C348" s="257">
        <v>1</v>
      </c>
      <c r="D348" s="254" t="s">
        <v>1412</v>
      </c>
      <c r="E348" s="258">
        <f>일위목록!E133</f>
        <v>0</v>
      </c>
      <c r="F348" s="258">
        <f t="shared" si="18"/>
        <v>0</v>
      </c>
      <c r="G348" s="258">
        <f>일위목록!F133</f>
        <v>0</v>
      </c>
      <c r="H348" s="258"/>
      <c r="I348" s="258"/>
      <c r="J348" s="258"/>
      <c r="K348" s="258"/>
      <c r="L348" s="258"/>
      <c r="M348" s="256"/>
      <c r="N348" s="253" t="s">
        <v>68</v>
      </c>
      <c r="O348" s="253"/>
      <c r="P348" s="253" t="s">
        <v>1231</v>
      </c>
      <c r="Q348" s="253" t="s">
        <v>68</v>
      </c>
      <c r="R348" s="253" t="s">
        <v>1468</v>
      </c>
      <c r="S348" s="253"/>
      <c r="T348" s="253" t="s">
        <v>1129</v>
      </c>
      <c r="U348" s="253"/>
      <c r="V348" s="253"/>
      <c r="W348" s="253"/>
      <c r="X348" s="253"/>
      <c r="Y348" s="253"/>
      <c r="Z348" s="253"/>
      <c r="AA348" s="253"/>
      <c r="AB348" s="253"/>
      <c r="AC348" s="253"/>
      <c r="AD348" s="253"/>
      <c r="AE348" s="253"/>
      <c r="AF348" s="253"/>
      <c r="AG348" s="253"/>
      <c r="AH348" s="253"/>
      <c r="AI348" s="253"/>
      <c r="AJ348" s="253"/>
      <c r="AK348" s="253"/>
      <c r="AL348" s="253"/>
      <c r="AM348" s="253"/>
      <c r="AN348" s="253"/>
      <c r="AO348" s="253"/>
      <c r="AP348" s="253"/>
      <c r="AQ348" s="253"/>
      <c r="AR348" s="253"/>
      <c r="AS348" s="253"/>
      <c r="AT348" s="253"/>
      <c r="AU348" s="253"/>
      <c r="AV348" s="253"/>
      <c r="AW348" s="253"/>
      <c r="AX348" s="253"/>
      <c r="AY348" s="253"/>
      <c r="AZ348" s="253"/>
      <c r="BA348" s="253"/>
      <c r="BB348" s="253"/>
      <c r="BC348" s="253"/>
      <c r="BD348" s="253"/>
      <c r="BE348" s="253"/>
      <c r="BF348" s="253"/>
      <c r="BG348" s="253"/>
      <c r="BH348" s="253"/>
      <c r="BI348" s="253"/>
      <c r="BJ348" s="263" t="str">
        <f>HYPERLINK("#일위대가목록!A133","S7-3-2/3 →")</f>
        <v>S7-3-2/3 →</v>
      </c>
    </row>
    <row r="349" spans="1:62" ht="24" customHeight="1">
      <c r="A349" s="256" t="s">
        <v>68</v>
      </c>
      <c r="B349" s="256" t="s">
        <v>68</v>
      </c>
      <c r="C349" s="264"/>
      <c r="D349" s="254" t="s">
        <v>68</v>
      </c>
      <c r="E349" s="254"/>
      <c r="F349" s="258">
        <v>0</v>
      </c>
      <c r="G349" s="254"/>
      <c r="H349" s="258"/>
      <c r="I349" s="254"/>
      <c r="J349" s="258"/>
      <c r="K349" s="258"/>
      <c r="L349" s="258"/>
      <c r="M349" s="256"/>
      <c r="N349" s="253" t="s">
        <v>68</v>
      </c>
      <c r="O349" s="253"/>
      <c r="P349" s="253" t="s">
        <v>1233</v>
      </c>
      <c r="Q349" s="253" t="s">
        <v>68</v>
      </c>
      <c r="R349" s="253" t="s">
        <v>68</v>
      </c>
      <c r="S349" s="253"/>
      <c r="T349" s="253"/>
      <c r="U349" s="253"/>
      <c r="V349" s="253"/>
      <c r="W349" s="253"/>
      <c r="X349" s="253"/>
      <c r="Y349" s="253"/>
      <c r="Z349" s="253"/>
      <c r="AA349" s="253"/>
      <c r="AB349" s="253"/>
      <c r="AC349" s="253"/>
      <c r="AD349" s="253"/>
      <c r="AE349" s="253"/>
      <c r="AF349" s="253"/>
      <c r="AG349" s="253"/>
      <c r="AH349" s="253"/>
      <c r="AI349" s="253"/>
      <c r="AJ349" s="253"/>
      <c r="AK349" s="253"/>
      <c r="AL349" s="253"/>
      <c r="AM349" s="253"/>
      <c r="AN349" s="253"/>
      <c r="AO349" s="253"/>
      <c r="AP349" s="253"/>
      <c r="AQ349" s="253"/>
      <c r="AR349" s="253"/>
      <c r="AS349" s="253"/>
      <c r="AT349" s="253"/>
      <c r="AU349" s="253"/>
      <c r="AV349" s="253"/>
      <c r="AW349" s="253"/>
      <c r="AX349" s="253"/>
      <c r="AY349" s="253"/>
      <c r="AZ349" s="253"/>
      <c r="BA349" s="253"/>
      <c r="BB349" s="253"/>
      <c r="BC349" s="253"/>
      <c r="BD349" s="253"/>
      <c r="BE349" s="253"/>
      <c r="BF349" s="253"/>
      <c r="BG349" s="253"/>
      <c r="BH349" s="253"/>
      <c r="BI349" s="253"/>
      <c r="BJ349" s="253"/>
    </row>
    <row r="350" spans="1:62" ht="24" customHeight="1">
      <c r="A350" s="273" t="s">
        <v>1259</v>
      </c>
      <c r="B350" s="273" t="s">
        <v>68</v>
      </c>
      <c r="C350" s="274">
        <v>1</v>
      </c>
      <c r="D350" s="275" t="s">
        <v>1094</v>
      </c>
      <c r="E350" s="275"/>
      <c r="F350" s="276">
        <f>TRUNC(F351+F352+F353,0)</f>
        <v>0</v>
      </c>
      <c r="G350" s="275"/>
      <c r="H350" s="276"/>
      <c r="I350" s="275"/>
      <c r="J350" s="276"/>
      <c r="K350" s="275"/>
      <c r="L350" s="276"/>
      <c r="M350" s="273"/>
      <c r="N350" s="253" t="s">
        <v>68</v>
      </c>
      <c r="O350" s="253" t="s">
        <v>1521</v>
      </c>
      <c r="P350" s="253"/>
      <c r="Q350" s="253"/>
      <c r="R350" s="253"/>
      <c r="S350" s="253"/>
      <c r="T350" s="253"/>
      <c r="U350" s="253"/>
      <c r="V350" s="253"/>
      <c r="W350" s="253"/>
      <c r="X350" s="253"/>
      <c r="Y350" s="253"/>
      <c r="Z350" s="253"/>
      <c r="AA350" s="253"/>
      <c r="AB350" s="253"/>
      <c r="AC350" s="253"/>
      <c r="AD350" s="253"/>
      <c r="AE350" s="253"/>
      <c r="AF350" s="253"/>
      <c r="AG350" s="253"/>
      <c r="AH350" s="253"/>
      <c r="AI350" s="253"/>
      <c r="AJ350" s="253"/>
      <c r="AK350" s="253"/>
      <c r="AL350" s="253"/>
      <c r="AM350" s="253"/>
      <c r="AN350" s="253"/>
      <c r="AO350" s="253"/>
      <c r="AP350" s="253"/>
      <c r="AQ350" s="253"/>
      <c r="AR350" s="253"/>
      <c r="AS350" s="253"/>
      <c r="AT350" s="253"/>
      <c r="AU350" s="253"/>
      <c r="AV350" s="253"/>
      <c r="AW350" s="253"/>
      <c r="AX350" s="253"/>
      <c r="AY350" s="253"/>
      <c r="AZ350" s="253"/>
      <c r="BA350" s="253"/>
      <c r="BB350" s="253"/>
      <c r="BC350" s="253"/>
      <c r="BD350" s="253"/>
      <c r="BE350" s="253"/>
      <c r="BF350" s="253"/>
      <c r="BG350" s="253"/>
      <c r="BH350" s="253"/>
      <c r="BI350" s="253"/>
      <c r="BJ350" s="253"/>
    </row>
    <row r="351" spans="1:62" ht="24" customHeight="1">
      <c r="A351" s="256" t="s">
        <v>1567</v>
      </c>
      <c r="B351" s="256" t="s">
        <v>1568</v>
      </c>
      <c r="C351" s="257">
        <v>1</v>
      </c>
      <c r="D351" s="254" t="s">
        <v>437</v>
      </c>
      <c r="E351" s="258">
        <f>자재!D157</f>
        <v>0</v>
      </c>
      <c r="F351" s="258">
        <f>TRUNC(E351*C351,0)</f>
        <v>0</v>
      </c>
      <c r="G351" s="258">
        <v>0</v>
      </c>
      <c r="H351" s="258"/>
      <c r="I351" s="258"/>
      <c r="J351" s="258"/>
      <c r="K351" s="258"/>
      <c r="L351" s="258"/>
      <c r="M351" s="256"/>
      <c r="N351" s="253" t="s">
        <v>68</v>
      </c>
      <c r="O351" s="253"/>
      <c r="P351" s="253" t="s">
        <v>1095</v>
      </c>
      <c r="Q351" s="253" t="s">
        <v>68</v>
      </c>
      <c r="R351" s="253" t="s">
        <v>1569</v>
      </c>
      <c r="S351" s="253"/>
      <c r="T351" s="253"/>
      <c r="U351" s="253"/>
      <c r="V351" s="253"/>
      <c r="W351" s="253"/>
      <c r="X351" s="253"/>
      <c r="Y351" s="253"/>
      <c r="Z351" s="253"/>
      <c r="AA351" s="253"/>
      <c r="AB351" s="253"/>
      <c r="AC351" s="253"/>
      <c r="AD351" s="253"/>
      <c r="AE351" s="253"/>
      <c r="AF351" s="253"/>
      <c r="AG351" s="253"/>
      <c r="AH351" s="253"/>
      <c r="AI351" s="253"/>
      <c r="AJ351" s="253"/>
      <c r="AK351" s="253"/>
      <c r="AL351" s="253"/>
      <c r="AM351" s="253"/>
      <c r="AN351" s="253"/>
      <c r="AO351" s="253"/>
      <c r="AP351" s="253"/>
      <c r="AQ351" s="253"/>
      <c r="AR351" s="253"/>
      <c r="AS351" s="253"/>
      <c r="AT351" s="253"/>
      <c r="AU351" s="253"/>
      <c r="AV351" s="253"/>
      <c r="AW351" s="253"/>
      <c r="AX351" s="253"/>
      <c r="AY351" s="253"/>
      <c r="AZ351" s="253"/>
      <c r="BA351" s="253"/>
      <c r="BB351" s="253"/>
      <c r="BC351" s="253"/>
      <c r="BD351" s="253"/>
      <c r="BE351" s="253"/>
      <c r="BF351" s="253"/>
      <c r="BG351" s="253"/>
      <c r="BH351" s="253"/>
      <c r="BI351" s="253"/>
      <c r="BJ351" s="263" t="str">
        <f>HYPERLINK("#자재!A157","MZZ9000131 →")</f>
        <v>MZZ9000131 →</v>
      </c>
    </row>
    <row r="352" spans="1:62" ht="24" customHeight="1">
      <c r="A352" s="256" t="s">
        <v>1493</v>
      </c>
      <c r="B352" s="256" t="s">
        <v>1570</v>
      </c>
      <c r="C352" s="257">
        <v>1</v>
      </c>
      <c r="D352" s="254" t="s">
        <v>437</v>
      </c>
      <c r="E352" s="258">
        <f>자재!D158</f>
        <v>0</v>
      </c>
      <c r="F352" s="258">
        <f>TRUNC(E352*C352,0)</f>
        <v>0</v>
      </c>
      <c r="G352" s="258">
        <v>0</v>
      </c>
      <c r="H352" s="258"/>
      <c r="I352" s="258"/>
      <c r="J352" s="258"/>
      <c r="K352" s="258"/>
      <c r="L352" s="258"/>
      <c r="M352" s="256"/>
      <c r="N352" s="253" t="s">
        <v>68</v>
      </c>
      <c r="O352" s="253"/>
      <c r="P352" s="253" t="s">
        <v>1098</v>
      </c>
      <c r="Q352" s="253" t="s">
        <v>68</v>
      </c>
      <c r="R352" s="253" t="s">
        <v>1571</v>
      </c>
      <c r="S352" s="253"/>
      <c r="T352" s="253"/>
      <c r="U352" s="253"/>
      <c r="V352" s="253"/>
      <c r="W352" s="253"/>
      <c r="X352" s="253"/>
      <c r="Y352" s="253"/>
      <c r="Z352" s="253"/>
      <c r="AA352" s="253"/>
      <c r="AB352" s="253"/>
      <c r="AC352" s="253"/>
      <c r="AD352" s="253"/>
      <c r="AE352" s="253"/>
      <c r="AF352" s="253"/>
      <c r="AG352" s="253"/>
      <c r="AH352" s="253"/>
      <c r="AI352" s="253"/>
      <c r="AJ352" s="253"/>
      <c r="AK352" s="253"/>
      <c r="AL352" s="253"/>
      <c r="AM352" s="253"/>
      <c r="AN352" s="253"/>
      <c r="AO352" s="253"/>
      <c r="AP352" s="253"/>
      <c r="AQ352" s="253"/>
      <c r="AR352" s="253"/>
      <c r="AS352" s="253"/>
      <c r="AT352" s="253"/>
      <c r="AU352" s="253"/>
      <c r="AV352" s="253"/>
      <c r="AW352" s="253"/>
      <c r="AX352" s="253"/>
      <c r="AY352" s="253"/>
      <c r="AZ352" s="253"/>
      <c r="BA352" s="253"/>
      <c r="BB352" s="253"/>
      <c r="BC352" s="253"/>
      <c r="BD352" s="253"/>
      <c r="BE352" s="253"/>
      <c r="BF352" s="253"/>
      <c r="BG352" s="253"/>
      <c r="BH352" s="253"/>
      <c r="BI352" s="253"/>
      <c r="BJ352" s="263" t="str">
        <f>HYPERLINK("#자재!A158","MZZ9000132 →")</f>
        <v>MZZ9000132 →</v>
      </c>
    </row>
    <row r="353" spans="1:62" ht="24" customHeight="1">
      <c r="A353" s="256" t="s">
        <v>1496</v>
      </c>
      <c r="B353" s="256" t="s">
        <v>1572</v>
      </c>
      <c r="C353" s="257">
        <v>1</v>
      </c>
      <c r="D353" s="254" t="s">
        <v>437</v>
      </c>
      <c r="E353" s="258">
        <f>자재!D159</f>
        <v>0</v>
      </c>
      <c r="F353" s="258">
        <f>TRUNC(E353*C353,0)</f>
        <v>0</v>
      </c>
      <c r="G353" s="258">
        <v>0</v>
      </c>
      <c r="H353" s="258"/>
      <c r="I353" s="258"/>
      <c r="J353" s="258"/>
      <c r="K353" s="258"/>
      <c r="L353" s="258"/>
      <c r="M353" s="256"/>
      <c r="N353" s="253" t="s">
        <v>68</v>
      </c>
      <c r="O353" s="253"/>
      <c r="P353" s="253" t="s">
        <v>1101</v>
      </c>
      <c r="Q353" s="253" t="s">
        <v>68</v>
      </c>
      <c r="R353" s="253" t="s">
        <v>1573</v>
      </c>
      <c r="S353" s="253"/>
      <c r="T353" s="253"/>
      <c r="U353" s="253"/>
      <c r="V353" s="253"/>
      <c r="W353" s="253"/>
      <c r="X353" s="253"/>
      <c r="Y353" s="253"/>
      <c r="Z353" s="253"/>
      <c r="AA353" s="253"/>
      <c r="AB353" s="253"/>
      <c r="AC353" s="253"/>
      <c r="AD353" s="253"/>
      <c r="AE353" s="253"/>
      <c r="AF353" s="253"/>
      <c r="AG353" s="253"/>
      <c r="AH353" s="253"/>
      <c r="AI353" s="253"/>
      <c r="AJ353" s="253"/>
      <c r="AK353" s="253"/>
      <c r="AL353" s="253"/>
      <c r="AM353" s="253"/>
      <c r="AN353" s="253"/>
      <c r="AO353" s="253"/>
      <c r="AP353" s="253"/>
      <c r="AQ353" s="253"/>
      <c r="AR353" s="253"/>
      <c r="AS353" s="253"/>
      <c r="AT353" s="253"/>
      <c r="AU353" s="253"/>
      <c r="AV353" s="253"/>
      <c r="AW353" s="253"/>
      <c r="AX353" s="253"/>
      <c r="AY353" s="253"/>
      <c r="AZ353" s="253"/>
      <c r="BA353" s="253"/>
      <c r="BB353" s="253"/>
      <c r="BC353" s="253"/>
      <c r="BD353" s="253"/>
      <c r="BE353" s="253"/>
      <c r="BF353" s="253"/>
      <c r="BG353" s="253"/>
      <c r="BH353" s="253"/>
      <c r="BI353" s="253"/>
      <c r="BJ353" s="263" t="str">
        <f>HYPERLINK("#자재!A159","MZZ9000133 →")</f>
        <v>MZZ9000133 →</v>
      </c>
    </row>
    <row r="354" spans="1:62" ht="24" customHeight="1">
      <c r="A354" s="256" t="s">
        <v>68</v>
      </c>
      <c r="B354" s="256" t="s">
        <v>68</v>
      </c>
      <c r="C354" s="264"/>
      <c r="D354" s="254" t="s">
        <v>68</v>
      </c>
      <c r="E354" s="254"/>
      <c r="F354" s="258">
        <v>0</v>
      </c>
      <c r="G354" s="254"/>
      <c r="H354" s="258"/>
      <c r="I354" s="254"/>
      <c r="J354" s="258"/>
      <c r="K354" s="258"/>
      <c r="L354" s="258"/>
      <c r="M354" s="256"/>
      <c r="N354" s="253" t="s">
        <v>68</v>
      </c>
      <c r="O354" s="253"/>
      <c r="P354" s="253" t="s">
        <v>1104</v>
      </c>
      <c r="Q354" s="253" t="s">
        <v>68</v>
      </c>
      <c r="R354" s="253" t="s">
        <v>68</v>
      </c>
      <c r="S354" s="253"/>
      <c r="T354" s="253"/>
      <c r="U354" s="253"/>
      <c r="V354" s="253"/>
      <c r="W354" s="253"/>
      <c r="X354" s="253"/>
      <c r="Y354" s="253"/>
      <c r="Z354" s="253"/>
      <c r="AA354" s="253"/>
      <c r="AB354" s="253"/>
      <c r="AC354" s="253"/>
      <c r="AD354" s="253"/>
      <c r="AE354" s="253"/>
      <c r="AF354" s="253"/>
      <c r="AG354" s="253"/>
      <c r="AH354" s="253"/>
      <c r="AI354" s="253"/>
      <c r="AJ354" s="253"/>
      <c r="AK354" s="253"/>
      <c r="AL354" s="253"/>
      <c r="AM354" s="253"/>
      <c r="AN354" s="253"/>
      <c r="AO354" s="253"/>
      <c r="AP354" s="253"/>
      <c r="AQ354" s="253"/>
      <c r="AR354" s="253"/>
      <c r="AS354" s="253"/>
      <c r="AT354" s="253"/>
      <c r="AU354" s="253"/>
      <c r="AV354" s="253"/>
      <c r="AW354" s="253"/>
      <c r="AX354" s="253"/>
      <c r="AY354" s="253"/>
      <c r="AZ354" s="253"/>
      <c r="BA354" s="253"/>
      <c r="BB354" s="253"/>
      <c r="BC354" s="253"/>
      <c r="BD354" s="253"/>
      <c r="BE354" s="253"/>
      <c r="BF354" s="253"/>
      <c r="BG354" s="253"/>
      <c r="BH354" s="253"/>
      <c r="BI354" s="253"/>
      <c r="BJ354" s="253"/>
    </row>
    <row r="355" spans="1:62" ht="24" customHeight="1">
      <c r="A355" s="273" t="s">
        <v>1261</v>
      </c>
      <c r="B355" s="273" t="s">
        <v>1146</v>
      </c>
      <c r="C355" s="274">
        <v>1</v>
      </c>
      <c r="D355" s="275" t="s">
        <v>1094</v>
      </c>
      <c r="E355" s="275"/>
      <c r="F355" s="276">
        <f>TRUNC(F356+F357+F358+F359,0)</f>
        <v>0</v>
      </c>
      <c r="G355" s="275"/>
      <c r="H355" s="276"/>
      <c r="I355" s="275"/>
      <c r="J355" s="276"/>
      <c r="K355" s="275"/>
      <c r="L355" s="276"/>
      <c r="M355" s="273"/>
      <c r="N355" s="253" t="s">
        <v>68</v>
      </c>
      <c r="O355" s="253" t="s">
        <v>1522</v>
      </c>
      <c r="P355" s="253"/>
      <c r="Q355" s="253"/>
      <c r="R355" s="253"/>
      <c r="S355" s="253"/>
      <c r="T355" s="253"/>
      <c r="U355" s="253"/>
      <c r="V355" s="253"/>
      <c r="W355" s="253"/>
      <c r="X355" s="253"/>
      <c r="Y355" s="253"/>
      <c r="Z355" s="253"/>
      <c r="AA355" s="253"/>
      <c r="AB355" s="253"/>
      <c r="AC355" s="253"/>
      <c r="AD355" s="253"/>
      <c r="AE355" s="253"/>
      <c r="AF355" s="253"/>
      <c r="AG355" s="253"/>
      <c r="AH355" s="253"/>
      <c r="AI355" s="253"/>
      <c r="AJ355" s="253"/>
      <c r="AK355" s="253"/>
      <c r="AL355" s="253"/>
      <c r="AM355" s="253"/>
      <c r="AN355" s="253"/>
      <c r="AO355" s="253"/>
      <c r="AP355" s="253"/>
      <c r="AQ355" s="253"/>
      <c r="AR355" s="253"/>
      <c r="AS355" s="253"/>
      <c r="AT355" s="253"/>
      <c r="AU355" s="253"/>
      <c r="AV355" s="253"/>
      <c r="AW355" s="253"/>
      <c r="AX355" s="253"/>
      <c r="AY355" s="253"/>
      <c r="AZ355" s="253"/>
      <c r="BA355" s="253"/>
      <c r="BB355" s="253"/>
      <c r="BC355" s="253"/>
      <c r="BD355" s="253"/>
      <c r="BE355" s="253"/>
      <c r="BF355" s="253"/>
      <c r="BG355" s="253"/>
      <c r="BH355" s="253"/>
      <c r="BI355" s="253"/>
      <c r="BJ355" s="253"/>
    </row>
    <row r="356" spans="1:62" ht="24" customHeight="1">
      <c r="A356" s="256" t="s">
        <v>1234</v>
      </c>
      <c r="B356" s="256" t="s">
        <v>1235</v>
      </c>
      <c r="C356" s="264">
        <v>0.21</v>
      </c>
      <c r="D356" s="254" t="s">
        <v>16</v>
      </c>
      <c r="E356" s="258">
        <f>일위목록!E49</f>
        <v>0</v>
      </c>
      <c r="F356" s="258">
        <f>TRUNC(E356*C356,0)</f>
        <v>0</v>
      </c>
      <c r="G356" s="258">
        <f>일위목록!F49</f>
        <v>0</v>
      </c>
      <c r="H356" s="258"/>
      <c r="I356" s="258"/>
      <c r="J356" s="258"/>
      <c r="K356" s="258"/>
      <c r="L356" s="258"/>
      <c r="M356" s="256"/>
      <c r="N356" s="253" t="s">
        <v>68</v>
      </c>
      <c r="O356" s="253"/>
      <c r="P356" s="253" t="s">
        <v>1095</v>
      </c>
      <c r="Q356" s="253" t="s">
        <v>68</v>
      </c>
      <c r="R356" s="253" t="s">
        <v>1236</v>
      </c>
      <c r="S356" s="253"/>
      <c r="T356" s="253" t="s">
        <v>1129</v>
      </c>
      <c r="U356" s="253"/>
      <c r="V356" s="253"/>
      <c r="W356" s="253"/>
      <c r="X356" s="253"/>
      <c r="Y356" s="253"/>
      <c r="Z356" s="253"/>
      <c r="AA356" s="253"/>
      <c r="AB356" s="253"/>
      <c r="AC356" s="253"/>
      <c r="AD356" s="253"/>
      <c r="AE356" s="253"/>
      <c r="AF356" s="253"/>
      <c r="AG356" s="253"/>
      <c r="AH356" s="253"/>
      <c r="AI356" s="253"/>
      <c r="AJ356" s="253"/>
      <c r="AK356" s="253"/>
      <c r="AL356" s="253"/>
      <c r="AM356" s="253"/>
      <c r="AN356" s="253"/>
      <c r="AO356" s="253"/>
      <c r="AP356" s="253"/>
      <c r="AQ356" s="253"/>
      <c r="AR356" s="253"/>
      <c r="AS356" s="253"/>
      <c r="AT356" s="253"/>
      <c r="AU356" s="253"/>
      <c r="AV356" s="253"/>
      <c r="AW356" s="253"/>
      <c r="AX356" s="253"/>
      <c r="AY356" s="253"/>
      <c r="AZ356" s="253"/>
      <c r="BA356" s="253"/>
      <c r="BB356" s="253"/>
      <c r="BC356" s="253"/>
      <c r="BD356" s="253"/>
      <c r="BE356" s="253"/>
      <c r="BF356" s="253"/>
      <c r="BG356" s="253"/>
      <c r="BH356" s="253"/>
      <c r="BI356" s="253"/>
      <c r="BJ356" s="263" t="str">
        <f>HYPERLINK("#일위대가목록!A49","ZZ71 →")</f>
        <v>ZZ71 →</v>
      </c>
    </row>
    <row r="357" spans="1:62" ht="24" customHeight="1">
      <c r="A357" s="256" t="s">
        <v>1237</v>
      </c>
      <c r="B357" s="256" t="s">
        <v>1172</v>
      </c>
      <c r="C357" s="264">
        <v>0.02</v>
      </c>
      <c r="D357" s="254" t="s">
        <v>16</v>
      </c>
      <c r="E357" s="258">
        <f>일위목록!E50</f>
        <v>0</v>
      </c>
      <c r="F357" s="258">
        <f>TRUNC(E357*C357,0)</f>
        <v>0</v>
      </c>
      <c r="G357" s="258">
        <f>일위목록!F50</f>
        <v>0</v>
      </c>
      <c r="H357" s="258"/>
      <c r="I357" s="258"/>
      <c r="J357" s="258"/>
      <c r="K357" s="258"/>
      <c r="L357" s="258"/>
      <c r="M357" s="256"/>
      <c r="N357" s="253" t="s">
        <v>68</v>
      </c>
      <c r="O357" s="253"/>
      <c r="P357" s="253" t="s">
        <v>1098</v>
      </c>
      <c r="Q357" s="253" t="s">
        <v>68</v>
      </c>
      <c r="R357" s="253" t="s">
        <v>1238</v>
      </c>
      <c r="S357" s="253"/>
      <c r="T357" s="253" t="s">
        <v>1129</v>
      </c>
      <c r="U357" s="253"/>
      <c r="V357" s="253"/>
      <c r="W357" s="253"/>
      <c r="X357" s="253"/>
      <c r="Y357" s="253"/>
      <c r="Z357" s="253"/>
      <c r="AA357" s="253"/>
      <c r="AB357" s="253"/>
      <c r="AC357" s="253"/>
      <c r="AD357" s="253"/>
      <c r="AE357" s="253"/>
      <c r="AF357" s="253"/>
      <c r="AG357" s="253"/>
      <c r="AH357" s="253"/>
      <c r="AI357" s="253"/>
      <c r="AJ357" s="253"/>
      <c r="AK357" s="253"/>
      <c r="AL357" s="253"/>
      <c r="AM357" s="253"/>
      <c r="AN357" s="253"/>
      <c r="AO357" s="253"/>
      <c r="AP357" s="253"/>
      <c r="AQ357" s="253"/>
      <c r="AR357" s="253"/>
      <c r="AS357" s="253"/>
      <c r="AT357" s="253"/>
      <c r="AU357" s="253"/>
      <c r="AV357" s="253"/>
      <c r="AW357" s="253"/>
      <c r="AX357" s="253"/>
      <c r="AY357" s="253"/>
      <c r="AZ357" s="253"/>
      <c r="BA357" s="253"/>
      <c r="BB357" s="253"/>
      <c r="BC357" s="253"/>
      <c r="BD357" s="253"/>
      <c r="BE357" s="253"/>
      <c r="BF357" s="253"/>
      <c r="BG357" s="253"/>
      <c r="BH357" s="253"/>
      <c r="BI357" s="253"/>
      <c r="BJ357" s="263" t="str">
        <f>HYPERLINK("#일위대가목록!A50","ZZ74 →")</f>
        <v>ZZ74 →</v>
      </c>
    </row>
    <row r="358" spans="1:62" ht="24" customHeight="1">
      <c r="A358" s="256" t="s">
        <v>1239</v>
      </c>
      <c r="B358" s="256" t="s">
        <v>1240</v>
      </c>
      <c r="C358" s="264">
        <v>0.21</v>
      </c>
      <c r="D358" s="254" t="s">
        <v>16</v>
      </c>
      <c r="E358" s="258">
        <f>일위목록!E51</f>
        <v>0</v>
      </c>
      <c r="F358" s="258">
        <f>TRUNC(E358*C358,0)</f>
        <v>0</v>
      </c>
      <c r="G358" s="258">
        <f>일위목록!F51</f>
        <v>0</v>
      </c>
      <c r="H358" s="258"/>
      <c r="I358" s="258"/>
      <c r="J358" s="258"/>
      <c r="K358" s="258"/>
      <c r="L358" s="258"/>
      <c r="M358" s="256"/>
      <c r="N358" s="253" t="s">
        <v>68</v>
      </c>
      <c r="O358" s="253"/>
      <c r="P358" s="253" t="s">
        <v>1101</v>
      </c>
      <c r="Q358" s="253" t="s">
        <v>68</v>
      </c>
      <c r="R358" s="253" t="s">
        <v>1241</v>
      </c>
      <c r="S358" s="253"/>
      <c r="T358" s="253" t="s">
        <v>1129</v>
      </c>
      <c r="U358" s="253"/>
      <c r="V358" s="253"/>
      <c r="W358" s="253"/>
      <c r="X358" s="253"/>
      <c r="Y358" s="253"/>
      <c r="Z358" s="253"/>
      <c r="AA358" s="253"/>
      <c r="AB358" s="253"/>
      <c r="AC358" s="253"/>
      <c r="AD358" s="253"/>
      <c r="AE358" s="253"/>
      <c r="AF358" s="253"/>
      <c r="AG358" s="253"/>
      <c r="AH358" s="253"/>
      <c r="AI358" s="253"/>
      <c r="AJ358" s="253"/>
      <c r="AK358" s="253"/>
      <c r="AL358" s="253"/>
      <c r="AM358" s="253"/>
      <c r="AN358" s="253"/>
      <c r="AO358" s="253"/>
      <c r="AP358" s="253"/>
      <c r="AQ358" s="253"/>
      <c r="AR358" s="253"/>
      <c r="AS358" s="253"/>
      <c r="AT358" s="253"/>
      <c r="AU358" s="253"/>
      <c r="AV358" s="253"/>
      <c r="AW358" s="253"/>
      <c r="AX358" s="253"/>
      <c r="AY358" s="253"/>
      <c r="AZ358" s="253"/>
      <c r="BA358" s="253"/>
      <c r="BB358" s="253"/>
      <c r="BC358" s="253"/>
      <c r="BD358" s="253"/>
      <c r="BE358" s="253"/>
      <c r="BF358" s="253"/>
      <c r="BG358" s="253"/>
      <c r="BH358" s="253"/>
      <c r="BI358" s="253"/>
      <c r="BJ358" s="263" t="str">
        <f>HYPERLINK("#일위대가목록!A51","ZZ81 →")</f>
        <v>ZZ81 →</v>
      </c>
    </row>
    <row r="359" spans="1:62" ht="24" customHeight="1">
      <c r="A359" s="256" t="s">
        <v>1239</v>
      </c>
      <c r="B359" s="256" t="s">
        <v>1242</v>
      </c>
      <c r="C359" s="264">
        <v>0.02</v>
      </c>
      <c r="D359" s="254" t="s">
        <v>16</v>
      </c>
      <c r="E359" s="258">
        <f>일위목록!E52</f>
        <v>0</v>
      </c>
      <c r="F359" s="258">
        <f>TRUNC(E359*C359,0)</f>
        <v>0</v>
      </c>
      <c r="G359" s="258">
        <f>일위목록!F52</f>
        <v>0</v>
      </c>
      <c r="H359" s="258"/>
      <c r="I359" s="258"/>
      <c r="J359" s="258"/>
      <c r="K359" s="258"/>
      <c r="L359" s="258"/>
      <c r="M359" s="256"/>
      <c r="N359" s="253" t="s">
        <v>68</v>
      </c>
      <c r="O359" s="253"/>
      <c r="P359" s="253" t="s">
        <v>1104</v>
      </c>
      <c r="Q359" s="253" t="s">
        <v>68</v>
      </c>
      <c r="R359" s="253" t="s">
        <v>1243</v>
      </c>
      <c r="S359" s="253"/>
      <c r="T359" s="253" t="s">
        <v>1129</v>
      </c>
      <c r="U359" s="253"/>
      <c r="V359" s="253"/>
      <c r="W359" s="253"/>
      <c r="X359" s="253"/>
      <c r="Y359" s="253"/>
      <c r="Z359" s="253"/>
      <c r="AA359" s="253"/>
      <c r="AB359" s="253"/>
      <c r="AC359" s="253"/>
      <c r="AD359" s="253"/>
      <c r="AE359" s="253"/>
      <c r="AF359" s="253"/>
      <c r="AG359" s="253"/>
      <c r="AH359" s="253"/>
      <c r="AI359" s="253"/>
      <c r="AJ359" s="253"/>
      <c r="AK359" s="253"/>
      <c r="AL359" s="253"/>
      <c r="AM359" s="253"/>
      <c r="AN359" s="253"/>
      <c r="AO359" s="253"/>
      <c r="AP359" s="253"/>
      <c r="AQ359" s="253"/>
      <c r="AR359" s="253"/>
      <c r="AS359" s="253"/>
      <c r="AT359" s="253"/>
      <c r="AU359" s="253"/>
      <c r="AV359" s="253"/>
      <c r="AW359" s="253"/>
      <c r="AX359" s="253"/>
      <c r="AY359" s="253"/>
      <c r="AZ359" s="253"/>
      <c r="BA359" s="253"/>
      <c r="BB359" s="253"/>
      <c r="BC359" s="253"/>
      <c r="BD359" s="253"/>
      <c r="BE359" s="253"/>
      <c r="BF359" s="253"/>
      <c r="BG359" s="253"/>
      <c r="BH359" s="253"/>
      <c r="BI359" s="253"/>
      <c r="BJ359" s="263" t="str">
        <f>HYPERLINK("#일위대가목록!A52","ZZ86 →")</f>
        <v>ZZ86 →</v>
      </c>
    </row>
    <row r="360" spans="1:62" ht="24" customHeight="1">
      <c r="A360" s="256" t="s">
        <v>68</v>
      </c>
      <c r="B360" s="256" t="s">
        <v>68</v>
      </c>
      <c r="C360" s="264"/>
      <c r="D360" s="254" t="s">
        <v>68</v>
      </c>
      <c r="E360" s="254"/>
      <c r="F360" s="258">
        <v>0</v>
      </c>
      <c r="G360" s="254"/>
      <c r="H360" s="258"/>
      <c r="I360" s="254"/>
      <c r="J360" s="258"/>
      <c r="K360" s="258"/>
      <c r="L360" s="258"/>
      <c r="M360" s="256"/>
      <c r="N360" s="253" t="s">
        <v>68</v>
      </c>
      <c r="O360" s="253"/>
      <c r="P360" s="253" t="s">
        <v>1107</v>
      </c>
      <c r="Q360" s="253" t="s">
        <v>68</v>
      </c>
      <c r="R360" s="253" t="s">
        <v>68</v>
      </c>
      <c r="S360" s="253"/>
      <c r="T360" s="253"/>
      <c r="U360" s="253"/>
      <c r="V360" s="253"/>
      <c r="W360" s="253"/>
      <c r="X360" s="253"/>
      <c r="Y360" s="253"/>
      <c r="Z360" s="253"/>
      <c r="AA360" s="253"/>
      <c r="AB360" s="253"/>
      <c r="AC360" s="253"/>
      <c r="AD360" s="253"/>
      <c r="AE360" s="253"/>
      <c r="AF360" s="253"/>
      <c r="AG360" s="253"/>
      <c r="AH360" s="253"/>
      <c r="AI360" s="253"/>
      <c r="AJ360" s="253"/>
      <c r="AK360" s="253"/>
      <c r="AL360" s="253"/>
      <c r="AM360" s="253"/>
      <c r="AN360" s="253"/>
      <c r="AO360" s="253"/>
      <c r="AP360" s="253"/>
      <c r="AQ360" s="253"/>
      <c r="AR360" s="253"/>
      <c r="AS360" s="253"/>
      <c r="AT360" s="253"/>
      <c r="AU360" s="253"/>
      <c r="AV360" s="253"/>
      <c r="AW360" s="253"/>
      <c r="AX360" s="253"/>
      <c r="AY360" s="253"/>
      <c r="AZ360" s="253"/>
      <c r="BA360" s="253"/>
      <c r="BB360" s="253"/>
      <c r="BC360" s="253"/>
      <c r="BD360" s="253"/>
      <c r="BE360" s="253"/>
      <c r="BF360" s="253"/>
      <c r="BG360" s="253"/>
      <c r="BH360" s="253"/>
      <c r="BI360" s="253"/>
      <c r="BJ360" s="253"/>
    </row>
    <row r="361" spans="1:62" ht="24" customHeight="1">
      <c r="A361" s="256"/>
      <c r="B361" s="256"/>
      <c r="C361" s="264"/>
      <c r="D361" s="254"/>
      <c r="E361" s="254"/>
      <c r="F361" s="258"/>
      <c r="G361" s="254"/>
      <c r="H361" s="258"/>
      <c r="I361" s="254"/>
      <c r="J361" s="258"/>
      <c r="K361" s="258"/>
      <c r="L361" s="258"/>
      <c r="M361" s="256"/>
      <c r="N361" s="253"/>
      <c r="O361" s="253"/>
      <c r="P361" s="253"/>
      <c r="Q361" s="253"/>
      <c r="R361" s="253"/>
      <c r="S361" s="253"/>
      <c r="T361" s="253"/>
      <c r="U361" s="253"/>
      <c r="V361" s="253"/>
      <c r="W361" s="253"/>
      <c r="X361" s="253"/>
      <c r="Y361" s="253"/>
      <c r="Z361" s="253"/>
      <c r="AA361" s="253"/>
      <c r="AB361" s="253"/>
      <c r="AC361" s="253"/>
      <c r="AD361" s="253"/>
      <c r="AE361" s="253"/>
      <c r="AF361" s="253"/>
      <c r="AG361" s="253"/>
      <c r="AH361" s="253"/>
      <c r="AI361" s="253"/>
      <c r="AJ361" s="253"/>
      <c r="AK361" s="253"/>
      <c r="AL361" s="253"/>
      <c r="AM361" s="253"/>
      <c r="AN361" s="253"/>
      <c r="AO361" s="253"/>
      <c r="AP361" s="253"/>
      <c r="AQ361" s="253"/>
      <c r="AR361" s="253"/>
      <c r="AS361" s="253"/>
      <c r="AT361" s="253"/>
      <c r="AU361" s="253"/>
      <c r="AV361" s="253"/>
      <c r="AW361" s="253"/>
      <c r="AX361" s="253"/>
      <c r="AY361" s="253"/>
      <c r="AZ361" s="253"/>
      <c r="BA361" s="253"/>
      <c r="BB361" s="253"/>
      <c r="BC361" s="253"/>
      <c r="BD361" s="253"/>
      <c r="BE361" s="253"/>
      <c r="BF361" s="253"/>
      <c r="BG361" s="253"/>
      <c r="BH361" s="253"/>
      <c r="BI361" s="253"/>
      <c r="BJ361" s="253"/>
    </row>
    <row r="362" spans="1:62" ht="24" customHeight="1">
      <c r="A362" s="256"/>
      <c r="B362" s="256"/>
      <c r="C362" s="264"/>
      <c r="D362" s="254"/>
      <c r="E362" s="254"/>
      <c r="F362" s="258"/>
      <c r="G362" s="254"/>
      <c r="H362" s="258"/>
      <c r="I362" s="254"/>
      <c r="J362" s="258"/>
      <c r="K362" s="258"/>
      <c r="L362" s="258"/>
      <c r="M362" s="256"/>
      <c r="N362" s="253"/>
      <c r="O362" s="253"/>
      <c r="P362" s="253"/>
      <c r="Q362" s="253"/>
      <c r="R362" s="253"/>
      <c r="S362" s="253"/>
      <c r="T362" s="253"/>
      <c r="U362" s="253"/>
      <c r="V362" s="253"/>
      <c r="W362" s="253"/>
      <c r="X362" s="253"/>
      <c r="Y362" s="253"/>
      <c r="Z362" s="253"/>
      <c r="AA362" s="253"/>
      <c r="AB362" s="253"/>
      <c r="AC362" s="253"/>
      <c r="AD362" s="253"/>
      <c r="AE362" s="253"/>
      <c r="AF362" s="253"/>
      <c r="AG362" s="253"/>
      <c r="AH362" s="253"/>
      <c r="AI362" s="253"/>
      <c r="AJ362" s="253"/>
      <c r="AK362" s="253"/>
      <c r="AL362" s="253"/>
      <c r="AM362" s="253"/>
      <c r="AN362" s="253"/>
      <c r="AO362" s="253"/>
      <c r="AP362" s="253"/>
      <c r="AQ362" s="253"/>
      <c r="AR362" s="253"/>
      <c r="AS362" s="253"/>
      <c r="AT362" s="253"/>
      <c r="AU362" s="253"/>
      <c r="AV362" s="253"/>
      <c r="AW362" s="253"/>
      <c r="AX362" s="253"/>
      <c r="AY362" s="253"/>
      <c r="AZ362" s="253"/>
      <c r="BA362" s="253"/>
      <c r="BB362" s="253"/>
      <c r="BC362" s="253"/>
      <c r="BD362" s="253"/>
      <c r="BE362" s="253"/>
      <c r="BF362" s="253"/>
      <c r="BG362" s="253"/>
      <c r="BH362" s="253"/>
      <c r="BI362" s="253"/>
      <c r="BJ362" s="253"/>
    </row>
    <row r="363" spans="1:62" ht="24" customHeight="1">
      <c r="A363" s="256"/>
      <c r="B363" s="256"/>
      <c r="C363" s="264"/>
      <c r="D363" s="254"/>
      <c r="E363" s="254"/>
      <c r="F363" s="258"/>
      <c r="G363" s="254"/>
      <c r="H363" s="258"/>
      <c r="I363" s="254"/>
      <c r="J363" s="258"/>
      <c r="K363" s="258"/>
      <c r="L363" s="258"/>
      <c r="M363" s="256"/>
      <c r="N363" s="253"/>
      <c r="O363" s="253"/>
      <c r="P363" s="253"/>
      <c r="Q363" s="253"/>
      <c r="R363" s="253"/>
      <c r="S363" s="253"/>
      <c r="T363" s="253"/>
      <c r="U363" s="253"/>
      <c r="V363" s="253"/>
      <c r="W363" s="253"/>
      <c r="X363" s="253"/>
      <c r="Y363" s="253"/>
      <c r="Z363" s="253"/>
      <c r="AA363" s="253"/>
      <c r="AB363" s="253"/>
      <c r="AC363" s="253"/>
      <c r="AD363" s="253"/>
      <c r="AE363" s="253"/>
      <c r="AF363" s="253"/>
      <c r="AG363" s="253"/>
      <c r="AH363" s="253"/>
      <c r="AI363" s="253"/>
      <c r="AJ363" s="253"/>
      <c r="AK363" s="253"/>
      <c r="AL363" s="253"/>
      <c r="AM363" s="253"/>
      <c r="AN363" s="253"/>
      <c r="AO363" s="253"/>
      <c r="AP363" s="253"/>
      <c r="AQ363" s="253"/>
      <c r="AR363" s="253"/>
      <c r="AS363" s="253"/>
      <c r="AT363" s="253"/>
      <c r="AU363" s="253"/>
      <c r="AV363" s="253"/>
      <c r="AW363" s="253"/>
      <c r="AX363" s="253"/>
      <c r="AY363" s="253"/>
      <c r="AZ363" s="253"/>
      <c r="BA363" s="253"/>
      <c r="BB363" s="253"/>
      <c r="BC363" s="253"/>
      <c r="BD363" s="253"/>
      <c r="BE363" s="253"/>
      <c r="BF363" s="253"/>
      <c r="BG363" s="253"/>
      <c r="BH363" s="253"/>
      <c r="BI363" s="253"/>
      <c r="BJ363" s="253"/>
    </row>
    <row r="364" spans="1:62" ht="24" customHeight="1">
      <c r="A364" s="256"/>
      <c r="B364" s="256"/>
      <c r="C364" s="264"/>
      <c r="D364" s="254"/>
      <c r="E364" s="254"/>
      <c r="F364" s="258"/>
      <c r="G364" s="254"/>
      <c r="H364" s="258"/>
      <c r="I364" s="254"/>
      <c r="J364" s="258"/>
      <c r="K364" s="258"/>
      <c r="L364" s="258"/>
      <c r="M364" s="256"/>
      <c r="N364" s="253"/>
      <c r="O364" s="253"/>
      <c r="P364" s="253"/>
      <c r="Q364" s="253"/>
      <c r="R364" s="253"/>
      <c r="S364" s="253"/>
      <c r="T364" s="253"/>
      <c r="U364" s="253"/>
      <c r="V364" s="253"/>
      <c r="W364" s="253"/>
      <c r="X364" s="253"/>
      <c r="Y364" s="253"/>
      <c r="Z364" s="253"/>
      <c r="AA364" s="253"/>
      <c r="AB364" s="253"/>
      <c r="AC364" s="253"/>
      <c r="AD364" s="253"/>
      <c r="AE364" s="253"/>
      <c r="AF364" s="253"/>
      <c r="AG364" s="253"/>
      <c r="AH364" s="253"/>
      <c r="AI364" s="253"/>
      <c r="AJ364" s="253"/>
      <c r="AK364" s="253"/>
      <c r="AL364" s="253"/>
      <c r="AM364" s="253"/>
      <c r="AN364" s="253"/>
      <c r="AO364" s="253"/>
      <c r="AP364" s="253"/>
      <c r="AQ364" s="253"/>
      <c r="AR364" s="253"/>
      <c r="AS364" s="253"/>
      <c r="AT364" s="253"/>
      <c r="AU364" s="253"/>
      <c r="AV364" s="253"/>
      <c r="AW364" s="253"/>
      <c r="AX364" s="253"/>
      <c r="AY364" s="253"/>
      <c r="AZ364" s="253"/>
      <c r="BA364" s="253"/>
      <c r="BB364" s="253"/>
      <c r="BC364" s="253"/>
      <c r="BD364" s="253"/>
      <c r="BE364" s="253"/>
      <c r="BF364" s="253"/>
      <c r="BG364" s="253"/>
      <c r="BH364" s="253"/>
      <c r="BI364" s="253"/>
      <c r="BJ364" s="253"/>
    </row>
    <row r="365" spans="1:62" ht="24" customHeight="1">
      <c r="A365" s="256"/>
      <c r="B365" s="256"/>
      <c r="C365" s="264"/>
      <c r="D365" s="254"/>
      <c r="E365" s="254"/>
      <c r="F365" s="258"/>
      <c r="G365" s="254"/>
      <c r="H365" s="258"/>
      <c r="I365" s="254"/>
      <c r="J365" s="258"/>
      <c r="K365" s="258"/>
      <c r="L365" s="258"/>
      <c r="M365" s="256"/>
      <c r="N365" s="253"/>
      <c r="O365" s="253"/>
      <c r="P365" s="253"/>
      <c r="Q365" s="253"/>
      <c r="R365" s="253"/>
      <c r="S365" s="253"/>
      <c r="T365" s="253"/>
      <c r="U365" s="253"/>
      <c r="V365" s="253"/>
      <c r="W365" s="253"/>
      <c r="X365" s="253"/>
      <c r="Y365" s="253"/>
      <c r="Z365" s="253"/>
      <c r="AA365" s="253"/>
      <c r="AB365" s="253"/>
      <c r="AC365" s="253"/>
      <c r="AD365" s="253"/>
      <c r="AE365" s="253"/>
      <c r="AF365" s="253"/>
      <c r="AG365" s="253"/>
      <c r="AH365" s="253"/>
      <c r="AI365" s="253"/>
      <c r="AJ365" s="253"/>
      <c r="AK365" s="253"/>
      <c r="AL365" s="253"/>
      <c r="AM365" s="253"/>
      <c r="AN365" s="253"/>
      <c r="AO365" s="253"/>
      <c r="AP365" s="253"/>
      <c r="AQ365" s="253"/>
      <c r="AR365" s="253"/>
      <c r="AS365" s="253"/>
      <c r="AT365" s="253"/>
      <c r="AU365" s="253"/>
      <c r="AV365" s="253"/>
      <c r="AW365" s="253"/>
      <c r="AX365" s="253"/>
      <c r="AY365" s="253"/>
      <c r="AZ365" s="253"/>
      <c r="BA365" s="253"/>
      <c r="BB365" s="253"/>
      <c r="BC365" s="253"/>
      <c r="BD365" s="253"/>
      <c r="BE365" s="253"/>
      <c r="BF365" s="253"/>
      <c r="BG365" s="253"/>
      <c r="BH365" s="253"/>
      <c r="BI365" s="253"/>
      <c r="BJ365" s="253"/>
    </row>
    <row r="366" spans="1:62" ht="24" customHeight="1">
      <c r="A366" s="256"/>
      <c r="B366" s="256"/>
      <c r="C366" s="264"/>
      <c r="D366" s="254"/>
      <c r="E366" s="254"/>
      <c r="F366" s="258"/>
      <c r="G366" s="254"/>
      <c r="H366" s="258"/>
      <c r="I366" s="254"/>
      <c r="J366" s="258"/>
      <c r="K366" s="258"/>
      <c r="L366" s="258"/>
      <c r="M366" s="256"/>
      <c r="N366" s="253"/>
      <c r="O366" s="253"/>
      <c r="P366" s="253"/>
      <c r="Q366" s="253"/>
      <c r="R366" s="253"/>
      <c r="S366" s="253"/>
      <c r="T366" s="253"/>
      <c r="U366" s="253"/>
      <c r="V366" s="253"/>
      <c r="W366" s="253"/>
      <c r="X366" s="253"/>
      <c r="Y366" s="253"/>
      <c r="Z366" s="253"/>
      <c r="AA366" s="253"/>
      <c r="AB366" s="253"/>
      <c r="AC366" s="253"/>
      <c r="AD366" s="253"/>
      <c r="AE366" s="253"/>
      <c r="AF366" s="253"/>
      <c r="AG366" s="253"/>
      <c r="AH366" s="253"/>
      <c r="AI366" s="253"/>
      <c r="AJ366" s="253"/>
      <c r="AK366" s="253"/>
      <c r="AL366" s="253"/>
      <c r="AM366" s="253"/>
      <c r="AN366" s="253"/>
      <c r="AO366" s="253"/>
      <c r="AP366" s="253"/>
      <c r="AQ366" s="253"/>
      <c r="AR366" s="253"/>
      <c r="AS366" s="253"/>
      <c r="AT366" s="253"/>
      <c r="AU366" s="253"/>
      <c r="AV366" s="253"/>
      <c r="AW366" s="253"/>
      <c r="AX366" s="253"/>
      <c r="AY366" s="253"/>
      <c r="AZ366" s="253"/>
      <c r="BA366" s="253"/>
      <c r="BB366" s="253"/>
      <c r="BC366" s="253"/>
      <c r="BD366" s="253"/>
      <c r="BE366" s="253"/>
      <c r="BF366" s="253"/>
      <c r="BG366" s="253"/>
      <c r="BH366" s="253"/>
      <c r="BI366" s="253"/>
      <c r="BJ366" s="253"/>
    </row>
    <row r="367" spans="1:62" ht="24" customHeight="1">
      <c r="A367" s="256"/>
      <c r="B367" s="256"/>
      <c r="C367" s="264"/>
      <c r="D367" s="254"/>
      <c r="E367" s="254"/>
      <c r="F367" s="258"/>
      <c r="G367" s="254"/>
      <c r="H367" s="258"/>
      <c r="I367" s="254"/>
      <c r="J367" s="258"/>
      <c r="K367" s="258"/>
      <c r="L367" s="258"/>
      <c r="M367" s="256"/>
      <c r="N367" s="253"/>
      <c r="O367" s="253"/>
      <c r="P367" s="253"/>
      <c r="Q367" s="253"/>
      <c r="R367" s="253"/>
      <c r="S367" s="253"/>
      <c r="T367" s="253"/>
      <c r="U367" s="253"/>
      <c r="V367" s="253"/>
      <c r="W367" s="253"/>
      <c r="X367" s="253"/>
      <c r="Y367" s="253"/>
      <c r="Z367" s="253"/>
      <c r="AA367" s="253"/>
      <c r="AB367" s="253"/>
      <c r="AC367" s="253"/>
      <c r="AD367" s="253"/>
      <c r="AE367" s="253"/>
      <c r="AF367" s="253"/>
      <c r="AG367" s="253"/>
      <c r="AH367" s="253"/>
      <c r="AI367" s="253"/>
      <c r="AJ367" s="253"/>
      <c r="AK367" s="253"/>
      <c r="AL367" s="253"/>
      <c r="AM367" s="253"/>
      <c r="AN367" s="253"/>
      <c r="AO367" s="253"/>
      <c r="AP367" s="253"/>
      <c r="AQ367" s="253"/>
      <c r="AR367" s="253"/>
      <c r="AS367" s="253"/>
      <c r="AT367" s="253"/>
      <c r="AU367" s="253"/>
      <c r="AV367" s="253"/>
      <c r="AW367" s="253"/>
      <c r="AX367" s="253"/>
      <c r="AY367" s="253"/>
      <c r="AZ367" s="253"/>
      <c r="BA367" s="253"/>
      <c r="BB367" s="253"/>
      <c r="BC367" s="253"/>
      <c r="BD367" s="253"/>
      <c r="BE367" s="253"/>
      <c r="BF367" s="253"/>
      <c r="BG367" s="253"/>
      <c r="BH367" s="253"/>
      <c r="BI367" s="253"/>
      <c r="BJ367" s="253"/>
    </row>
    <row r="368" spans="1:62" ht="24" customHeight="1">
      <c r="A368" s="256"/>
      <c r="B368" s="256"/>
      <c r="C368" s="264"/>
      <c r="D368" s="254"/>
      <c r="E368" s="254"/>
      <c r="F368" s="258"/>
      <c r="G368" s="254"/>
      <c r="H368" s="258"/>
      <c r="I368" s="254"/>
      <c r="J368" s="258"/>
      <c r="K368" s="258"/>
      <c r="L368" s="258"/>
      <c r="M368" s="256"/>
      <c r="N368" s="253"/>
      <c r="O368" s="253"/>
      <c r="P368" s="253"/>
      <c r="Q368" s="253"/>
      <c r="R368" s="253"/>
      <c r="S368" s="253"/>
      <c r="T368" s="253"/>
      <c r="U368" s="253"/>
      <c r="V368" s="253"/>
      <c r="W368" s="253"/>
      <c r="X368" s="253"/>
      <c r="Y368" s="253"/>
      <c r="Z368" s="253"/>
      <c r="AA368" s="253"/>
      <c r="AB368" s="253"/>
      <c r="AC368" s="253"/>
      <c r="AD368" s="253"/>
      <c r="AE368" s="253"/>
      <c r="AF368" s="253"/>
      <c r="AG368" s="253"/>
      <c r="AH368" s="253"/>
      <c r="AI368" s="253"/>
      <c r="AJ368" s="253"/>
      <c r="AK368" s="253"/>
      <c r="AL368" s="253"/>
      <c r="AM368" s="253"/>
      <c r="AN368" s="253"/>
      <c r="AO368" s="253"/>
      <c r="AP368" s="253"/>
      <c r="AQ368" s="253"/>
      <c r="AR368" s="253"/>
      <c r="AS368" s="253"/>
      <c r="AT368" s="253"/>
      <c r="AU368" s="253"/>
      <c r="AV368" s="253"/>
      <c r="AW368" s="253"/>
      <c r="AX368" s="253"/>
      <c r="AY368" s="253"/>
      <c r="AZ368" s="253"/>
      <c r="BA368" s="253"/>
      <c r="BB368" s="253"/>
      <c r="BC368" s="253"/>
      <c r="BD368" s="253"/>
      <c r="BE368" s="253"/>
      <c r="BF368" s="253"/>
      <c r="BG368" s="253"/>
      <c r="BH368" s="253"/>
      <c r="BI368" s="253"/>
      <c r="BJ368" s="253"/>
    </row>
    <row r="369" spans="1:62" ht="24" customHeight="1">
      <c r="A369" s="256"/>
      <c r="B369" s="256"/>
      <c r="C369" s="264"/>
      <c r="D369" s="254"/>
      <c r="E369" s="254"/>
      <c r="F369" s="258"/>
      <c r="G369" s="254"/>
      <c r="H369" s="258"/>
      <c r="I369" s="254"/>
      <c r="J369" s="258"/>
      <c r="K369" s="258"/>
      <c r="L369" s="258"/>
      <c r="M369" s="256"/>
      <c r="N369" s="253"/>
      <c r="O369" s="253"/>
      <c r="P369" s="253"/>
      <c r="Q369" s="253"/>
      <c r="R369" s="253"/>
      <c r="S369" s="253"/>
      <c r="T369" s="253"/>
      <c r="U369" s="253"/>
      <c r="V369" s="253"/>
      <c r="W369" s="253"/>
      <c r="X369" s="253"/>
      <c r="Y369" s="253"/>
      <c r="Z369" s="253"/>
      <c r="AA369" s="253"/>
      <c r="AB369" s="253"/>
      <c r="AC369" s="253"/>
      <c r="AD369" s="253"/>
      <c r="AE369" s="253"/>
      <c r="AF369" s="253"/>
      <c r="AG369" s="253"/>
      <c r="AH369" s="253"/>
      <c r="AI369" s="253"/>
      <c r="AJ369" s="253"/>
      <c r="AK369" s="253"/>
      <c r="AL369" s="253"/>
      <c r="AM369" s="253"/>
      <c r="AN369" s="253"/>
      <c r="AO369" s="253"/>
      <c r="AP369" s="253"/>
      <c r="AQ369" s="253"/>
      <c r="AR369" s="253"/>
      <c r="AS369" s="253"/>
      <c r="AT369" s="253"/>
      <c r="AU369" s="253"/>
      <c r="AV369" s="253"/>
      <c r="AW369" s="253"/>
      <c r="AX369" s="253"/>
      <c r="AY369" s="253"/>
      <c r="AZ369" s="253"/>
      <c r="BA369" s="253"/>
      <c r="BB369" s="253"/>
      <c r="BC369" s="253"/>
      <c r="BD369" s="253"/>
      <c r="BE369" s="253"/>
      <c r="BF369" s="253"/>
      <c r="BG369" s="253"/>
      <c r="BH369" s="253"/>
      <c r="BI369" s="253"/>
      <c r="BJ369" s="253"/>
    </row>
    <row r="370" spans="1:62" ht="24" customHeight="1">
      <c r="A370" s="256"/>
      <c r="B370" s="256"/>
      <c r="C370" s="264"/>
      <c r="D370" s="254"/>
      <c r="E370" s="254"/>
      <c r="F370" s="258"/>
      <c r="G370" s="254"/>
      <c r="H370" s="258"/>
      <c r="I370" s="254"/>
      <c r="J370" s="258"/>
      <c r="K370" s="258"/>
      <c r="L370" s="258"/>
      <c r="M370" s="256"/>
      <c r="N370" s="253"/>
      <c r="O370" s="253"/>
      <c r="P370" s="253"/>
      <c r="Q370" s="253"/>
      <c r="R370" s="253"/>
      <c r="S370" s="253"/>
      <c r="T370" s="253"/>
      <c r="U370" s="253"/>
      <c r="V370" s="253"/>
      <c r="W370" s="253"/>
      <c r="X370" s="253"/>
      <c r="Y370" s="253"/>
      <c r="Z370" s="253"/>
      <c r="AA370" s="253"/>
      <c r="AB370" s="253"/>
      <c r="AC370" s="253"/>
      <c r="AD370" s="253"/>
      <c r="AE370" s="253"/>
      <c r="AF370" s="253"/>
      <c r="AG370" s="253"/>
      <c r="AH370" s="253"/>
      <c r="AI370" s="253"/>
      <c r="AJ370" s="253"/>
      <c r="AK370" s="253"/>
      <c r="AL370" s="253"/>
      <c r="AM370" s="253"/>
      <c r="AN370" s="253"/>
      <c r="AO370" s="253"/>
      <c r="AP370" s="253"/>
      <c r="AQ370" s="253"/>
      <c r="AR370" s="253"/>
      <c r="AS370" s="253"/>
      <c r="AT370" s="253"/>
      <c r="AU370" s="253"/>
      <c r="AV370" s="253"/>
      <c r="AW370" s="253"/>
      <c r="AX370" s="253"/>
      <c r="AY370" s="253"/>
      <c r="AZ370" s="253"/>
      <c r="BA370" s="253"/>
      <c r="BB370" s="253"/>
      <c r="BC370" s="253"/>
      <c r="BD370" s="253"/>
      <c r="BE370" s="253"/>
      <c r="BF370" s="253"/>
      <c r="BG370" s="253"/>
      <c r="BH370" s="253"/>
      <c r="BI370" s="253"/>
      <c r="BJ370" s="253"/>
    </row>
    <row r="371" spans="1:62" ht="24" customHeight="1">
      <c r="A371" s="256"/>
      <c r="B371" s="256"/>
      <c r="C371" s="264"/>
      <c r="D371" s="254"/>
      <c r="E371" s="254"/>
      <c r="F371" s="258"/>
      <c r="G371" s="254"/>
      <c r="H371" s="258"/>
      <c r="I371" s="254"/>
      <c r="J371" s="258"/>
      <c r="K371" s="258"/>
      <c r="L371" s="258"/>
      <c r="M371" s="256"/>
      <c r="N371" s="253"/>
      <c r="O371" s="253"/>
      <c r="P371" s="253"/>
      <c r="Q371" s="253"/>
      <c r="R371" s="253"/>
      <c r="S371" s="253"/>
      <c r="T371" s="253"/>
      <c r="U371" s="253"/>
      <c r="V371" s="253"/>
      <c r="W371" s="253"/>
      <c r="X371" s="253"/>
      <c r="Y371" s="253"/>
      <c r="Z371" s="253"/>
      <c r="AA371" s="253"/>
      <c r="AB371" s="253"/>
      <c r="AC371" s="253"/>
      <c r="AD371" s="253"/>
      <c r="AE371" s="253"/>
      <c r="AF371" s="253"/>
      <c r="AG371" s="253"/>
      <c r="AH371" s="253"/>
      <c r="AI371" s="253"/>
      <c r="AJ371" s="253"/>
      <c r="AK371" s="253"/>
      <c r="AL371" s="253"/>
      <c r="AM371" s="253"/>
      <c r="AN371" s="253"/>
      <c r="AO371" s="253"/>
      <c r="AP371" s="253"/>
      <c r="AQ371" s="253"/>
      <c r="AR371" s="253"/>
      <c r="AS371" s="253"/>
      <c r="AT371" s="253"/>
      <c r="AU371" s="253"/>
      <c r="AV371" s="253"/>
      <c r="AW371" s="253"/>
      <c r="AX371" s="253"/>
      <c r="AY371" s="253"/>
      <c r="AZ371" s="253"/>
      <c r="BA371" s="253"/>
      <c r="BB371" s="253"/>
      <c r="BC371" s="253"/>
      <c r="BD371" s="253"/>
      <c r="BE371" s="253"/>
      <c r="BF371" s="253"/>
      <c r="BG371" s="253"/>
      <c r="BH371" s="253"/>
      <c r="BI371" s="253"/>
      <c r="BJ371" s="253"/>
    </row>
    <row r="372" spans="1:62" ht="24" customHeight="1">
      <c r="A372" s="265" t="s">
        <v>1103</v>
      </c>
      <c r="B372" s="265" t="s">
        <v>1146</v>
      </c>
      <c r="C372" s="266">
        <v>1</v>
      </c>
      <c r="D372" s="267" t="s">
        <v>1094</v>
      </c>
      <c r="E372" s="267"/>
      <c r="F372" s="268">
        <f>TRUNC(F373+F374+F375,0)</f>
        <v>0</v>
      </c>
      <c r="G372" s="267"/>
      <c r="H372" s="268"/>
      <c r="I372" s="267"/>
      <c r="J372" s="268"/>
      <c r="K372" s="267"/>
      <c r="L372" s="268"/>
      <c r="M372" s="265"/>
      <c r="N372" s="253" t="s">
        <v>68</v>
      </c>
      <c r="O372" s="253" t="s">
        <v>1106</v>
      </c>
      <c r="P372" s="253"/>
      <c r="Q372" s="253"/>
      <c r="R372" s="253"/>
      <c r="S372" s="253"/>
      <c r="T372" s="253"/>
      <c r="U372" s="253"/>
      <c r="V372" s="253"/>
      <c r="W372" s="253"/>
      <c r="X372" s="253"/>
      <c r="Y372" s="253"/>
      <c r="Z372" s="253"/>
      <c r="AA372" s="253"/>
      <c r="AB372" s="253"/>
      <c r="AC372" s="253"/>
      <c r="AD372" s="253"/>
      <c r="AE372" s="253"/>
      <c r="AF372" s="253"/>
      <c r="AG372" s="253"/>
      <c r="AH372" s="253"/>
      <c r="AI372" s="253"/>
      <c r="AJ372" s="253"/>
      <c r="AK372" s="253"/>
      <c r="AL372" s="253"/>
      <c r="AM372" s="253"/>
      <c r="AN372" s="253"/>
      <c r="AO372" s="253"/>
      <c r="AP372" s="253"/>
      <c r="AQ372" s="253"/>
      <c r="AR372" s="253"/>
      <c r="AS372" s="253"/>
      <c r="AT372" s="253"/>
      <c r="AU372" s="253"/>
      <c r="AV372" s="253"/>
      <c r="AW372" s="253"/>
      <c r="AX372" s="253"/>
      <c r="AY372" s="253"/>
      <c r="AZ372" s="253"/>
      <c r="BA372" s="253"/>
      <c r="BB372" s="253"/>
      <c r="BC372" s="253"/>
      <c r="BD372" s="253"/>
      <c r="BE372" s="253"/>
      <c r="BF372" s="253"/>
      <c r="BG372" s="253"/>
      <c r="BH372" s="253"/>
      <c r="BI372" s="253"/>
      <c r="BJ372" s="253"/>
    </row>
    <row r="373" spans="1:62" ht="24" customHeight="1">
      <c r="A373" s="269" t="s">
        <v>1574</v>
      </c>
      <c r="B373" s="269" t="s">
        <v>68</v>
      </c>
      <c r="C373" s="270">
        <v>1</v>
      </c>
      <c r="D373" s="271" t="s">
        <v>1094</v>
      </c>
      <c r="E373" s="272">
        <f>F388</f>
        <v>0</v>
      </c>
      <c r="F373" s="272">
        <f>TRUNC(E373*C373,0)</f>
        <v>0</v>
      </c>
      <c r="G373" s="272">
        <f>H388</f>
        <v>0</v>
      </c>
      <c r="H373" s="272"/>
      <c r="I373" s="272"/>
      <c r="J373" s="272"/>
      <c r="K373" s="272"/>
      <c r="L373" s="272"/>
      <c r="M373" s="269"/>
      <c r="N373" s="253" t="s">
        <v>68</v>
      </c>
      <c r="O373" s="253"/>
      <c r="P373" s="253" t="s">
        <v>1095</v>
      </c>
      <c r="Q373" s="253" t="s">
        <v>68</v>
      </c>
      <c r="R373" s="253" t="s">
        <v>1575</v>
      </c>
      <c r="S373" s="253"/>
      <c r="T373" s="253"/>
      <c r="U373" s="253"/>
      <c r="V373" s="253"/>
      <c r="W373" s="253"/>
      <c r="X373" s="253"/>
      <c r="Y373" s="253"/>
      <c r="Z373" s="253"/>
      <c r="AA373" s="253"/>
      <c r="AB373" s="253"/>
      <c r="AC373" s="253"/>
      <c r="AD373" s="253"/>
      <c r="AE373" s="253"/>
      <c r="AF373" s="253"/>
      <c r="AG373" s="253"/>
      <c r="AH373" s="253"/>
      <c r="AI373" s="253"/>
      <c r="AJ373" s="253"/>
      <c r="AK373" s="253"/>
      <c r="AL373" s="253"/>
      <c r="AM373" s="253"/>
      <c r="AN373" s="253"/>
      <c r="AO373" s="253"/>
      <c r="AP373" s="253"/>
      <c r="AQ373" s="253"/>
      <c r="AR373" s="253"/>
      <c r="AS373" s="253"/>
      <c r="AT373" s="253"/>
      <c r="AU373" s="253"/>
      <c r="AV373" s="253"/>
      <c r="AW373" s="253"/>
      <c r="AX373" s="253"/>
      <c r="AY373" s="253"/>
      <c r="AZ373" s="253"/>
      <c r="BA373" s="253"/>
      <c r="BB373" s="253"/>
      <c r="BC373" s="253"/>
      <c r="BD373" s="253"/>
      <c r="BE373" s="253"/>
      <c r="BF373" s="253"/>
      <c r="BG373" s="253"/>
      <c r="BH373" s="253"/>
      <c r="BI373" s="253"/>
      <c r="BJ373" s="263" t="str">
        <f>HYPERLINK("#내역서!A333","A04-01 →")</f>
        <v>A04-01 →</v>
      </c>
    </row>
    <row r="374" spans="1:62" ht="24" customHeight="1">
      <c r="A374" s="269" t="s">
        <v>1576</v>
      </c>
      <c r="B374" s="269" t="s">
        <v>68</v>
      </c>
      <c r="C374" s="270">
        <v>1</v>
      </c>
      <c r="D374" s="271" t="s">
        <v>1094</v>
      </c>
      <c r="E374" s="272">
        <f>F396</f>
        <v>0</v>
      </c>
      <c r="F374" s="272">
        <f>TRUNC(E374*C374,0)</f>
        <v>0</v>
      </c>
      <c r="G374" s="272">
        <f>H396</f>
        <v>0</v>
      </c>
      <c r="H374" s="272"/>
      <c r="I374" s="272"/>
      <c r="J374" s="272"/>
      <c r="K374" s="272"/>
      <c r="L374" s="272"/>
      <c r="M374" s="269"/>
      <c r="N374" s="253" t="s">
        <v>68</v>
      </c>
      <c r="O374" s="253"/>
      <c r="P374" s="253" t="s">
        <v>1098</v>
      </c>
      <c r="Q374" s="253" t="s">
        <v>68</v>
      </c>
      <c r="R374" s="253" t="s">
        <v>1577</v>
      </c>
      <c r="S374" s="253"/>
      <c r="T374" s="253"/>
      <c r="U374" s="253"/>
      <c r="V374" s="253"/>
      <c r="W374" s="253"/>
      <c r="X374" s="253"/>
      <c r="Y374" s="253"/>
      <c r="Z374" s="253"/>
      <c r="AA374" s="253"/>
      <c r="AB374" s="253"/>
      <c r="AC374" s="253"/>
      <c r="AD374" s="253"/>
      <c r="AE374" s="253"/>
      <c r="AF374" s="253"/>
      <c r="AG374" s="253"/>
      <c r="AH374" s="253"/>
      <c r="AI374" s="253"/>
      <c r="AJ374" s="253"/>
      <c r="AK374" s="253"/>
      <c r="AL374" s="253"/>
      <c r="AM374" s="253"/>
      <c r="AN374" s="253"/>
      <c r="AO374" s="253"/>
      <c r="AP374" s="253"/>
      <c r="AQ374" s="253"/>
      <c r="AR374" s="253"/>
      <c r="AS374" s="253"/>
      <c r="AT374" s="253"/>
      <c r="AU374" s="253"/>
      <c r="AV374" s="253"/>
      <c r="AW374" s="253"/>
      <c r="AX374" s="253"/>
      <c r="AY374" s="253"/>
      <c r="AZ374" s="253"/>
      <c r="BA374" s="253"/>
      <c r="BB374" s="253"/>
      <c r="BC374" s="253"/>
      <c r="BD374" s="253"/>
      <c r="BE374" s="253"/>
      <c r="BF374" s="253"/>
      <c r="BG374" s="253"/>
      <c r="BH374" s="253"/>
      <c r="BI374" s="253"/>
      <c r="BJ374" s="263" t="str">
        <f>HYPERLINK("#내역서!A341","A04-02 →")</f>
        <v>A04-02 →</v>
      </c>
    </row>
    <row r="375" spans="1:62" ht="24" customHeight="1">
      <c r="A375" s="269" t="s">
        <v>1578</v>
      </c>
      <c r="B375" s="269" t="s">
        <v>68</v>
      </c>
      <c r="C375" s="270">
        <v>1</v>
      </c>
      <c r="D375" s="271" t="s">
        <v>1094</v>
      </c>
      <c r="E375" s="272">
        <f>F413</f>
        <v>0</v>
      </c>
      <c r="F375" s="272">
        <f>TRUNC(E375*C375,0)</f>
        <v>0</v>
      </c>
      <c r="G375" s="272">
        <f>H413</f>
        <v>0</v>
      </c>
      <c r="H375" s="272"/>
      <c r="I375" s="272"/>
      <c r="J375" s="272"/>
      <c r="K375" s="272"/>
      <c r="L375" s="272"/>
      <c r="M375" s="269"/>
      <c r="N375" s="253" t="s">
        <v>68</v>
      </c>
      <c r="O375" s="253"/>
      <c r="P375" s="253" t="s">
        <v>1101</v>
      </c>
      <c r="Q375" s="253" t="s">
        <v>68</v>
      </c>
      <c r="R375" s="253" t="s">
        <v>1579</v>
      </c>
      <c r="S375" s="253"/>
      <c r="T375" s="253"/>
      <c r="U375" s="253"/>
      <c r="V375" s="253"/>
      <c r="W375" s="253"/>
      <c r="X375" s="253"/>
      <c r="Y375" s="253"/>
      <c r="Z375" s="253"/>
      <c r="AA375" s="253"/>
      <c r="AB375" s="253"/>
      <c r="AC375" s="253"/>
      <c r="AD375" s="253"/>
      <c r="AE375" s="253"/>
      <c r="AF375" s="253"/>
      <c r="AG375" s="253"/>
      <c r="AH375" s="253"/>
      <c r="AI375" s="253"/>
      <c r="AJ375" s="253"/>
      <c r="AK375" s="253"/>
      <c r="AL375" s="253"/>
      <c r="AM375" s="253"/>
      <c r="AN375" s="253"/>
      <c r="AO375" s="253"/>
      <c r="AP375" s="253"/>
      <c r="AQ375" s="253"/>
      <c r="AR375" s="253"/>
      <c r="AS375" s="253"/>
      <c r="AT375" s="253"/>
      <c r="AU375" s="253"/>
      <c r="AV375" s="253"/>
      <c r="AW375" s="253"/>
      <c r="AX375" s="253"/>
      <c r="AY375" s="253"/>
      <c r="AZ375" s="253"/>
      <c r="BA375" s="253"/>
      <c r="BB375" s="253"/>
      <c r="BC375" s="253"/>
      <c r="BD375" s="253"/>
      <c r="BE375" s="253"/>
      <c r="BF375" s="253"/>
      <c r="BG375" s="253"/>
      <c r="BH375" s="253"/>
      <c r="BI375" s="253"/>
      <c r="BJ375" s="263" t="str">
        <f>HYPERLINK("#내역서!A358","A04-03 →")</f>
        <v>A04-03 →</v>
      </c>
    </row>
    <row r="376" spans="1:62" ht="24" customHeight="1">
      <c r="A376" s="256" t="s">
        <v>68</v>
      </c>
      <c r="B376" s="256" t="s">
        <v>68</v>
      </c>
      <c r="C376" s="264"/>
      <c r="D376" s="254" t="s">
        <v>68</v>
      </c>
      <c r="E376" s="254"/>
      <c r="F376" s="258">
        <v>0</v>
      </c>
      <c r="G376" s="254"/>
      <c r="H376" s="258"/>
      <c r="I376" s="254"/>
      <c r="J376" s="258"/>
      <c r="K376" s="258"/>
      <c r="L376" s="258"/>
      <c r="M376" s="256"/>
      <c r="N376" s="253" t="s">
        <v>68</v>
      </c>
      <c r="O376" s="253"/>
      <c r="P376" s="253" t="s">
        <v>1104</v>
      </c>
      <c r="Q376" s="253" t="s">
        <v>68</v>
      </c>
      <c r="R376" s="253" t="s">
        <v>68</v>
      </c>
      <c r="S376" s="253"/>
      <c r="T376" s="253"/>
      <c r="U376" s="253"/>
      <c r="V376" s="253"/>
      <c r="W376" s="253"/>
      <c r="X376" s="253"/>
      <c r="Y376" s="253"/>
      <c r="Z376" s="253"/>
      <c r="AA376" s="253"/>
      <c r="AB376" s="253"/>
      <c r="AC376" s="253"/>
      <c r="AD376" s="253"/>
      <c r="AE376" s="253"/>
      <c r="AF376" s="253"/>
      <c r="AG376" s="253"/>
      <c r="AH376" s="253"/>
      <c r="AI376" s="253"/>
      <c r="AJ376" s="253"/>
      <c r="AK376" s="253"/>
      <c r="AL376" s="253"/>
      <c r="AM376" s="253"/>
      <c r="AN376" s="253"/>
      <c r="AO376" s="253"/>
      <c r="AP376" s="253"/>
      <c r="AQ376" s="253"/>
      <c r="AR376" s="253"/>
      <c r="AS376" s="253"/>
      <c r="AT376" s="253"/>
      <c r="AU376" s="253"/>
      <c r="AV376" s="253"/>
      <c r="AW376" s="253"/>
      <c r="AX376" s="253"/>
      <c r="AY376" s="253"/>
      <c r="AZ376" s="253"/>
      <c r="BA376" s="253"/>
      <c r="BB376" s="253"/>
      <c r="BC376" s="253"/>
      <c r="BD376" s="253"/>
      <c r="BE376" s="253"/>
      <c r="BF376" s="253"/>
      <c r="BG376" s="253"/>
      <c r="BH376" s="253"/>
      <c r="BI376" s="253"/>
      <c r="BJ376" s="253"/>
    </row>
    <row r="377" spans="1:62" ht="24" customHeight="1">
      <c r="A377" s="256"/>
      <c r="B377" s="256"/>
      <c r="C377" s="264"/>
      <c r="D377" s="254"/>
      <c r="E377" s="254"/>
      <c r="F377" s="258"/>
      <c r="G377" s="254"/>
      <c r="H377" s="258"/>
      <c r="I377" s="254"/>
      <c r="J377" s="258"/>
      <c r="K377" s="258"/>
      <c r="L377" s="258"/>
      <c r="M377" s="256"/>
      <c r="N377" s="253"/>
      <c r="O377" s="253"/>
      <c r="P377" s="253"/>
      <c r="Q377" s="253"/>
      <c r="R377" s="253"/>
      <c r="S377" s="253"/>
      <c r="T377" s="253"/>
      <c r="U377" s="253"/>
      <c r="V377" s="253"/>
      <c r="W377" s="253"/>
      <c r="X377" s="253"/>
      <c r="Y377" s="253"/>
      <c r="Z377" s="253"/>
      <c r="AA377" s="253"/>
      <c r="AB377" s="253"/>
      <c r="AC377" s="253"/>
      <c r="AD377" s="253"/>
      <c r="AE377" s="253"/>
      <c r="AF377" s="253"/>
      <c r="AG377" s="253"/>
      <c r="AH377" s="253"/>
      <c r="AI377" s="253"/>
      <c r="AJ377" s="253"/>
      <c r="AK377" s="253"/>
      <c r="AL377" s="253"/>
      <c r="AM377" s="253"/>
      <c r="AN377" s="253"/>
      <c r="AO377" s="253"/>
      <c r="AP377" s="253"/>
      <c r="AQ377" s="253"/>
      <c r="AR377" s="253"/>
      <c r="AS377" s="253"/>
      <c r="AT377" s="253"/>
      <c r="AU377" s="253"/>
      <c r="AV377" s="253"/>
      <c r="AW377" s="253"/>
      <c r="AX377" s="253"/>
      <c r="AY377" s="253"/>
      <c r="AZ377" s="253"/>
      <c r="BA377" s="253"/>
      <c r="BB377" s="253"/>
      <c r="BC377" s="253"/>
      <c r="BD377" s="253"/>
      <c r="BE377" s="253"/>
      <c r="BF377" s="253"/>
      <c r="BG377" s="253"/>
      <c r="BH377" s="253"/>
      <c r="BI377" s="253"/>
      <c r="BJ377" s="253"/>
    </row>
    <row r="378" spans="1:62" ht="24" customHeight="1">
      <c r="A378" s="256"/>
      <c r="B378" s="256"/>
      <c r="C378" s="264"/>
      <c r="D378" s="254"/>
      <c r="E378" s="254"/>
      <c r="F378" s="258"/>
      <c r="G378" s="254"/>
      <c r="H378" s="258"/>
      <c r="I378" s="254"/>
      <c r="J378" s="258"/>
      <c r="K378" s="258"/>
      <c r="L378" s="258"/>
      <c r="M378" s="256"/>
      <c r="N378" s="253"/>
      <c r="O378" s="253"/>
      <c r="P378" s="253"/>
      <c r="Q378" s="253"/>
      <c r="R378" s="253"/>
      <c r="S378" s="253"/>
      <c r="T378" s="253"/>
      <c r="U378" s="253"/>
      <c r="V378" s="253"/>
      <c r="W378" s="253"/>
      <c r="X378" s="253"/>
      <c r="Y378" s="253"/>
      <c r="Z378" s="253"/>
      <c r="AA378" s="253"/>
      <c r="AB378" s="253"/>
      <c r="AC378" s="253"/>
      <c r="AD378" s="253"/>
      <c r="AE378" s="253"/>
      <c r="AF378" s="253"/>
      <c r="AG378" s="253"/>
      <c r="AH378" s="253"/>
      <c r="AI378" s="253"/>
      <c r="AJ378" s="253"/>
      <c r="AK378" s="253"/>
      <c r="AL378" s="253"/>
      <c r="AM378" s="253"/>
      <c r="AN378" s="253"/>
      <c r="AO378" s="253"/>
      <c r="AP378" s="253"/>
      <c r="AQ378" s="253"/>
      <c r="AR378" s="253"/>
      <c r="AS378" s="253"/>
      <c r="AT378" s="253"/>
      <c r="AU378" s="253"/>
      <c r="AV378" s="253"/>
      <c r="AW378" s="253"/>
      <c r="AX378" s="253"/>
      <c r="AY378" s="253"/>
      <c r="AZ378" s="253"/>
      <c r="BA378" s="253"/>
      <c r="BB378" s="253"/>
      <c r="BC378" s="253"/>
      <c r="BD378" s="253"/>
      <c r="BE378" s="253"/>
      <c r="BF378" s="253"/>
      <c r="BG378" s="253"/>
      <c r="BH378" s="253"/>
      <c r="BI378" s="253"/>
      <c r="BJ378" s="253"/>
    </row>
    <row r="379" spans="1:62" ht="24" customHeight="1">
      <c r="A379" s="256"/>
      <c r="B379" s="256"/>
      <c r="C379" s="264"/>
      <c r="D379" s="254"/>
      <c r="E379" s="254"/>
      <c r="F379" s="258"/>
      <c r="G379" s="254"/>
      <c r="H379" s="258"/>
      <c r="I379" s="254"/>
      <c r="J379" s="258"/>
      <c r="K379" s="258"/>
      <c r="L379" s="258"/>
      <c r="M379" s="256"/>
      <c r="N379" s="253"/>
      <c r="O379" s="253"/>
      <c r="P379" s="253"/>
      <c r="Q379" s="253"/>
      <c r="R379" s="253"/>
      <c r="S379" s="253"/>
      <c r="T379" s="253"/>
      <c r="U379" s="253"/>
      <c r="V379" s="253"/>
      <c r="W379" s="253"/>
      <c r="X379" s="253"/>
      <c r="Y379" s="253"/>
      <c r="Z379" s="253"/>
      <c r="AA379" s="253"/>
      <c r="AB379" s="253"/>
      <c r="AC379" s="253"/>
      <c r="AD379" s="253"/>
      <c r="AE379" s="253"/>
      <c r="AF379" s="253"/>
      <c r="AG379" s="253"/>
      <c r="AH379" s="253"/>
      <c r="AI379" s="253"/>
      <c r="AJ379" s="253"/>
      <c r="AK379" s="253"/>
      <c r="AL379" s="253"/>
      <c r="AM379" s="253"/>
      <c r="AN379" s="253"/>
      <c r="AO379" s="253"/>
      <c r="AP379" s="253"/>
      <c r="AQ379" s="253"/>
      <c r="AR379" s="253"/>
      <c r="AS379" s="253"/>
      <c r="AT379" s="253"/>
      <c r="AU379" s="253"/>
      <c r="AV379" s="253"/>
      <c r="AW379" s="253"/>
      <c r="AX379" s="253"/>
      <c r="AY379" s="253"/>
      <c r="AZ379" s="253"/>
      <c r="BA379" s="253"/>
      <c r="BB379" s="253"/>
      <c r="BC379" s="253"/>
      <c r="BD379" s="253"/>
      <c r="BE379" s="253"/>
      <c r="BF379" s="253"/>
      <c r="BG379" s="253"/>
      <c r="BH379" s="253"/>
      <c r="BI379" s="253"/>
      <c r="BJ379" s="253"/>
    </row>
    <row r="380" spans="1:62" ht="24" customHeight="1">
      <c r="A380" s="256"/>
      <c r="B380" s="256"/>
      <c r="C380" s="264"/>
      <c r="D380" s="254"/>
      <c r="E380" s="254"/>
      <c r="F380" s="258"/>
      <c r="G380" s="254"/>
      <c r="H380" s="258"/>
      <c r="I380" s="254"/>
      <c r="J380" s="258"/>
      <c r="K380" s="258"/>
      <c r="L380" s="258"/>
      <c r="M380" s="256"/>
      <c r="N380" s="253"/>
      <c r="O380" s="253"/>
      <c r="P380" s="253"/>
      <c r="Q380" s="253"/>
      <c r="R380" s="253"/>
      <c r="S380" s="253"/>
      <c r="T380" s="253"/>
      <c r="U380" s="253"/>
      <c r="V380" s="253"/>
      <c r="W380" s="253"/>
      <c r="X380" s="253"/>
      <c r="Y380" s="253"/>
      <c r="Z380" s="253"/>
      <c r="AA380" s="253"/>
      <c r="AB380" s="253"/>
      <c r="AC380" s="253"/>
      <c r="AD380" s="253"/>
      <c r="AE380" s="253"/>
      <c r="AF380" s="253"/>
      <c r="AG380" s="253"/>
      <c r="AH380" s="253"/>
      <c r="AI380" s="253"/>
      <c r="AJ380" s="253"/>
      <c r="AK380" s="253"/>
      <c r="AL380" s="253"/>
      <c r="AM380" s="253"/>
      <c r="AN380" s="253"/>
      <c r="AO380" s="253"/>
      <c r="AP380" s="253"/>
      <c r="AQ380" s="253"/>
      <c r="AR380" s="253"/>
      <c r="AS380" s="253"/>
      <c r="AT380" s="253"/>
      <c r="AU380" s="253"/>
      <c r="AV380" s="253"/>
      <c r="AW380" s="253"/>
      <c r="AX380" s="253"/>
      <c r="AY380" s="253"/>
      <c r="AZ380" s="253"/>
      <c r="BA380" s="253"/>
      <c r="BB380" s="253"/>
      <c r="BC380" s="253"/>
      <c r="BD380" s="253"/>
      <c r="BE380" s="253"/>
      <c r="BF380" s="253"/>
      <c r="BG380" s="253"/>
      <c r="BH380" s="253"/>
      <c r="BI380" s="253"/>
      <c r="BJ380" s="253"/>
    </row>
    <row r="381" spans="1:62" ht="24" customHeight="1">
      <c r="A381" s="256"/>
      <c r="B381" s="256"/>
      <c r="C381" s="264"/>
      <c r="D381" s="254"/>
      <c r="E381" s="254"/>
      <c r="F381" s="258"/>
      <c r="G381" s="254"/>
      <c r="H381" s="258"/>
      <c r="I381" s="254"/>
      <c r="J381" s="258"/>
      <c r="K381" s="258"/>
      <c r="L381" s="258"/>
      <c r="M381" s="256"/>
      <c r="N381" s="253"/>
      <c r="O381" s="253"/>
      <c r="P381" s="253"/>
      <c r="Q381" s="253"/>
      <c r="R381" s="253"/>
      <c r="S381" s="253"/>
      <c r="T381" s="253"/>
      <c r="U381" s="253"/>
      <c r="V381" s="253"/>
      <c r="W381" s="253"/>
      <c r="X381" s="253"/>
      <c r="Y381" s="253"/>
      <c r="Z381" s="253"/>
      <c r="AA381" s="253"/>
      <c r="AB381" s="253"/>
      <c r="AC381" s="253"/>
      <c r="AD381" s="253"/>
      <c r="AE381" s="253"/>
      <c r="AF381" s="253"/>
      <c r="AG381" s="253"/>
      <c r="AH381" s="253"/>
      <c r="AI381" s="253"/>
      <c r="AJ381" s="253"/>
      <c r="AK381" s="253"/>
      <c r="AL381" s="253"/>
      <c r="AM381" s="253"/>
      <c r="AN381" s="253"/>
      <c r="AO381" s="253"/>
      <c r="AP381" s="253"/>
      <c r="AQ381" s="253"/>
      <c r="AR381" s="253"/>
      <c r="AS381" s="253"/>
      <c r="AT381" s="253"/>
      <c r="AU381" s="253"/>
      <c r="AV381" s="253"/>
      <c r="AW381" s="253"/>
      <c r="AX381" s="253"/>
      <c r="AY381" s="253"/>
      <c r="AZ381" s="253"/>
      <c r="BA381" s="253"/>
      <c r="BB381" s="253"/>
      <c r="BC381" s="253"/>
      <c r="BD381" s="253"/>
      <c r="BE381" s="253"/>
      <c r="BF381" s="253"/>
      <c r="BG381" s="253"/>
      <c r="BH381" s="253"/>
      <c r="BI381" s="253"/>
      <c r="BJ381" s="253"/>
    </row>
    <row r="382" spans="1:62" ht="24" customHeight="1">
      <c r="A382" s="256"/>
      <c r="B382" s="256"/>
      <c r="C382" s="264"/>
      <c r="D382" s="254"/>
      <c r="E382" s="254"/>
      <c r="F382" s="258"/>
      <c r="G382" s="254"/>
      <c r="H382" s="258"/>
      <c r="I382" s="254"/>
      <c r="J382" s="258"/>
      <c r="K382" s="258"/>
      <c r="L382" s="258"/>
      <c r="M382" s="256"/>
      <c r="N382" s="253"/>
      <c r="O382" s="253"/>
      <c r="P382" s="253"/>
      <c r="Q382" s="253"/>
      <c r="R382" s="253"/>
      <c r="S382" s="253"/>
      <c r="T382" s="253"/>
      <c r="U382" s="253"/>
      <c r="V382" s="253"/>
      <c r="W382" s="253"/>
      <c r="X382" s="253"/>
      <c r="Y382" s="253"/>
      <c r="Z382" s="253"/>
      <c r="AA382" s="253"/>
      <c r="AB382" s="253"/>
      <c r="AC382" s="253"/>
      <c r="AD382" s="253"/>
      <c r="AE382" s="253"/>
      <c r="AF382" s="253"/>
      <c r="AG382" s="253"/>
      <c r="AH382" s="253"/>
      <c r="AI382" s="253"/>
      <c r="AJ382" s="253"/>
      <c r="AK382" s="253"/>
      <c r="AL382" s="253"/>
      <c r="AM382" s="253"/>
      <c r="AN382" s="253"/>
      <c r="AO382" s="253"/>
      <c r="AP382" s="253"/>
      <c r="AQ382" s="253"/>
      <c r="AR382" s="253"/>
      <c r="AS382" s="253"/>
      <c r="AT382" s="253"/>
      <c r="AU382" s="253"/>
      <c r="AV382" s="253"/>
      <c r="AW382" s="253"/>
      <c r="AX382" s="253"/>
      <c r="AY382" s="253"/>
      <c r="AZ382" s="253"/>
      <c r="BA382" s="253"/>
      <c r="BB382" s="253"/>
      <c r="BC382" s="253"/>
      <c r="BD382" s="253"/>
      <c r="BE382" s="253"/>
      <c r="BF382" s="253"/>
      <c r="BG382" s="253"/>
      <c r="BH382" s="253"/>
      <c r="BI382" s="253"/>
      <c r="BJ382" s="253"/>
    </row>
    <row r="383" spans="1:62" ht="24" customHeight="1">
      <c r="A383" s="256"/>
      <c r="B383" s="256"/>
      <c r="C383" s="264"/>
      <c r="D383" s="254"/>
      <c r="E383" s="254"/>
      <c r="F383" s="258"/>
      <c r="G383" s="254"/>
      <c r="H383" s="258"/>
      <c r="I383" s="254"/>
      <c r="J383" s="258"/>
      <c r="K383" s="258"/>
      <c r="L383" s="258"/>
      <c r="M383" s="256"/>
      <c r="N383" s="253"/>
      <c r="O383" s="253"/>
      <c r="P383" s="253"/>
      <c r="Q383" s="253"/>
      <c r="R383" s="253"/>
      <c r="S383" s="253"/>
      <c r="T383" s="253"/>
      <c r="U383" s="253"/>
      <c r="V383" s="253"/>
      <c r="W383" s="253"/>
      <c r="X383" s="253"/>
      <c r="Y383" s="253"/>
      <c r="Z383" s="253"/>
      <c r="AA383" s="253"/>
      <c r="AB383" s="253"/>
      <c r="AC383" s="253"/>
      <c r="AD383" s="253"/>
      <c r="AE383" s="253"/>
      <c r="AF383" s="253"/>
      <c r="AG383" s="253"/>
      <c r="AH383" s="253"/>
      <c r="AI383" s="253"/>
      <c r="AJ383" s="253"/>
      <c r="AK383" s="253"/>
      <c r="AL383" s="253"/>
      <c r="AM383" s="253"/>
      <c r="AN383" s="253"/>
      <c r="AO383" s="253"/>
      <c r="AP383" s="253"/>
      <c r="AQ383" s="253"/>
      <c r="AR383" s="253"/>
      <c r="AS383" s="253"/>
      <c r="AT383" s="253"/>
      <c r="AU383" s="253"/>
      <c r="AV383" s="253"/>
      <c r="AW383" s="253"/>
      <c r="AX383" s="253"/>
      <c r="AY383" s="253"/>
      <c r="AZ383" s="253"/>
      <c r="BA383" s="253"/>
      <c r="BB383" s="253"/>
      <c r="BC383" s="253"/>
      <c r="BD383" s="253"/>
      <c r="BE383" s="253"/>
      <c r="BF383" s="253"/>
      <c r="BG383" s="253"/>
      <c r="BH383" s="253"/>
      <c r="BI383" s="253"/>
      <c r="BJ383" s="253"/>
    </row>
    <row r="384" spans="1:62" ht="24" customHeight="1">
      <c r="A384" s="256"/>
      <c r="B384" s="256"/>
      <c r="C384" s="264"/>
      <c r="D384" s="254"/>
      <c r="E384" s="254"/>
      <c r="F384" s="258"/>
      <c r="G384" s="254"/>
      <c r="H384" s="258"/>
      <c r="I384" s="254"/>
      <c r="J384" s="258"/>
      <c r="K384" s="258"/>
      <c r="L384" s="258"/>
      <c r="M384" s="256"/>
      <c r="N384" s="253"/>
      <c r="O384" s="253"/>
      <c r="P384" s="253"/>
      <c r="Q384" s="253"/>
      <c r="R384" s="253"/>
      <c r="S384" s="253"/>
      <c r="T384" s="253"/>
      <c r="U384" s="253"/>
      <c r="V384" s="253"/>
      <c r="W384" s="253"/>
      <c r="X384" s="253"/>
      <c r="Y384" s="253"/>
      <c r="Z384" s="253"/>
      <c r="AA384" s="253"/>
      <c r="AB384" s="253"/>
      <c r="AC384" s="253"/>
      <c r="AD384" s="253"/>
      <c r="AE384" s="253"/>
      <c r="AF384" s="253"/>
      <c r="AG384" s="253"/>
      <c r="AH384" s="253"/>
      <c r="AI384" s="253"/>
      <c r="AJ384" s="253"/>
      <c r="AK384" s="253"/>
      <c r="AL384" s="253"/>
      <c r="AM384" s="253"/>
      <c r="AN384" s="253"/>
      <c r="AO384" s="253"/>
      <c r="AP384" s="253"/>
      <c r="AQ384" s="253"/>
      <c r="AR384" s="253"/>
      <c r="AS384" s="253"/>
      <c r="AT384" s="253"/>
      <c r="AU384" s="253"/>
      <c r="AV384" s="253"/>
      <c r="AW384" s="253"/>
      <c r="AX384" s="253"/>
      <c r="AY384" s="253"/>
      <c r="AZ384" s="253"/>
      <c r="BA384" s="253"/>
      <c r="BB384" s="253"/>
      <c r="BC384" s="253"/>
      <c r="BD384" s="253"/>
      <c r="BE384" s="253"/>
      <c r="BF384" s="253"/>
      <c r="BG384" s="253"/>
      <c r="BH384" s="253"/>
      <c r="BI384" s="253"/>
      <c r="BJ384" s="253"/>
    </row>
    <row r="385" spans="1:62" ht="24" customHeight="1">
      <c r="A385" s="256"/>
      <c r="B385" s="256"/>
      <c r="C385" s="264"/>
      <c r="D385" s="254"/>
      <c r="E385" s="254"/>
      <c r="F385" s="258"/>
      <c r="G385" s="254"/>
      <c r="H385" s="258"/>
      <c r="I385" s="254"/>
      <c r="J385" s="258"/>
      <c r="K385" s="258"/>
      <c r="L385" s="258"/>
      <c r="M385" s="256"/>
      <c r="N385" s="253"/>
      <c r="O385" s="253"/>
      <c r="P385" s="253"/>
      <c r="Q385" s="253"/>
      <c r="R385" s="253"/>
      <c r="S385" s="253"/>
      <c r="T385" s="253"/>
      <c r="U385" s="253"/>
      <c r="V385" s="253"/>
      <c r="W385" s="253"/>
      <c r="X385" s="253"/>
      <c r="Y385" s="253"/>
      <c r="Z385" s="253"/>
      <c r="AA385" s="253"/>
      <c r="AB385" s="253"/>
      <c r="AC385" s="253"/>
      <c r="AD385" s="253"/>
      <c r="AE385" s="253"/>
      <c r="AF385" s="253"/>
      <c r="AG385" s="253"/>
      <c r="AH385" s="253"/>
      <c r="AI385" s="253"/>
      <c r="AJ385" s="253"/>
      <c r="AK385" s="253"/>
      <c r="AL385" s="253"/>
      <c r="AM385" s="253"/>
      <c r="AN385" s="253"/>
      <c r="AO385" s="253"/>
      <c r="AP385" s="253"/>
      <c r="AQ385" s="253"/>
      <c r="AR385" s="253"/>
      <c r="AS385" s="253"/>
      <c r="AT385" s="253"/>
      <c r="AU385" s="253"/>
      <c r="AV385" s="253"/>
      <c r="AW385" s="253"/>
      <c r="AX385" s="253"/>
      <c r="AY385" s="253"/>
      <c r="AZ385" s="253"/>
      <c r="BA385" s="253"/>
      <c r="BB385" s="253"/>
      <c r="BC385" s="253"/>
      <c r="BD385" s="253"/>
      <c r="BE385" s="253"/>
      <c r="BF385" s="253"/>
      <c r="BG385" s="253"/>
      <c r="BH385" s="253"/>
      <c r="BI385" s="253"/>
      <c r="BJ385" s="253"/>
    </row>
    <row r="386" spans="1:62" ht="24" customHeight="1">
      <c r="A386" s="256"/>
      <c r="B386" s="256"/>
      <c r="C386" s="264"/>
      <c r="D386" s="254"/>
      <c r="E386" s="254"/>
      <c r="F386" s="258"/>
      <c r="G386" s="254"/>
      <c r="H386" s="258"/>
      <c r="I386" s="254"/>
      <c r="J386" s="258"/>
      <c r="K386" s="258"/>
      <c r="L386" s="258"/>
      <c r="M386" s="256"/>
      <c r="N386" s="253"/>
      <c r="O386" s="253"/>
      <c r="P386" s="253"/>
      <c r="Q386" s="253"/>
      <c r="R386" s="253"/>
      <c r="S386" s="253"/>
      <c r="T386" s="253"/>
      <c r="U386" s="253"/>
      <c r="V386" s="253"/>
      <c r="W386" s="253"/>
      <c r="X386" s="253"/>
      <c r="Y386" s="253"/>
      <c r="Z386" s="253"/>
      <c r="AA386" s="253"/>
      <c r="AB386" s="253"/>
      <c r="AC386" s="253"/>
      <c r="AD386" s="253"/>
      <c r="AE386" s="253"/>
      <c r="AF386" s="253"/>
      <c r="AG386" s="253"/>
      <c r="AH386" s="253"/>
      <c r="AI386" s="253"/>
      <c r="AJ386" s="253"/>
      <c r="AK386" s="253"/>
      <c r="AL386" s="253"/>
      <c r="AM386" s="253"/>
      <c r="AN386" s="253"/>
      <c r="AO386" s="253"/>
      <c r="AP386" s="253"/>
      <c r="AQ386" s="253"/>
      <c r="AR386" s="253"/>
      <c r="AS386" s="253"/>
      <c r="AT386" s="253"/>
      <c r="AU386" s="253"/>
      <c r="AV386" s="253"/>
      <c r="AW386" s="253"/>
      <c r="AX386" s="253"/>
      <c r="AY386" s="253"/>
      <c r="AZ386" s="253"/>
      <c r="BA386" s="253"/>
      <c r="BB386" s="253"/>
      <c r="BC386" s="253"/>
      <c r="BD386" s="253"/>
      <c r="BE386" s="253"/>
      <c r="BF386" s="253"/>
      <c r="BG386" s="253"/>
      <c r="BH386" s="253"/>
      <c r="BI386" s="253"/>
      <c r="BJ386" s="253"/>
    </row>
    <row r="387" spans="1:62" ht="24" customHeight="1">
      <c r="A387" s="256"/>
      <c r="B387" s="256"/>
      <c r="C387" s="264"/>
      <c r="D387" s="254"/>
      <c r="E387" s="254"/>
      <c r="F387" s="258"/>
      <c r="G387" s="254"/>
      <c r="H387" s="258"/>
      <c r="I387" s="254"/>
      <c r="J387" s="258"/>
      <c r="K387" s="258"/>
      <c r="L387" s="258"/>
      <c r="M387" s="256"/>
      <c r="N387" s="253"/>
      <c r="O387" s="253"/>
      <c r="P387" s="253"/>
      <c r="Q387" s="253"/>
      <c r="R387" s="253"/>
      <c r="S387" s="253"/>
      <c r="T387" s="253"/>
      <c r="U387" s="253"/>
      <c r="V387" s="253"/>
      <c r="W387" s="253"/>
      <c r="X387" s="253"/>
      <c r="Y387" s="253"/>
      <c r="Z387" s="253"/>
      <c r="AA387" s="253"/>
      <c r="AB387" s="253"/>
      <c r="AC387" s="253"/>
      <c r="AD387" s="253"/>
      <c r="AE387" s="253"/>
      <c r="AF387" s="253"/>
      <c r="AG387" s="253"/>
      <c r="AH387" s="253"/>
      <c r="AI387" s="253"/>
      <c r="AJ387" s="253"/>
      <c r="AK387" s="253"/>
      <c r="AL387" s="253"/>
      <c r="AM387" s="253"/>
      <c r="AN387" s="253"/>
      <c r="AO387" s="253"/>
      <c r="AP387" s="253"/>
      <c r="AQ387" s="253"/>
      <c r="AR387" s="253"/>
      <c r="AS387" s="253"/>
      <c r="AT387" s="253"/>
      <c r="AU387" s="253"/>
      <c r="AV387" s="253"/>
      <c r="AW387" s="253"/>
      <c r="AX387" s="253"/>
      <c r="AY387" s="253"/>
      <c r="AZ387" s="253"/>
      <c r="BA387" s="253"/>
      <c r="BB387" s="253"/>
      <c r="BC387" s="253"/>
      <c r="BD387" s="253"/>
      <c r="BE387" s="253"/>
      <c r="BF387" s="253"/>
      <c r="BG387" s="253"/>
      <c r="BH387" s="253"/>
      <c r="BI387" s="253"/>
      <c r="BJ387" s="253"/>
    </row>
    <row r="388" spans="1:62" ht="24" customHeight="1">
      <c r="A388" s="269" t="s">
        <v>1574</v>
      </c>
      <c r="B388" s="269" t="s">
        <v>68</v>
      </c>
      <c r="C388" s="270">
        <v>1</v>
      </c>
      <c r="D388" s="271" t="s">
        <v>1094</v>
      </c>
      <c r="E388" s="271"/>
      <c r="F388" s="272">
        <f>TRUNC(F389+F390+F391+F392+F393+F394,0)</f>
        <v>0</v>
      </c>
      <c r="G388" s="271"/>
      <c r="H388" s="272"/>
      <c r="I388" s="271"/>
      <c r="J388" s="272"/>
      <c r="K388" s="271"/>
      <c r="L388" s="272"/>
      <c r="M388" s="269"/>
      <c r="N388" s="253" t="s">
        <v>68</v>
      </c>
      <c r="O388" s="253" t="s">
        <v>1575</v>
      </c>
      <c r="P388" s="253"/>
      <c r="Q388" s="253"/>
      <c r="R388" s="253"/>
      <c r="S388" s="253"/>
      <c r="T388" s="253"/>
      <c r="U388" s="253"/>
      <c r="V388" s="253"/>
      <c r="W388" s="253"/>
      <c r="X388" s="253"/>
      <c r="Y388" s="253"/>
      <c r="Z388" s="253"/>
      <c r="AA388" s="253"/>
      <c r="AB388" s="253"/>
      <c r="AC388" s="253"/>
      <c r="AD388" s="253"/>
      <c r="AE388" s="253"/>
      <c r="AF388" s="253"/>
      <c r="AG388" s="253"/>
      <c r="AH388" s="253"/>
      <c r="AI388" s="253"/>
      <c r="AJ388" s="253"/>
      <c r="AK388" s="253"/>
      <c r="AL388" s="253"/>
      <c r="AM388" s="253"/>
      <c r="AN388" s="253"/>
      <c r="AO388" s="253"/>
      <c r="AP388" s="253"/>
      <c r="AQ388" s="253"/>
      <c r="AR388" s="253"/>
      <c r="AS388" s="253"/>
      <c r="AT388" s="253"/>
      <c r="AU388" s="253"/>
      <c r="AV388" s="253"/>
      <c r="AW388" s="253"/>
      <c r="AX388" s="253"/>
      <c r="AY388" s="253"/>
      <c r="AZ388" s="253"/>
      <c r="BA388" s="253"/>
      <c r="BB388" s="253"/>
      <c r="BC388" s="253"/>
      <c r="BD388" s="253"/>
      <c r="BE388" s="253"/>
      <c r="BF388" s="253"/>
      <c r="BG388" s="253"/>
      <c r="BH388" s="253"/>
      <c r="BI388" s="253"/>
      <c r="BJ388" s="253"/>
    </row>
    <row r="389" spans="1:62" ht="24" customHeight="1">
      <c r="A389" s="256" t="s">
        <v>1580</v>
      </c>
      <c r="B389" s="256" t="s">
        <v>790</v>
      </c>
      <c r="C389" s="257">
        <v>1</v>
      </c>
      <c r="D389" s="254" t="s">
        <v>437</v>
      </c>
      <c r="E389" s="258">
        <f>자재조서!E123</f>
        <v>0</v>
      </c>
      <c r="F389" s="258">
        <f t="shared" ref="F389:F394" si="19">TRUNC(E389*C389,0)</f>
        <v>0</v>
      </c>
      <c r="G389" s="258">
        <v>0</v>
      </c>
      <c r="H389" s="258"/>
      <c r="I389" s="258"/>
      <c r="J389" s="258"/>
      <c r="K389" s="258"/>
      <c r="L389" s="258"/>
      <c r="M389" s="256"/>
      <c r="N389" s="253" t="s">
        <v>68</v>
      </c>
      <c r="O389" s="253"/>
      <c r="P389" s="253" t="s">
        <v>1095</v>
      </c>
      <c r="Q389" s="253" t="s">
        <v>68</v>
      </c>
      <c r="R389" s="253" t="s">
        <v>1581</v>
      </c>
      <c r="S389" s="253"/>
      <c r="T389" s="253"/>
      <c r="U389" s="253"/>
      <c r="V389" s="253"/>
      <c r="W389" s="253"/>
      <c r="X389" s="253"/>
      <c r="Y389" s="253"/>
      <c r="Z389" s="253"/>
      <c r="AA389" s="253"/>
      <c r="AB389" s="253"/>
      <c r="AC389" s="253"/>
      <c r="AD389" s="253"/>
      <c r="AE389" s="253"/>
      <c r="AF389" s="253"/>
      <c r="AG389" s="253"/>
      <c r="AH389" s="253"/>
      <c r="AI389" s="253"/>
      <c r="AJ389" s="253"/>
      <c r="AK389" s="253"/>
      <c r="AL389" s="253"/>
      <c r="AM389" s="253"/>
      <c r="AN389" s="253"/>
      <c r="AO389" s="253"/>
      <c r="AP389" s="253"/>
      <c r="AQ389" s="253"/>
      <c r="AR389" s="253"/>
      <c r="AS389" s="253"/>
      <c r="AT389" s="253"/>
      <c r="AU389" s="253"/>
      <c r="AV389" s="253"/>
      <c r="AW389" s="253"/>
      <c r="AX389" s="253"/>
      <c r="AY389" s="253"/>
      <c r="AZ389" s="253"/>
      <c r="BA389" s="253"/>
      <c r="BB389" s="253"/>
      <c r="BC389" s="253"/>
      <c r="BD389" s="253"/>
      <c r="BE389" s="253"/>
      <c r="BF389" s="253"/>
      <c r="BG389" s="253"/>
      <c r="BH389" s="253"/>
      <c r="BI389" s="253"/>
      <c r="BJ389" s="263" t="str">
        <f>HYPERLINK("#자재조서!A123","MZZ9000091 →")</f>
        <v>MZZ9000091 →</v>
      </c>
    </row>
    <row r="390" spans="1:62" ht="24" customHeight="1">
      <c r="A390" s="256" t="s">
        <v>1580</v>
      </c>
      <c r="B390" s="256" t="s">
        <v>791</v>
      </c>
      <c r="C390" s="257">
        <v>1</v>
      </c>
      <c r="D390" s="254" t="s">
        <v>437</v>
      </c>
      <c r="E390" s="258">
        <f>자재조서!E124</f>
        <v>0</v>
      </c>
      <c r="F390" s="258">
        <f t="shared" si="19"/>
        <v>0</v>
      </c>
      <c r="G390" s="258">
        <v>0</v>
      </c>
      <c r="H390" s="258"/>
      <c r="I390" s="258"/>
      <c r="J390" s="258"/>
      <c r="K390" s="258"/>
      <c r="L390" s="258"/>
      <c r="M390" s="256"/>
      <c r="N390" s="253" t="s">
        <v>68</v>
      </c>
      <c r="O390" s="253"/>
      <c r="P390" s="253" t="s">
        <v>1098</v>
      </c>
      <c r="Q390" s="253" t="s">
        <v>68</v>
      </c>
      <c r="R390" s="253" t="s">
        <v>1582</v>
      </c>
      <c r="S390" s="253"/>
      <c r="T390" s="253"/>
      <c r="U390" s="253"/>
      <c r="V390" s="253"/>
      <c r="W390" s="253"/>
      <c r="X390" s="253"/>
      <c r="Y390" s="253"/>
      <c r="Z390" s="253"/>
      <c r="AA390" s="253"/>
      <c r="AB390" s="253"/>
      <c r="AC390" s="253"/>
      <c r="AD390" s="253"/>
      <c r="AE390" s="253"/>
      <c r="AF390" s="253"/>
      <c r="AG390" s="253"/>
      <c r="AH390" s="253"/>
      <c r="AI390" s="253"/>
      <c r="AJ390" s="253"/>
      <c r="AK390" s="253"/>
      <c r="AL390" s="253"/>
      <c r="AM390" s="253"/>
      <c r="AN390" s="253"/>
      <c r="AO390" s="253"/>
      <c r="AP390" s="253"/>
      <c r="AQ390" s="253"/>
      <c r="AR390" s="253"/>
      <c r="AS390" s="253"/>
      <c r="AT390" s="253"/>
      <c r="AU390" s="253"/>
      <c r="AV390" s="253"/>
      <c r="AW390" s="253"/>
      <c r="AX390" s="253"/>
      <c r="AY390" s="253"/>
      <c r="AZ390" s="253"/>
      <c r="BA390" s="253"/>
      <c r="BB390" s="253"/>
      <c r="BC390" s="253"/>
      <c r="BD390" s="253"/>
      <c r="BE390" s="253"/>
      <c r="BF390" s="253"/>
      <c r="BG390" s="253"/>
      <c r="BH390" s="253"/>
      <c r="BI390" s="253"/>
      <c r="BJ390" s="263" t="str">
        <f>HYPERLINK("#자재조서!A124","MZZ9000092 →")</f>
        <v>MZZ9000092 →</v>
      </c>
    </row>
    <row r="391" spans="1:62" ht="24" customHeight="1">
      <c r="A391" s="256" t="s">
        <v>1580</v>
      </c>
      <c r="B391" s="256" t="s">
        <v>792</v>
      </c>
      <c r="C391" s="257">
        <v>1</v>
      </c>
      <c r="D391" s="254" t="s">
        <v>437</v>
      </c>
      <c r="E391" s="258">
        <f>자재조서!E125</f>
        <v>0</v>
      </c>
      <c r="F391" s="258">
        <f t="shared" si="19"/>
        <v>0</v>
      </c>
      <c r="G391" s="258">
        <v>0</v>
      </c>
      <c r="H391" s="258"/>
      <c r="I391" s="258"/>
      <c r="J391" s="258"/>
      <c r="K391" s="258"/>
      <c r="L391" s="258"/>
      <c r="M391" s="256"/>
      <c r="N391" s="253" t="s">
        <v>68</v>
      </c>
      <c r="O391" s="253"/>
      <c r="P391" s="253" t="s">
        <v>1101</v>
      </c>
      <c r="Q391" s="253" t="s">
        <v>68</v>
      </c>
      <c r="R391" s="253" t="s">
        <v>1583</v>
      </c>
      <c r="S391" s="253"/>
      <c r="T391" s="253"/>
      <c r="U391" s="253"/>
      <c r="V391" s="253"/>
      <c r="W391" s="253"/>
      <c r="X391" s="253"/>
      <c r="Y391" s="253"/>
      <c r="Z391" s="253"/>
      <c r="AA391" s="253"/>
      <c r="AB391" s="253"/>
      <c r="AC391" s="253"/>
      <c r="AD391" s="253"/>
      <c r="AE391" s="253"/>
      <c r="AF391" s="253"/>
      <c r="AG391" s="253"/>
      <c r="AH391" s="253"/>
      <c r="AI391" s="253"/>
      <c r="AJ391" s="253"/>
      <c r="AK391" s="253"/>
      <c r="AL391" s="253"/>
      <c r="AM391" s="253"/>
      <c r="AN391" s="253"/>
      <c r="AO391" s="253"/>
      <c r="AP391" s="253"/>
      <c r="AQ391" s="253"/>
      <c r="AR391" s="253"/>
      <c r="AS391" s="253"/>
      <c r="AT391" s="253"/>
      <c r="AU391" s="253"/>
      <c r="AV391" s="253"/>
      <c r="AW391" s="253"/>
      <c r="AX391" s="253"/>
      <c r="AY391" s="253"/>
      <c r="AZ391" s="253"/>
      <c r="BA391" s="253"/>
      <c r="BB391" s="253"/>
      <c r="BC391" s="253"/>
      <c r="BD391" s="253"/>
      <c r="BE391" s="253"/>
      <c r="BF391" s="253"/>
      <c r="BG391" s="253"/>
      <c r="BH391" s="253"/>
      <c r="BI391" s="253"/>
      <c r="BJ391" s="263" t="str">
        <f>HYPERLINK("#자재조서!A125","MZZ9000093 →")</f>
        <v>MZZ9000093 →</v>
      </c>
    </row>
    <row r="392" spans="1:62" ht="24" customHeight="1">
      <c r="A392" s="256" t="s">
        <v>1580</v>
      </c>
      <c r="B392" s="256" t="s">
        <v>793</v>
      </c>
      <c r="C392" s="257">
        <v>1</v>
      </c>
      <c r="D392" s="254" t="s">
        <v>437</v>
      </c>
      <c r="E392" s="258">
        <f>자재조서!E126</f>
        <v>0</v>
      </c>
      <c r="F392" s="258">
        <f t="shared" si="19"/>
        <v>0</v>
      </c>
      <c r="G392" s="258">
        <v>0</v>
      </c>
      <c r="H392" s="258"/>
      <c r="I392" s="258"/>
      <c r="J392" s="258"/>
      <c r="K392" s="258"/>
      <c r="L392" s="258"/>
      <c r="M392" s="256"/>
      <c r="N392" s="253" t="s">
        <v>68</v>
      </c>
      <c r="O392" s="253"/>
      <c r="P392" s="253" t="s">
        <v>1104</v>
      </c>
      <c r="Q392" s="253" t="s">
        <v>68</v>
      </c>
      <c r="R392" s="253" t="s">
        <v>1584</v>
      </c>
      <c r="S392" s="253"/>
      <c r="T392" s="253"/>
      <c r="U392" s="253"/>
      <c r="V392" s="253"/>
      <c r="W392" s="253"/>
      <c r="X392" s="253"/>
      <c r="Y392" s="253"/>
      <c r="Z392" s="253"/>
      <c r="AA392" s="253"/>
      <c r="AB392" s="253"/>
      <c r="AC392" s="253"/>
      <c r="AD392" s="253"/>
      <c r="AE392" s="253"/>
      <c r="AF392" s="253"/>
      <c r="AG392" s="253"/>
      <c r="AH392" s="253"/>
      <c r="AI392" s="253"/>
      <c r="AJ392" s="253"/>
      <c r="AK392" s="253"/>
      <c r="AL392" s="253"/>
      <c r="AM392" s="253"/>
      <c r="AN392" s="253"/>
      <c r="AO392" s="253"/>
      <c r="AP392" s="253"/>
      <c r="AQ392" s="253"/>
      <c r="AR392" s="253"/>
      <c r="AS392" s="253"/>
      <c r="AT392" s="253"/>
      <c r="AU392" s="253"/>
      <c r="AV392" s="253"/>
      <c r="AW392" s="253"/>
      <c r="AX392" s="253"/>
      <c r="AY392" s="253"/>
      <c r="AZ392" s="253"/>
      <c r="BA392" s="253"/>
      <c r="BB392" s="253"/>
      <c r="BC392" s="253"/>
      <c r="BD392" s="253"/>
      <c r="BE392" s="253"/>
      <c r="BF392" s="253"/>
      <c r="BG392" s="253"/>
      <c r="BH392" s="253"/>
      <c r="BI392" s="253"/>
      <c r="BJ392" s="263" t="str">
        <f>HYPERLINK("#자재조서!A126","MZZ9000094 →")</f>
        <v>MZZ9000094 →</v>
      </c>
    </row>
    <row r="393" spans="1:62" ht="24" customHeight="1">
      <c r="A393" s="256" t="s">
        <v>1585</v>
      </c>
      <c r="B393" s="256" t="s">
        <v>794</v>
      </c>
      <c r="C393" s="257">
        <v>2</v>
      </c>
      <c r="D393" s="254" t="s">
        <v>437</v>
      </c>
      <c r="E393" s="258">
        <f>자재조서!E127</f>
        <v>0</v>
      </c>
      <c r="F393" s="258">
        <f t="shared" si="19"/>
        <v>0</v>
      </c>
      <c r="G393" s="258">
        <v>0</v>
      </c>
      <c r="H393" s="258"/>
      <c r="I393" s="258"/>
      <c r="J393" s="258"/>
      <c r="K393" s="258"/>
      <c r="L393" s="258"/>
      <c r="M393" s="256"/>
      <c r="N393" s="253" t="s">
        <v>68</v>
      </c>
      <c r="O393" s="253"/>
      <c r="P393" s="253" t="s">
        <v>1107</v>
      </c>
      <c r="Q393" s="253" t="s">
        <v>68</v>
      </c>
      <c r="R393" s="253" t="s">
        <v>1586</v>
      </c>
      <c r="S393" s="253"/>
      <c r="T393" s="253"/>
      <c r="U393" s="253"/>
      <c r="V393" s="253"/>
      <c r="W393" s="253"/>
      <c r="X393" s="253"/>
      <c r="Y393" s="253"/>
      <c r="Z393" s="253"/>
      <c r="AA393" s="253"/>
      <c r="AB393" s="253"/>
      <c r="AC393" s="253"/>
      <c r="AD393" s="253"/>
      <c r="AE393" s="253"/>
      <c r="AF393" s="253"/>
      <c r="AG393" s="253"/>
      <c r="AH393" s="253"/>
      <c r="AI393" s="253"/>
      <c r="AJ393" s="253"/>
      <c r="AK393" s="253"/>
      <c r="AL393" s="253"/>
      <c r="AM393" s="253"/>
      <c r="AN393" s="253"/>
      <c r="AO393" s="253"/>
      <c r="AP393" s="253"/>
      <c r="AQ393" s="253"/>
      <c r="AR393" s="253"/>
      <c r="AS393" s="253"/>
      <c r="AT393" s="253"/>
      <c r="AU393" s="253"/>
      <c r="AV393" s="253"/>
      <c r="AW393" s="253"/>
      <c r="AX393" s="253"/>
      <c r="AY393" s="253"/>
      <c r="AZ393" s="253"/>
      <c r="BA393" s="253"/>
      <c r="BB393" s="253"/>
      <c r="BC393" s="253"/>
      <c r="BD393" s="253"/>
      <c r="BE393" s="253"/>
      <c r="BF393" s="253"/>
      <c r="BG393" s="253"/>
      <c r="BH393" s="253"/>
      <c r="BI393" s="253"/>
      <c r="BJ393" s="263" t="str">
        <f>HYPERLINK("#자재조서!A127","MZZ9000095 →")</f>
        <v>MZZ9000095 →</v>
      </c>
    </row>
    <row r="394" spans="1:62" ht="24" customHeight="1">
      <c r="A394" s="256" t="s">
        <v>1587</v>
      </c>
      <c r="B394" s="256" t="s">
        <v>795</v>
      </c>
      <c r="C394" s="257">
        <v>2</v>
      </c>
      <c r="D394" s="254" t="s">
        <v>437</v>
      </c>
      <c r="E394" s="258">
        <f>자재조서!E128</f>
        <v>0</v>
      </c>
      <c r="F394" s="258">
        <f t="shared" si="19"/>
        <v>0</v>
      </c>
      <c r="G394" s="258">
        <v>0</v>
      </c>
      <c r="H394" s="258"/>
      <c r="I394" s="258"/>
      <c r="J394" s="258"/>
      <c r="K394" s="258"/>
      <c r="L394" s="258"/>
      <c r="M394" s="256"/>
      <c r="N394" s="253" t="s">
        <v>68</v>
      </c>
      <c r="O394" s="253"/>
      <c r="P394" s="253" t="s">
        <v>1108</v>
      </c>
      <c r="Q394" s="253" t="s">
        <v>68</v>
      </c>
      <c r="R394" s="253" t="s">
        <v>1588</v>
      </c>
      <c r="S394" s="253"/>
      <c r="T394" s="253"/>
      <c r="U394" s="253"/>
      <c r="V394" s="253"/>
      <c r="W394" s="253"/>
      <c r="X394" s="253"/>
      <c r="Y394" s="253"/>
      <c r="Z394" s="253"/>
      <c r="AA394" s="253"/>
      <c r="AB394" s="253"/>
      <c r="AC394" s="253"/>
      <c r="AD394" s="253"/>
      <c r="AE394" s="253"/>
      <c r="AF394" s="253"/>
      <c r="AG394" s="253"/>
      <c r="AH394" s="253"/>
      <c r="AI394" s="253"/>
      <c r="AJ394" s="253"/>
      <c r="AK394" s="253"/>
      <c r="AL394" s="253"/>
      <c r="AM394" s="253"/>
      <c r="AN394" s="253"/>
      <c r="AO394" s="253"/>
      <c r="AP394" s="253"/>
      <c r="AQ394" s="253"/>
      <c r="AR394" s="253"/>
      <c r="AS394" s="253"/>
      <c r="AT394" s="253"/>
      <c r="AU394" s="253"/>
      <c r="AV394" s="253"/>
      <c r="AW394" s="253"/>
      <c r="AX394" s="253"/>
      <c r="AY394" s="253"/>
      <c r="AZ394" s="253"/>
      <c r="BA394" s="253"/>
      <c r="BB394" s="253"/>
      <c r="BC394" s="253"/>
      <c r="BD394" s="253"/>
      <c r="BE394" s="253"/>
      <c r="BF394" s="253"/>
      <c r="BG394" s="253"/>
      <c r="BH394" s="253"/>
      <c r="BI394" s="253"/>
      <c r="BJ394" s="263" t="str">
        <f>HYPERLINK("#자재조서!A128","MZZ9000096 →")</f>
        <v>MZZ9000096 →</v>
      </c>
    </row>
    <row r="395" spans="1:62" ht="24" customHeight="1">
      <c r="A395" s="256" t="s">
        <v>68</v>
      </c>
      <c r="B395" s="256" t="s">
        <v>68</v>
      </c>
      <c r="C395" s="264"/>
      <c r="D395" s="254" t="s">
        <v>68</v>
      </c>
      <c r="E395" s="254"/>
      <c r="F395" s="258">
        <v>0</v>
      </c>
      <c r="G395" s="254"/>
      <c r="H395" s="258"/>
      <c r="I395" s="254"/>
      <c r="J395" s="258"/>
      <c r="K395" s="258"/>
      <c r="L395" s="258"/>
      <c r="M395" s="256"/>
      <c r="N395" s="253" t="s">
        <v>68</v>
      </c>
      <c r="O395" s="253"/>
      <c r="P395" s="253" t="s">
        <v>1109</v>
      </c>
      <c r="Q395" s="253" t="s">
        <v>68</v>
      </c>
      <c r="R395" s="253" t="s">
        <v>68</v>
      </c>
      <c r="S395" s="253"/>
      <c r="T395" s="253"/>
      <c r="U395" s="253"/>
      <c r="V395" s="253"/>
      <c r="W395" s="253"/>
      <c r="X395" s="253"/>
      <c r="Y395" s="253"/>
      <c r="Z395" s="253"/>
      <c r="AA395" s="253"/>
      <c r="AB395" s="253"/>
      <c r="AC395" s="253"/>
      <c r="AD395" s="253"/>
      <c r="AE395" s="253"/>
      <c r="AF395" s="253"/>
      <c r="AG395" s="253"/>
      <c r="AH395" s="253"/>
      <c r="AI395" s="253"/>
      <c r="AJ395" s="253"/>
      <c r="AK395" s="253"/>
      <c r="AL395" s="253"/>
      <c r="AM395" s="253"/>
      <c r="AN395" s="253"/>
      <c r="AO395" s="253"/>
      <c r="AP395" s="253"/>
      <c r="AQ395" s="253"/>
      <c r="AR395" s="253"/>
      <c r="AS395" s="253"/>
      <c r="AT395" s="253"/>
      <c r="AU395" s="253"/>
      <c r="AV395" s="253"/>
      <c r="AW395" s="253"/>
      <c r="AX395" s="253"/>
      <c r="AY395" s="253"/>
      <c r="AZ395" s="253"/>
      <c r="BA395" s="253"/>
      <c r="BB395" s="253"/>
      <c r="BC395" s="253"/>
      <c r="BD395" s="253"/>
      <c r="BE395" s="253"/>
      <c r="BF395" s="253"/>
      <c r="BG395" s="253"/>
      <c r="BH395" s="253"/>
      <c r="BI395" s="253"/>
      <c r="BJ395" s="253"/>
    </row>
    <row r="396" spans="1:62" ht="24" customHeight="1">
      <c r="A396" s="269" t="s">
        <v>1576</v>
      </c>
      <c r="B396" s="269" t="s">
        <v>68</v>
      </c>
      <c r="C396" s="270">
        <v>1</v>
      </c>
      <c r="D396" s="271" t="s">
        <v>1094</v>
      </c>
      <c r="E396" s="271"/>
      <c r="F396" s="272">
        <f>TRUNC(F397+F398+F399+F400+F401+F402+F403+F404+F405+F406+F407+F408+F409+F410+F411,0)</f>
        <v>0</v>
      </c>
      <c r="G396" s="271"/>
      <c r="H396" s="272"/>
      <c r="I396" s="271"/>
      <c r="J396" s="272"/>
      <c r="K396" s="271"/>
      <c r="L396" s="272"/>
      <c r="M396" s="269"/>
      <c r="N396" s="253" t="s">
        <v>68</v>
      </c>
      <c r="O396" s="253" t="s">
        <v>1577</v>
      </c>
      <c r="P396" s="253"/>
      <c r="Q396" s="253"/>
      <c r="R396" s="253"/>
      <c r="S396" s="253"/>
      <c r="T396" s="253"/>
      <c r="U396" s="253"/>
      <c r="V396" s="253"/>
      <c r="W396" s="253"/>
      <c r="X396" s="253"/>
      <c r="Y396" s="253"/>
      <c r="Z396" s="253"/>
      <c r="AA396" s="253"/>
      <c r="AB396" s="253"/>
      <c r="AC396" s="253"/>
      <c r="AD396" s="253"/>
      <c r="AE396" s="253"/>
      <c r="AF396" s="253"/>
      <c r="AG396" s="253"/>
      <c r="AH396" s="253"/>
      <c r="AI396" s="253"/>
      <c r="AJ396" s="253"/>
      <c r="AK396" s="253"/>
      <c r="AL396" s="253"/>
      <c r="AM396" s="253"/>
      <c r="AN396" s="253"/>
      <c r="AO396" s="253"/>
      <c r="AP396" s="253"/>
      <c r="AQ396" s="253"/>
      <c r="AR396" s="253"/>
      <c r="AS396" s="253"/>
      <c r="AT396" s="253"/>
      <c r="AU396" s="253"/>
      <c r="AV396" s="253"/>
      <c r="AW396" s="253"/>
      <c r="AX396" s="253"/>
      <c r="AY396" s="253"/>
      <c r="AZ396" s="253"/>
      <c r="BA396" s="253"/>
      <c r="BB396" s="253"/>
      <c r="BC396" s="253"/>
      <c r="BD396" s="253"/>
      <c r="BE396" s="253"/>
      <c r="BF396" s="253"/>
      <c r="BG396" s="253"/>
      <c r="BH396" s="253"/>
      <c r="BI396" s="253"/>
      <c r="BJ396" s="253"/>
    </row>
    <row r="397" spans="1:62" ht="24" customHeight="1">
      <c r="A397" s="256" t="s">
        <v>802</v>
      </c>
      <c r="B397" s="256" t="s">
        <v>1589</v>
      </c>
      <c r="C397" s="257">
        <v>2</v>
      </c>
      <c r="D397" s="254" t="s">
        <v>437</v>
      </c>
      <c r="E397" s="258">
        <f>자재조서!E129</f>
        <v>0</v>
      </c>
      <c r="F397" s="258">
        <f t="shared" ref="F397:F411" si="20">TRUNC(E397*C397,0)</f>
        <v>0</v>
      </c>
      <c r="G397" s="258">
        <v>0</v>
      </c>
      <c r="H397" s="258"/>
      <c r="I397" s="258"/>
      <c r="J397" s="258"/>
      <c r="K397" s="258"/>
      <c r="L397" s="258"/>
      <c r="M397" s="256"/>
      <c r="N397" s="253" t="s">
        <v>68</v>
      </c>
      <c r="O397" s="253"/>
      <c r="P397" s="253" t="s">
        <v>1095</v>
      </c>
      <c r="Q397" s="253" t="s">
        <v>68</v>
      </c>
      <c r="R397" s="253" t="s">
        <v>1590</v>
      </c>
      <c r="S397" s="253"/>
      <c r="T397" s="253"/>
      <c r="U397" s="253"/>
      <c r="V397" s="253"/>
      <c r="W397" s="253"/>
      <c r="X397" s="253"/>
      <c r="Y397" s="253"/>
      <c r="Z397" s="253"/>
      <c r="AA397" s="253"/>
      <c r="AB397" s="253"/>
      <c r="AC397" s="253"/>
      <c r="AD397" s="253"/>
      <c r="AE397" s="253"/>
      <c r="AF397" s="253"/>
      <c r="AG397" s="253"/>
      <c r="AH397" s="253"/>
      <c r="AI397" s="253"/>
      <c r="AJ397" s="253"/>
      <c r="AK397" s="253"/>
      <c r="AL397" s="253"/>
      <c r="AM397" s="253"/>
      <c r="AN397" s="253"/>
      <c r="AO397" s="253"/>
      <c r="AP397" s="253"/>
      <c r="AQ397" s="253"/>
      <c r="AR397" s="253"/>
      <c r="AS397" s="253"/>
      <c r="AT397" s="253"/>
      <c r="AU397" s="253"/>
      <c r="AV397" s="253"/>
      <c r="AW397" s="253"/>
      <c r="AX397" s="253"/>
      <c r="AY397" s="253"/>
      <c r="AZ397" s="253"/>
      <c r="BA397" s="253"/>
      <c r="BB397" s="253"/>
      <c r="BC397" s="253"/>
      <c r="BD397" s="253"/>
      <c r="BE397" s="253"/>
      <c r="BF397" s="253"/>
      <c r="BG397" s="253"/>
      <c r="BH397" s="253"/>
      <c r="BI397" s="253"/>
      <c r="BJ397" s="263" t="str">
        <f>HYPERLINK("#자재조서!A129","MZZ9000101 →")</f>
        <v>MZZ9000101 →</v>
      </c>
    </row>
    <row r="398" spans="1:62" ht="24" customHeight="1">
      <c r="A398" s="256" t="s">
        <v>803</v>
      </c>
      <c r="B398" s="256" t="s">
        <v>1591</v>
      </c>
      <c r="C398" s="257">
        <v>3</v>
      </c>
      <c r="D398" s="254" t="s">
        <v>437</v>
      </c>
      <c r="E398" s="258">
        <f>자재조서!E130</f>
        <v>0</v>
      </c>
      <c r="F398" s="258">
        <f t="shared" si="20"/>
        <v>0</v>
      </c>
      <c r="G398" s="258">
        <v>0</v>
      </c>
      <c r="H398" s="258"/>
      <c r="I398" s="258"/>
      <c r="J398" s="258"/>
      <c r="K398" s="258"/>
      <c r="L398" s="258"/>
      <c r="M398" s="256"/>
      <c r="N398" s="253" t="s">
        <v>68</v>
      </c>
      <c r="O398" s="253"/>
      <c r="P398" s="253" t="s">
        <v>1098</v>
      </c>
      <c r="Q398" s="253" t="s">
        <v>68</v>
      </c>
      <c r="R398" s="253" t="s">
        <v>1592</v>
      </c>
      <c r="S398" s="253"/>
      <c r="T398" s="253"/>
      <c r="U398" s="253"/>
      <c r="V398" s="253"/>
      <c r="W398" s="253"/>
      <c r="X398" s="253"/>
      <c r="Y398" s="253"/>
      <c r="Z398" s="253"/>
      <c r="AA398" s="253"/>
      <c r="AB398" s="253"/>
      <c r="AC398" s="253"/>
      <c r="AD398" s="253"/>
      <c r="AE398" s="253"/>
      <c r="AF398" s="253"/>
      <c r="AG398" s="253"/>
      <c r="AH398" s="253"/>
      <c r="AI398" s="253"/>
      <c r="AJ398" s="253"/>
      <c r="AK398" s="253"/>
      <c r="AL398" s="253"/>
      <c r="AM398" s="253"/>
      <c r="AN398" s="253"/>
      <c r="AO398" s="253"/>
      <c r="AP398" s="253"/>
      <c r="AQ398" s="253"/>
      <c r="AR398" s="253"/>
      <c r="AS398" s="253"/>
      <c r="AT398" s="253"/>
      <c r="AU398" s="253"/>
      <c r="AV398" s="253"/>
      <c r="AW398" s="253"/>
      <c r="AX398" s="253"/>
      <c r="AY398" s="253"/>
      <c r="AZ398" s="253"/>
      <c r="BA398" s="253"/>
      <c r="BB398" s="253"/>
      <c r="BC398" s="253"/>
      <c r="BD398" s="253"/>
      <c r="BE398" s="253"/>
      <c r="BF398" s="253"/>
      <c r="BG398" s="253"/>
      <c r="BH398" s="253"/>
      <c r="BI398" s="253"/>
      <c r="BJ398" s="263" t="str">
        <f>HYPERLINK("#자재조서!A130","MZZ9000102 →")</f>
        <v>MZZ9000102 →</v>
      </c>
    </row>
    <row r="399" spans="1:62" ht="24" customHeight="1">
      <c r="A399" s="256" t="s">
        <v>804</v>
      </c>
      <c r="B399" s="256" t="s">
        <v>1593</v>
      </c>
      <c r="C399" s="257">
        <v>1</v>
      </c>
      <c r="D399" s="254" t="s">
        <v>437</v>
      </c>
      <c r="E399" s="258">
        <f>자재조서!E131</f>
        <v>0</v>
      </c>
      <c r="F399" s="258">
        <f t="shared" si="20"/>
        <v>0</v>
      </c>
      <c r="G399" s="258">
        <v>0</v>
      </c>
      <c r="H399" s="258"/>
      <c r="I399" s="258"/>
      <c r="J399" s="258"/>
      <c r="K399" s="258"/>
      <c r="L399" s="258"/>
      <c r="M399" s="256"/>
      <c r="N399" s="253" t="s">
        <v>68</v>
      </c>
      <c r="O399" s="253"/>
      <c r="P399" s="253" t="s">
        <v>1101</v>
      </c>
      <c r="Q399" s="253" t="s">
        <v>68</v>
      </c>
      <c r="R399" s="253" t="s">
        <v>1594</v>
      </c>
      <c r="S399" s="253"/>
      <c r="T399" s="253"/>
      <c r="U399" s="253"/>
      <c r="V399" s="253"/>
      <c r="W399" s="253"/>
      <c r="X399" s="253"/>
      <c r="Y399" s="253"/>
      <c r="Z399" s="253"/>
      <c r="AA399" s="253"/>
      <c r="AB399" s="253"/>
      <c r="AC399" s="253"/>
      <c r="AD399" s="253"/>
      <c r="AE399" s="253"/>
      <c r="AF399" s="253"/>
      <c r="AG399" s="253"/>
      <c r="AH399" s="253"/>
      <c r="AI399" s="253"/>
      <c r="AJ399" s="253"/>
      <c r="AK399" s="253"/>
      <c r="AL399" s="253"/>
      <c r="AM399" s="253"/>
      <c r="AN399" s="253"/>
      <c r="AO399" s="253"/>
      <c r="AP399" s="253"/>
      <c r="AQ399" s="253"/>
      <c r="AR399" s="253"/>
      <c r="AS399" s="253"/>
      <c r="AT399" s="253"/>
      <c r="AU399" s="253"/>
      <c r="AV399" s="253"/>
      <c r="AW399" s="253"/>
      <c r="AX399" s="253"/>
      <c r="AY399" s="253"/>
      <c r="AZ399" s="253"/>
      <c r="BA399" s="253"/>
      <c r="BB399" s="253"/>
      <c r="BC399" s="253"/>
      <c r="BD399" s="253"/>
      <c r="BE399" s="253"/>
      <c r="BF399" s="253"/>
      <c r="BG399" s="253"/>
      <c r="BH399" s="253"/>
      <c r="BI399" s="253"/>
      <c r="BJ399" s="263" t="str">
        <f>HYPERLINK("#자재조서!A131","MZZ9000103 →")</f>
        <v>MZZ9000103 →</v>
      </c>
    </row>
    <row r="400" spans="1:62" ht="24" customHeight="1">
      <c r="A400" s="256" t="s">
        <v>805</v>
      </c>
      <c r="B400" s="256" t="s">
        <v>1595</v>
      </c>
      <c r="C400" s="257">
        <v>1</v>
      </c>
      <c r="D400" s="254" t="s">
        <v>437</v>
      </c>
      <c r="E400" s="258">
        <f>자재조서!E132</f>
        <v>0</v>
      </c>
      <c r="F400" s="258">
        <f t="shared" si="20"/>
        <v>0</v>
      </c>
      <c r="G400" s="258">
        <v>0</v>
      </c>
      <c r="H400" s="258"/>
      <c r="I400" s="258"/>
      <c r="J400" s="258"/>
      <c r="K400" s="258"/>
      <c r="L400" s="258"/>
      <c r="M400" s="256"/>
      <c r="N400" s="253" t="s">
        <v>68</v>
      </c>
      <c r="O400" s="253"/>
      <c r="P400" s="253" t="s">
        <v>1104</v>
      </c>
      <c r="Q400" s="253" t="s">
        <v>68</v>
      </c>
      <c r="R400" s="253" t="s">
        <v>1596</v>
      </c>
      <c r="S400" s="253"/>
      <c r="T400" s="253"/>
      <c r="U400" s="253"/>
      <c r="V400" s="253"/>
      <c r="W400" s="253"/>
      <c r="X400" s="253"/>
      <c r="Y400" s="253"/>
      <c r="Z400" s="253"/>
      <c r="AA400" s="253"/>
      <c r="AB400" s="253"/>
      <c r="AC400" s="253"/>
      <c r="AD400" s="253"/>
      <c r="AE400" s="253"/>
      <c r="AF400" s="253"/>
      <c r="AG400" s="253"/>
      <c r="AH400" s="253"/>
      <c r="AI400" s="253"/>
      <c r="AJ400" s="253"/>
      <c r="AK400" s="253"/>
      <c r="AL400" s="253"/>
      <c r="AM400" s="253"/>
      <c r="AN400" s="253"/>
      <c r="AO400" s="253"/>
      <c r="AP400" s="253"/>
      <c r="AQ400" s="253"/>
      <c r="AR400" s="253"/>
      <c r="AS400" s="253"/>
      <c r="AT400" s="253"/>
      <c r="AU400" s="253"/>
      <c r="AV400" s="253"/>
      <c r="AW400" s="253"/>
      <c r="AX400" s="253"/>
      <c r="AY400" s="253"/>
      <c r="AZ400" s="253"/>
      <c r="BA400" s="253"/>
      <c r="BB400" s="253"/>
      <c r="BC400" s="253"/>
      <c r="BD400" s="253"/>
      <c r="BE400" s="253"/>
      <c r="BF400" s="253"/>
      <c r="BG400" s="253"/>
      <c r="BH400" s="253"/>
      <c r="BI400" s="253"/>
      <c r="BJ400" s="263" t="str">
        <f>HYPERLINK("#자재조서!A132","MZZ9000104 →")</f>
        <v>MZZ9000104 →</v>
      </c>
    </row>
    <row r="401" spans="1:62" ht="24" customHeight="1">
      <c r="A401" s="256" t="s">
        <v>806</v>
      </c>
      <c r="B401" s="256" t="s">
        <v>1597</v>
      </c>
      <c r="C401" s="257">
        <v>1</v>
      </c>
      <c r="D401" s="254" t="s">
        <v>437</v>
      </c>
      <c r="E401" s="258">
        <f>자재조서!E133</f>
        <v>0</v>
      </c>
      <c r="F401" s="258">
        <f t="shared" si="20"/>
        <v>0</v>
      </c>
      <c r="G401" s="258">
        <v>0</v>
      </c>
      <c r="H401" s="258"/>
      <c r="I401" s="258"/>
      <c r="J401" s="258"/>
      <c r="K401" s="258"/>
      <c r="L401" s="258"/>
      <c r="M401" s="256"/>
      <c r="N401" s="253" t="s">
        <v>68</v>
      </c>
      <c r="O401" s="253"/>
      <c r="P401" s="253" t="s">
        <v>1107</v>
      </c>
      <c r="Q401" s="253" t="s">
        <v>68</v>
      </c>
      <c r="R401" s="253" t="s">
        <v>1598</v>
      </c>
      <c r="S401" s="253"/>
      <c r="T401" s="253"/>
      <c r="U401" s="253"/>
      <c r="V401" s="253"/>
      <c r="W401" s="253"/>
      <c r="X401" s="253"/>
      <c r="Y401" s="253"/>
      <c r="Z401" s="253"/>
      <c r="AA401" s="253"/>
      <c r="AB401" s="253"/>
      <c r="AC401" s="253"/>
      <c r="AD401" s="253"/>
      <c r="AE401" s="253"/>
      <c r="AF401" s="253"/>
      <c r="AG401" s="253"/>
      <c r="AH401" s="253"/>
      <c r="AI401" s="253"/>
      <c r="AJ401" s="253"/>
      <c r="AK401" s="253"/>
      <c r="AL401" s="253"/>
      <c r="AM401" s="253"/>
      <c r="AN401" s="253"/>
      <c r="AO401" s="253"/>
      <c r="AP401" s="253"/>
      <c r="AQ401" s="253"/>
      <c r="AR401" s="253"/>
      <c r="AS401" s="253"/>
      <c r="AT401" s="253"/>
      <c r="AU401" s="253"/>
      <c r="AV401" s="253"/>
      <c r="AW401" s="253"/>
      <c r="AX401" s="253"/>
      <c r="AY401" s="253"/>
      <c r="AZ401" s="253"/>
      <c r="BA401" s="253"/>
      <c r="BB401" s="253"/>
      <c r="BC401" s="253"/>
      <c r="BD401" s="253"/>
      <c r="BE401" s="253"/>
      <c r="BF401" s="253"/>
      <c r="BG401" s="253"/>
      <c r="BH401" s="253"/>
      <c r="BI401" s="253"/>
      <c r="BJ401" s="263" t="str">
        <f>HYPERLINK("#자재조서!A133","MZZ9000105 →")</f>
        <v>MZZ9000105 →</v>
      </c>
    </row>
    <row r="402" spans="1:62" ht="24" customHeight="1">
      <c r="A402" s="256" t="s">
        <v>807</v>
      </c>
      <c r="B402" s="256" t="s">
        <v>1599</v>
      </c>
      <c r="C402" s="257">
        <v>1</v>
      </c>
      <c r="D402" s="254" t="s">
        <v>437</v>
      </c>
      <c r="E402" s="258">
        <f>자재조서!E134</f>
        <v>0</v>
      </c>
      <c r="F402" s="258">
        <f t="shared" si="20"/>
        <v>0</v>
      </c>
      <c r="G402" s="258">
        <v>0</v>
      </c>
      <c r="H402" s="258"/>
      <c r="I402" s="258"/>
      <c r="J402" s="258"/>
      <c r="K402" s="258"/>
      <c r="L402" s="258"/>
      <c r="M402" s="256"/>
      <c r="N402" s="253" t="s">
        <v>68</v>
      </c>
      <c r="O402" s="253"/>
      <c r="P402" s="253" t="s">
        <v>1108</v>
      </c>
      <c r="Q402" s="253" t="s">
        <v>68</v>
      </c>
      <c r="R402" s="253" t="s">
        <v>1600</v>
      </c>
      <c r="S402" s="253"/>
      <c r="T402" s="253"/>
      <c r="U402" s="253"/>
      <c r="V402" s="253"/>
      <c r="W402" s="253"/>
      <c r="X402" s="253"/>
      <c r="Y402" s="253"/>
      <c r="Z402" s="253"/>
      <c r="AA402" s="253"/>
      <c r="AB402" s="253"/>
      <c r="AC402" s="253"/>
      <c r="AD402" s="253"/>
      <c r="AE402" s="253"/>
      <c r="AF402" s="253"/>
      <c r="AG402" s="253"/>
      <c r="AH402" s="253"/>
      <c r="AI402" s="253"/>
      <c r="AJ402" s="253"/>
      <c r="AK402" s="253"/>
      <c r="AL402" s="253"/>
      <c r="AM402" s="253"/>
      <c r="AN402" s="253"/>
      <c r="AO402" s="253"/>
      <c r="AP402" s="253"/>
      <c r="AQ402" s="253"/>
      <c r="AR402" s="253"/>
      <c r="AS402" s="253"/>
      <c r="AT402" s="253"/>
      <c r="AU402" s="253"/>
      <c r="AV402" s="253"/>
      <c r="AW402" s="253"/>
      <c r="AX402" s="253"/>
      <c r="AY402" s="253"/>
      <c r="AZ402" s="253"/>
      <c r="BA402" s="253"/>
      <c r="BB402" s="253"/>
      <c r="BC402" s="253"/>
      <c r="BD402" s="253"/>
      <c r="BE402" s="253"/>
      <c r="BF402" s="253"/>
      <c r="BG402" s="253"/>
      <c r="BH402" s="253"/>
      <c r="BI402" s="253"/>
      <c r="BJ402" s="263" t="str">
        <f>HYPERLINK("#자재조서!A134","MZZ9000106 →")</f>
        <v>MZZ9000106 →</v>
      </c>
    </row>
    <row r="403" spans="1:62" ht="24" customHeight="1">
      <c r="A403" s="256" t="s">
        <v>808</v>
      </c>
      <c r="B403" s="256" t="s">
        <v>1601</v>
      </c>
      <c r="C403" s="257">
        <v>3</v>
      </c>
      <c r="D403" s="254" t="s">
        <v>437</v>
      </c>
      <c r="E403" s="258">
        <f>자재조서!E135</f>
        <v>0</v>
      </c>
      <c r="F403" s="258">
        <f t="shared" si="20"/>
        <v>0</v>
      </c>
      <c r="G403" s="258">
        <v>0</v>
      </c>
      <c r="H403" s="258"/>
      <c r="I403" s="258"/>
      <c r="J403" s="258"/>
      <c r="K403" s="258"/>
      <c r="L403" s="258"/>
      <c r="M403" s="256"/>
      <c r="N403" s="253" t="s">
        <v>68</v>
      </c>
      <c r="O403" s="253"/>
      <c r="P403" s="253" t="s">
        <v>1109</v>
      </c>
      <c r="Q403" s="253" t="s">
        <v>68</v>
      </c>
      <c r="R403" s="253" t="s">
        <v>1602</v>
      </c>
      <c r="S403" s="253"/>
      <c r="T403" s="253"/>
      <c r="U403" s="253"/>
      <c r="V403" s="253"/>
      <c r="W403" s="253"/>
      <c r="X403" s="253"/>
      <c r="Y403" s="253"/>
      <c r="Z403" s="253"/>
      <c r="AA403" s="253"/>
      <c r="AB403" s="253"/>
      <c r="AC403" s="253"/>
      <c r="AD403" s="253"/>
      <c r="AE403" s="253"/>
      <c r="AF403" s="253"/>
      <c r="AG403" s="253"/>
      <c r="AH403" s="253"/>
      <c r="AI403" s="253"/>
      <c r="AJ403" s="253"/>
      <c r="AK403" s="253"/>
      <c r="AL403" s="253"/>
      <c r="AM403" s="253"/>
      <c r="AN403" s="253"/>
      <c r="AO403" s="253"/>
      <c r="AP403" s="253"/>
      <c r="AQ403" s="253"/>
      <c r="AR403" s="253"/>
      <c r="AS403" s="253"/>
      <c r="AT403" s="253"/>
      <c r="AU403" s="253"/>
      <c r="AV403" s="253"/>
      <c r="AW403" s="253"/>
      <c r="AX403" s="253"/>
      <c r="AY403" s="253"/>
      <c r="AZ403" s="253"/>
      <c r="BA403" s="253"/>
      <c r="BB403" s="253"/>
      <c r="BC403" s="253"/>
      <c r="BD403" s="253"/>
      <c r="BE403" s="253"/>
      <c r="BF403" s="253"/>
      <c r="BG403" s="253"/>
      <c r="BH403" s="253"/>
      <c r="BI403" s="253"/>
      <c r="BJ403" s="263" t="str">
        <f>HYPERLINK("#자재조서!A135","MZZ9000107 →")</f>
        <v>MZZ9000107 →</v>
      </c>
    </row>
    <row r="404" spans="1:62" ht="24" customHeight="1">
      <c r="A404" s="256" t="s">
        <v>809</v>
      </c>
      <c r="B404" s="256" t="s">
        <v>1603</v>
      </c>
      <c r="C404" s="257">
        <v>2</v>
      </c>
      <c r="D404" s="254" t="s">
        <v>437</v>
      </c>
      <c r="E404" s="258">
        <f>자재조서!E136</f>
        <v>0</v>
      </c>
      <c r="F404" s="258">
        <f t="shared" si="20"/>
        <v>0</v>
      </c>
      <c r="G404" s="258">
        <v>0</v>
      </c>
      <c r="H404" s="258"/>
      <c r="I404" s="258"/>
      <c r="J404" s="258"/>
      <c r="K404" s="258"/>
      <c r="L404" s="258"/>
      <c r="M404" s="256"/>
      <c r="N404" s="253" t="s">
        <v>68</v>
      </c>
      <c r="O404" s="253"/>
      <c r="P404" s="253" t="s">
        <v>1110</v>
      </c>
      <c r="Q404" s="253" t="s">
        <v>68</v>
      </c>
      <c r="R404" s="253" t="s">
        <v>1604</v>
      </c>
      <c r="S404" s="253"/>
      <c r="T404" s="253"/>
      <c r="U404" s="253"/>
      <c r="V404" s="253"/>
      <c r="W404" s="253"/>
      <c r="X404" s="253"/>
      <c r="Y404" s="253"/>
      <c r="Z404" s="253"/>
      <c r="AA404" s="253"/>
      <c r="AB404" s="253"/>
      <c r="AC404" s="253"/>
      <c r="AD404" s="253"/>
      <c r="AE404" s="253"/>
      <c r="AF404" s="253"/>
      <c r="AG404" s="253"/>
      <c r="AH404" s="253"/>
      <c r="AI404" s="253"/>
      <c r="AJ404" s="253"/>
      <c r="AK404" s="253"/>
      <c r="AL404" s="253"/>
      <c r="AM404" s="253"/>
      <c r="AN404" s="253"/>
      <c r="AO404" s="253"/>
      <c r="AP404" s="253"/>
      <c r="AQ404" s="253"/>
      <c r="AR404" s="253"/>
      <c r="AS404" s="253"/>
      <c r="AT404" s="253"/>
      <c r="AU404" s="253"/>
      <c r="AV404" s="253"/>
      <c r="AW404" s="253"/>
      <c r="AX404" s="253"/>
      <c r="AY404" s="253"/>
      <c r="AZ404" s="253"/>
      <c r="BA404" s="253"/>
      <c r="BB404" s="253"/>
      <c r="BC404" s="253"/>
      <c r="BD404" s="253"/>
      <c r="BE404" s="253"/>
      <c r="BF404" s="253"/>
      <c r="BG404" s="253"/>
      <c r="BH404" s="253"/>
      <c r="BI404" s="253"/>
      <c r="BJ404" s="263" t="str">
        <f>HYPERLINK("#자재조서!A136","MZZ9000108 →")</f>
        <v>MZZ9000108 →</v>
      </c>
    </row>
    <row r="405" spans="1:62" ht="24" customHeight="1">
      <c r="A405" s="256" t="s">
        <v>810</v>
      </c>
      <c r="B405" s="256" t="s">
        <v>1605</v>
      </c>
      <c r="C405" s="257">
        <v>1</v>
      </c>
      <c r="D405" s="254" t="s">
        <v>437</v>
      </c>
      <c r="E405" s="258">
        <f>자재조서!E137</f>
        <v>0</v>
      </c>
      <c r="F405" s="258">
        <f t="shared" si="20"/>
        <v>0</v>
      </c>
      <c r="G405" s="258">
        <v>0</v>
      </c>
      <c r="H405" s="258"/>
      <c r="I405" s="258"/>
      <c r="J405" s="258"/>
      <c r="K405" s="258"/>
      <c r="L405" s="258"/>
      <c r="M405" s="256"/>
      <c r="N405" s="253" t="s">
        <v>68</v>
      </c>
      <c r="O405" s="253"/>
      <c r="P405" s="253" t="s">
        <v>1111</v>
      </c>
      <c r="Q405" s="253" t="s">
        <v>68</v>
      </c>
      <c r="R405" s="253" t="s">
        <v>1606</v>
      </c>
      <c r="S405" s="253"/>
      <c r="T405" s="253"/>
      <c r="U405" s="253"/>
      <c r="V405" s="253"/>
      <c r="W405" s="253"/>
      <c r="X405" s="253"/>
      <c r="Y405" s="253"/>
      <c r="Z405" s="253"/>
      <c r="AA405" s="253"/>
      <c r="AB405" s="253"/>
      <c r="AC405" s="253"/>
      <c r="AD405" s="253"/>
      <c r="AE405" s="253"/>
      <c r="AF405" s="253"/>
      <c r="AG405" s="253"/>
      <c r="AH405" s="253"/>
      <c r="AI405" s="253"/>
      <c r="AJ405" s="253"/>
      <c r="AK405" s="253"/>
      <c r="AL405" s="253"/>
      <c r="AM405" s="253"/>
      <c r="AN405" s="253"/>
      <c r="AO405" s="253"/>
      <c r="AP405" s="253"/>
      <c r="AQ405" s="253"/>
      <c r="AR405" s="253"/>
      <c r="AS405" s="253"/>
      <c r="AT405" s="253"/>
      <c r="AU405" s="253"/>
      <c r="AV405" s="253"/>
      <c r="AW405" s="253"/>
      <c r="AX405" s="253"/>
      <c r="AY405" s="253"/>
      <c r="AZ405" s="253"/>
      <c r="BA405" s="253"/>
      <c r="BB405" s="253"/>
      <c r="BC405" s="253"/>
      <c r="BD405" s="253"/>
      <c r="BE405" s="253"/>
      <c r="BF405" s="253"/>
      <c r="BG405" s="253"/>
      <c r="BH405" s="253"/>
      <c r="BI405" s="253"/>
      <c r="BJ405" s="263" t="str">
        <f>HYPERLINK("#자재조서!A137","MZZ9000109 →")</f>
        <v>MZZ9000109 →</v>
      </c>
    </row>
    <row r="406" spans="1:62" ht="24" customHeight="1">
      <c r="A406" s="256" t="s">
        <v>811</v>
      </c>
      <c r="B406" s="256" t="s">
        <v>1607</v>
      </c>
      <c r="C406" s="257">
        <v>1</v>
      </c>
      <c r="D406" s="254" t="s">
        <v>437</v>
      </c>
      <c r="E406" s="258">
        <f>자재조서!E138</f>
        <v>0</v>
      </c>
      <c r="F406" s="258">
        <f t="shared" si="20"/>
        <v>0</v>
      </c>
      <c r="G406" s="258">
        <v>0</v>
      </c>
      <c r="H406" s="258"/>
      <c r="I406" s="258"/>
      <c r="J406" s="258"/>
      <c r="K406" s="258"/>
      <c r="L406" s="258"/>
      <c r="M406" s="256"/>
      <c r="N406" s="253" t="s">
        <v>68</v>
      </c>
      <c r="O406" s="253"/>
      <c r="P406" s="253" t="s">
        <v>1112</v>
      </c>
      <c r="Q406" s="253" t="s">
        <v>68</v>
      </c>
      <c r="R406" s="253" t="s">
        <v>1608</v>
      </c>
      <c r="S406" s="253"/>
      <c r="T406" s="253"/>
      <c r="U406" s="253"/>
      <c r="V406" s="253"/>
      <c r="W406" s="253"/>
      <c r="X406" s="253"/>
      <c r="Y406" s="253"/>
      <c r="Z406" s="253"/>
      <c r="AA406" s="253"/>
      <c r="AB406" s="253"/>
      <c r="AC406" s="253"/>
      <c r="AD406" s="253"/>
      <c r="AE406" s="253"/>
      <c r="AF406" s="253"/>
      <c r="AG406" s="253"/>
      <c r="AH406" s="253"/>
      <c r="AI406" s="253"/>
      <c r="AJ406" s="253"/>
      <c r="AK406" s="253"/>
      <c r="AL406" s="253"/>
      <c r="AM406" s="253"/>
      <c r="AN406" s="253"/>
      <c r="AO406" s="253"/>
      <c r="AP406" s="253"/>
      <c r="AQ406" s="253"/>
      <c r="AR406" s="253"/>
      <c r="AS406" s="253"/>
      <c r="AT406" s="253"/>
      <c r="AU406" s="253"/>
      <c r="AV406" s="253"/>
      <c r="AW406" s="253"/>
      <c r="AX406" s="253"/>
      <c r="AY406" s="253"/>
      <c r="AZ406" s="253"/>
      <c r="BA406" s="253"/>
      <c r="BB406" s="253"/>
      <c r="BC406" s="253"/>
      <c r="BD406" s="253"/>
      <c r="BE406" s="253"/>
      <c r="BF406" s="253"/>
      <c r="BG406" s="253"/>
      <c r="BH406" s="253"/>
      <c r="BI406" s="253"/>
      <c r="BJ406" s="263" t="str">
        <f>HYPERLINK("#자재조서!A138","MZZ9000110 →")</f>
        <v>MZZ9000110 →</v>
      </c>
    </row>
    <row r="407" spans="1:62" ht="24" customHeight="1">
      <c r="A407" s="256" t="s">
        <v>812</v>
      </c>
      <c r="B407" s="256" t="s">
        <v>1609</v>
      </c>
      <c r="C407" s="257">
        <v>1</v>
      </c>
      <c r="D407" s="254" t="s">
        <v>437</v>
      </c>
      <c r="E407" s="258">
        <f>자재조서!E139</f>
        <v>0</v>
      </c>
      <c r="F407" s="258">
        <f t="shared" si="20"/>
        <v>0</v>
      </c>
      <c r="G407" s="258">
        <v>0</v>
      </c>
      <c r="H407" s="258"/>
      <c r="I407" s="258"/>
      <c r="J407" s="258"/>
      <c r="K407" s="258"/>
      <c r="L407" s="258"/>
      <c r="M407" s="256"/>
      <c r="N407" s="253" t="s">
        <v>68</v>
      </c>
      <c r="O407" s="253"/>
      <c r="P407" s="253" t="s">
        <v>1113</v>
      </c>
      <c r="Q407" s="253" t="s">
        <v>68</v>
      </c>
      <c r="R407" s="253" t="s">
        <v>1610</v>
      </c>
      <c r="S407" s="253"/>
      <c r="T407" s="253"/>
      <c r="U407" s="253"/>
      <c r="V407" s="253"/>
      <c r="W407" s="253"/>
      <c r="X407" s="253"/>
      <c r="Y407" s="253"/>
      <c r="Z407" s="253"/>
      <c r="AA407" s="253"/>
      <c r="AB407" s="253"/>
      <c r="AC407" s="253"/>
      <c r="AD407" s="253"/>
      <c r="AE407" s="253"/>
      <c r="AF407" s="253"/>
      <c r="AG407" s="253"/>
      <c r="AH407" s="253"/>
      <c r="AI407" s="253"/>
      <c r="AJ407" s="253"/>
      <c r="AK407" s="253"/>
      <c r="AL407" s="253"/>
      <c r="AM407" s="253"/>
      <c r="AN407" s="253"/>
      <c r="AO407" s="253"/>
      <c r="AP407" s="253"/>
      <c r="AQ407" s="253"/>
      <c r="AR407" s="253"/>
      <c r="AS407" s="253"/>
      <c r="AT407" s="253"/>
      <c r="AU407" s="253"/>
      <c r="AV407" s="253"/>
      <c r="AW407" s="253"/>
      <c r="AX407" s="253"/>
      <c r="AY407" s="253"/>
      <c r="AZ407" s="253"/>
      <c r="BA407" s="253"/>
      <c r="BB407" s="253"/>
      <c r="BC407" s="253"/>
      <c r="BD407" s="253"/>
      <c r="BE407" s="253"/>
      <c r="BF407" s="253"/>
      <c r="BG407" s="253"/>
      <c r="BH407" s="253"/>
      <c r="BI407" s="253"/>
      <c r="BJ407" s="263" t="str">
        <f>HYPERLINK("#자재조서!A139","MZZ9000111 →")</f>
        <v>MZZ9000111 →</v>
      </c>
    </row>
    <row r="408" spans="1:62" ht="24" customHeight="1">
      <c r="A408" s="256" t="s">
        <v>813</v>
      </c>
      <c r="B408" s="256" t="s">
        <v>1611</v>
      </c>
      <c r="C408" s="257">
        <v>1</v>
      </c>
      <c r="D408" s="254" t="s">
        <v>437</v>
      </c>
      <c r="E408" s="258">
        <f>자재조서!E140</f>
        <v>0</v>
      </c>
      <c r="F408" s="258">
        <f t="shared" si="20"/>
        <v>0</v>
      </c>
      <c r="G408" s="258">
        <v>0</v>
      </c>
      <c r="H408" s="258"/>
      <c r="I408" s="258"/>
      <c r="J408" s="258"/>
      <c r="K408" s="258"/>
      <c r="L408" s="258"/>
      <c r="M408" s="256"/>
      <c r="N408" s="253" t="s">
        <v>68</v>
      </c>
      <c r="O408" s="253"/>
      <c r="P408" s="253" t="s">
        <v>1114</v>
      </c>
      <c r="Q408" s="253" t="s">
        <v>68</v>
      </c>
      <c r="R408" s="253" t="s">
        <v>1612</v>
      </c>
      <c r="S408" s="253"/>
      <c r="T408" s="253"/>
      <c r="U408" s="253"/>
      <c r="V408" s="253"/>
      <c r="W408" s="253"/>
      <c r="X408" s="253"/>
      <c r="Y408" s="253"/>
      <c r="Z408" s="253"/>
      <c r="AA408" s="253"/>
      <c r="AB408" s="253"/>
      <c r="AC408" s="253"/>
      <c r="AD408" s="253"/>
      <c r="AE408" s="253"/>
      <c r="AF408" s="253"/>
      <c r="AG408" s="253"/>
      <c r="AH408" s="253"/>
      <c r="AI408" s="253"/>
      <c r="AJ408" s="253"/>
      <c r="AK408" s="253"/>
      <c r="AL408" s="253"/>
      <c r="AM408" s="253"/>
      <c r="AN408" s="253"/>
      <c r="AO408" s="253"/>
      <c r="AP408" s="253"/>
      <c r="AQ408" s="253"/>
      <c r="AR408" s="253"/>
      <c r="AS408" s="253"/>
      <c r="AT408" s="253"/>
      <c r="AU408" s="253"/>
      <c r="AV408" s="253"/>
      <c r="AW408" s="253"/>
      <c r="AX408" s="253"/>
      <c r="AY408" s="253"/>
      <c r="AZ408" s="253"/>
      <c r="BA408" s="253"/>
      <c r="BB408" s="253"/>
      <c r="BC408" s="253"/>
      <c r="BD408" s="253"/>
      <c r="BE408" s="253"/>
      <c r="BF408" s="253"/>
      <c r="BG408" s="253"/>
      <c r="BH408" s="253"/>
      <c r="BI408" s="253"/>
      <c r="BJ408" s="263" t="str">
        <f>HYPERLINK("#자재조서!A140","MZZ9000112 →")</f>
        <v>MZZ9000112 →</v>
      </c>
    </row>
    <row r="409" spans="1:62" ht="24" customHeight="1">
      <c r="A409" s="256" t="s">
        <v>814</v>
      </c>
      <c r="B409" s="256" t="s">
        <v>1613</v>
      </c>
      <c r="C409" s="257">
        <v>1</v>
      </c>
      <c r="D409" s="254" t="s">
        <v>437</v>
      </c>
      <c r="E409" s="258">
        <f>자재조서!E141</f>
        <v>0</v>
      </c>
      <c r="F409" s="258">
        <f t="shared" si="20"/>
        <v>0</v>
      </c>
      <c r="G409" s="258">
        <v>0</v>
      </c>
      <c r="H409" s="258"/>
      <c r="I409" s="258"/>
      <c r="J409" s="258"/>
      <c r="K409" s="258"/>
      <c r="L409" s="258"/>
      <c r="M409" s="256"/>
      <c r="N409" s="253" t="s">
        <v>68</v>
      </c>
      <c r="O409" s="253"/>
      <c r="P409" s="253" t="s">
        <v>1115</v>
      </c>
      <c r="Q409" s="253" t="s">
        <v>68</v>
      </c>
      <c r="R409" s="253" t="s">
        <v>1614</v>
      </c>
      <c r="S409" s="253"/>
      <c r="T409" s="253"/>
      <c r="U409" s="253"/>
      <c r="V409" s="253"/>
      <c r="W409" s="253"/>
      <c r="X409" s="253"/>
      <c r="Y409" s="253"/>
      <c r="Z409" s="253"/>
      <c r="AA409" s="253"/>
      <c r="AB409" s="253"/>
      <c r="AC409" s="253"/>
      <c r="AD409" s="253"/>
      <c r="AE409" s="253"/>
      <c r="AF409" s="253"/>
      <c r="AG409" s="253"/>
      <c r="AH409" s="253"/>
      <c r="AI409" s="253"/>
      <c r="AJ409" s="253"/>
      <c r="AK409" s="253"/>
      <c r="AL409" s="253"/>
      <c r="AM409" s="253"/>
      <c r="AN409" s="253"/>
      <c r="AO409" s="253"/>
      <c r="AP409" s="253"/>
      <c r="AQ409" s="253"/>
      <c r="AR409" s="253"/>
      <c r="AS409" s="253"/>
      <c r="AT409" s="253"/>
      <c r="AU409" s="253"/>
      <c r="AV409" s="253"/>
      <c r="AW409" s="253"/>
      <c r="AX409" s="253"/>
      <c r="AY409" s="253"/>
      <c r="AZ409" s="253"/>
      <c r="BA409" s="253"/>
      <c r="BB409" s="253"/>
      <c r="BC409" s="253"/>
      <c r="BD409" s="253"/>
      <c r="BE409" s="253"/>
      <c r="BF409" s="253"/>
      <c r="BG409" s="253"/>
      <c r="BH409" s="253"/>
      <c r="BI409" s="253"/>
      <c r="BJ409" s="263" t="str">
        <f>HYPERLINK("#자재조서!A141","MZZ9000113 →")</f>
        <v>MZZ9000113 →</v>
      </c>
    </row>
    <row r="410" spans="1:62" ht="24" customHeight="1">
      <c r="A410" s="256" t="s">
        <v>815</v>
      </c>
      <c r="B410" s="256" t="s">
        <v>1615</v>
      </c>
      <c r="C410" s="257">
        <v>1</v>
      </c>
      <c r="D410" s="254" t="s">
        <v>437</v>
      </c>
      <c r="E410" s="258">
        <f>자재조서!E142</f>
        <v>0</v>
      </c>
      <c r="F410" s="258">
        <f t="shared" si="20"/>
        <v>0</v>
      </c>
      <c r="G410" s="258">
        <v>0</v>
      </c>
      <c r="H410" s="258"/>
      <c r="I410" s="258"/>
      <c r="J410" s="258"/>
      <c r="K410" s="258"/>
      <c r="L410" s="258"/>
      <c r="M410" s="256"/>
      <c r="N410" s="253" t="s">
        <v>68</v>
      </c>
      <c r="O410" s="253"/>
      <c r="P410" s="253" t="s">
        <v>1116</v>
      </c>
      <c r="Q410" s="253" t="s">
        <v>68</v>
      </c>
      <c r="R410" s="253" t="s">
        <v>1616</v>
      </c>
      <c r="S410" s="253"/>
      <c r="T410" s="253"/>
      <c r="U410" s="253"/>
      <c r="V410" s="253"/>
      <c r="W410" s="253"/>
      <c r="X410" s="253"/>
      <c r="Y410" s="253"/>
      <c r="Z410" s="253"/>
      <c r="AA410" s="253"/>
      <c r="AB410" s="253"/>
      <c r="AC410" s="253"/>
      <c r="AD410" s="253"/>
      <c r="AE410" s="253"/>
      <c r="AF410" s="253"/>
      <c r="AG410" s="253"/>
      <c r="AH410" s="253"/>
      <c r="AI410" s="253"/>
      <c r="AJ410" s="253"/>
      <c r="AK410" s="253"/>
      <c r="AL410" s="253"/>
      <c r="AM410" s="253"/>
      <c r="AN410" s="253"/>
      <c r="AO410" s="253"/>
      <c r="AP410" s="253"/>
      <c r="AQ410" s="253"/>
      <c r="AR410" s="253"/>
      <c r="AS410" s="253"/>
      <c r="AT410" s="253"/>
      <c r="AU410" s="253"/>
      <c r="AV410" s="253"/>
      <c r="AW410" s="253"/>
      <c r="AX410" s="253"/>
      <c r="AY410" s="253"/>
      <c r="AZ410" s="253"/>
      <c r="BA410" s="253"/>
      <c r="BB410" s="253"/>
      <c r="BC410" s="253"/>
      <c r="BD410" s="253"/>
      <c r="BE410" s="253"/>
      <c r="BF410" s="253"/>
      <c r="BG410" s="253"/>
      <c r="BH410" s="253"/>
      <c r="BI410" s="253"/>
      <c r="BJ410" s="263" t="str">
        <f>HYPERLINK("#자재조서!A142","MZZ9000114 →")</f>
        <v>MZZ9000114 →</v>
      </c>
    </row>
    <row r="411" spans="1:62" ht="24" customHeight="1">
      <c r="A411" s="256" t="s">
        <v>816</v>
      </c>
      <c r="B411" s="256" t="s">
        <v>1617</v>
      </c>
      <c r="C411" s="257">
        <v>1</v>
      </c>
      <c r="D411" s="254" t="s">
        <v>437</v>
      </c>
      <c r="E411" s="258">
        <f>자재조서!E143</f>
        <v>0</v>
      </c>
      <c r="F411" s="258">
        <f t="shared" si="20"/>
        <v>0</v>
      </c>
      <c r="G411" s="258">
        <v>0</v>
      </c>
      <c r="H411" s="258"/>
      <c r="I411" s="258"/>
      <c r="J411" s="258"/>
      <c r="K411" s="258"/>
      <c r="L411" s="258"/>
      <c r="M411" s="256"/>
      <c r="N411" s="253" t="s">
        <v>68</v>
      </c>
      <c r="O411" s="253"/>
      <c r="P411" s="253" t="s">
        <v>1120</v>
      </c>
      <c r="Q411" s="253" t="s">
        <v>68</v>
      </c>
      <c r="R411" s="253" t="s">
        <v>1618</v>
      </c>
      <c r="S411" s="253"/>
      <c r="T411" s="253"/>
      <c r="U411" s="253"/>
      <c r="V411" s="253"/>
      <c r="W411" s="253"/>
      <c r="X411" s="253"/>
      <c r="Y411" s="253"/>
      <c r="Z411" s="253"/>
      <c r="AA411" s="253"/>
      <c r="AB411" s="253"/>
      <c r="AC411" s="253"/>
      <c r="AD411" s="253"/>
      <c r="AE411" s="253"/>
      <c r="AF411" s="253"/>
      <c r="AG411" s="253"/>
      <c r="AH411" s="253"/>
      <c r="AI411" s="253"/>
      <c r="AJ411" s="253"/>
      <c r="AK411" s="253"/>
      <c r="AL411" s="253"/>
      <c r="AM411" s="253"/>
      <c r="AN411" s="253"/>
      <c r="AO411" s="253"/>
      <c r="AP411" s="253"/>
      <c r="AQ411" s="253"/>
      <c r="AR411" s="253"/>
      <c r="AS411" s="253"/>
      <c r="AT411" s="253"/>
      <c r="AU411" s="253"/>
      <c r="AV411" s="253"/>
      <c r="AW411" s="253"/>
      <c r="AX411" s="253"/>
      <c r="AY411" s="253"/>
      <c r="AZ411" s="253"/>
      <c r="BA411" s="253"/>
      <c r="BB411" s="253"/>
      <c r="BC411" s="253"/>
      <c r="BD411" s="253"/>
      <c r="BE411" s="253"/>
      <c r="BF411" s="253"/>
      <c r="BG411" s="253"/>
      <c r="BH411" s="253"/>
      <c r="BI411" s="253"/>
      <c r="BJ411" s="263" t="str">
        <f>HYPERLINK("#자재조서!A143","MZZ9000115 →")</f>
        <v>MZZ9000115 →</v>
      </c>
    </row>
    <row r="412" spans="1:62" ht="24" customHeight="1">
      <c r="A412" s="256" t="s">
        <v>68</v>
      </c>
      <c r="B412" s="256" t="s">
        <v>68</v>
      </c>
      <c r="C412" s="264"/>
      <c r="D412" s="254" t="s">
        <v>68</v>
      </c>
      <c r="E412" s="254"/>
      <c r="F412" s="258">
        <v>0</v>
      </c>
      <c r="G412" s="254"/>
      <c r="H412" s="258"/>
      <c r="I412" s="254"/>
      <c r="J412" s="258"/>
      <c r="K412" s="258"/>
      <c r="L412" s="258"/>
      <c r="M412" s="256"/>
      <c r="N412" s="253" t="s">
        <v>68</v>
      </c>
      <c r="O412" s="253"/>
      <c r="P412" s="253" t="s">
        <v>1173</v>
      </c>
      <c r="Q412" s="253" t="s">
        <v>68</v>
      </c>
      <c r="R412" s="253" t="s">
        <v>68</v>
      </c>
      <c r="S412" s="253"/>
      <c r="T412" s="253"/>
      <c r="U412" s="253"/>
      <c r="V412" s="253"/>
      <c r="W412" s="253"/>
      <c r="X412" s="253"/>
      <c r="Y412" s="253"/>
      <c r="Z412" s="253"/>
      <c r="AA412" s="253"/>
      <c r="AB412" s="253"/>
      <c r="AC412" s="253"/>
      <c r="AD412" s="253"/>
      <c r="AE412" s="253"/>
      <c r="AF412" s="253"/>
      <c r="AG412" s="253"/>
      <c r="AH412" s="253"/>
      <c r="AI412" s="253"/>
      <c r="AJ412" s="253"/>
      <c r="AK412" s="253"/>
      <c r="AL412" s="253"/>
      <c r="AM412" s="253"/>
      <c r="AN412" s="253"/>
      <c r="AO412" s="253"/>
      <c r="AP412" s="253"/>
      <c r="AQ412" s="253"/>
      <c r="AR412" s="253"/>
      <c r="AS412" s="253"/>
      <c r="AT412" s="253"/>
      <c r="AU412" s="253"/>
      <c r="AV412" s="253"/>
      <c r="AW412" s="253"/>
      <c r="AX412" s="253"/>
      <c r="AY412" s="253"/>
      <c r="AZ412" s="253"/>
      <c r="BA412" s="253"/>
      <c r="BB412" s="253"/>
      <c r="BC412" s="253"/>
      <c r="BD412" s="253"/>
      <c r="BE412" s="253"/>
      <c r="BF412" s="253"/>
      <c r="BG412" s="253"/>
      <c r="BH412" s="253"/>
      <c r="BI412" s="253"/>
      <c r="BJ412" s="253"/>
    </row>
    <row r="413" spans="1:62" ht="24" customHeight="1">
      <c r="A413" s="269" t="s">
        <v>1578</v>
      </c>
      <c r="B413" s="269" t="s">
        <v>68</v>
      </c>
      <c r="C413" s="270">
        <v>1</v>
      </c>
      <c r="D413" s="271" t="s">
        <v>1094</v>
      </c>
      <c r="E413" s="271"/>
      <c r="F413" s="272">
        <f>TRUNC(F414+F415+F416+F417+F418+F419+F420,0)</f>
        <v>0</v>
      </c>
      <c r="G413" s="271"/>
      <c r="H413" s="272"/>
      <c r="I413" s="271"/>
      <c r="J413" s="272"/>
      <c r="K413" s="271"/>
      <c r="L413" s="272"/>
      <c r="M413" s="269"/>
      <c r="N413" s="253" t="s">
        <v>68</v>
      </c>
      <c r="O413" s="253" t="s">
        <v>1579</v>
      </c>
      <c r="P413" s="253"/>
      <c r="Q413" s="253"/>
      <c r="R413" s="253"/>
      <c r="S413" s="253"/>
      <c r="T413" s="253"/>
      <c r="U413" s="253"/>
      <c r="V413" s="253"/>
      <c r="W413" s="253"/>
      <c r="X413" s="253"/>
      <c r="Y413" s="253"/>
      <c r="Z413" s="253"/>
      <c r="AA413" s="253"/>
      <c r="AB413" s="253"/>
      <c r="AC413" s="253"/>
      <c r="AD413" s="253"/>
      <c r="AE413" s="253"/>
      <c r="AF413" s="253"/>
      <c r="AG413" s="253"/>
      <c r="AH413" s="253"/>
      <c r="AI413" s="253"/>
      <c r="AJ413" s="253"/>
      <c r="AK413" s="253"/>
      <c r="AL413" s="253"/>
      <c r="AM413" s="253"/>
      <c r="AN413" s="253"/>
      <c r="AO413" s="253"/>
      <c r="AP413" s="253"/>
      <c r="AQ413" s="253"/>
      <c r="AR413" s="253"/>
      <c r="AS413" s="253"/>
      <c r="AT413" s="253"/>
      <c r="AU413" s="253"/>
      <c r="AV413" s="253"/>
      <c r="AW413" s="253"/>
      <c r="AX413" s="253"/>
      <c r="AY413" s="253"/>
      <c r="AZ413" s="253"/>
      <c r="BA413" s="253"/>
      <c r="BB413" s="253"/>
      <c r="BC413" s="253"/>
      <c r="BD413" s="253"/>
      <c r="BE413" s="253"/>
      <c r="BF413" s="253"/>
      <c r="BG413" s="253"/>
      <c r="BH413" s="253"/>
      <c r="BI413" s="253"/>
      <c r="BJ413" s="253"/>
    </row>
    <row r="414" spans="1:62" ht="24" customHeight="1">
      <c r="A414" s="256" t="s">
        <v>847</v>
      </c>
      <c r="B414" s="256" t="s">
        <v>861</v>
      </c>
      <c r="C414" s="257">
        <v>2</v>
      </c>
      <c r="D414" s="254" t="s">
        <v>437</v>
      </c>
      <c r="E414" s="258">
        <f>자재조서!E99</f>
        <v>0</v>
      </c>
      <c r="F414" s="258">
        <f t="shared" ref="F414:F420" si="21">TRUNC(E414*C414,0)</f>
        <v>0</v>
      </c>
      <c r="G414" s="258">
        <v>0</v>
      </c>
      <c r="H414" s="258"/>
      <c r="I414" s="258"/>
      <c r="J414" s="258"/>
      <c r="K414" s="258"/>
      <c r="L414" s="258"/>
      <c r="M414" s="256"/>
      <c r="N414" s="253" t="s">
        <v>68</v>
      </c>
      <c r="O414" s="253"/>
      <c r="P414" s="253" t="s">
        <v>1095</v>
      </c>
      <c r="Q414" s="253" t="s">
        <v>68</v>
      </c>
      <c r="R414" s="253" t="s">
        <v>1619</v>
      </c>
      <c r="S414" s="253"/>
      <c r="T414" s="253"/>
      <c r="U414" s="253"/>
      <c r="V414" s="253"/>
      <c r="W414" s="253"/>
      <c r="X414" s="253"/>
      <c r="Y414" s="253"/>
      <c r="Z414" s="253"/>
      <c r="AA414" s="253"/>
      <c r="AB414" s="253"/>
      <c r="AC414" s="253"/>
      <c r="AD414" s="253"/>
      <c r="AE414" s="253"/>
      <c r="AF414" s="253"/>
      <c r="AG414" s="253"/>
      <c r="AH414" s="253"/>
      <c r="AI414" s="253"/>
      <c r="AJ414" s="253"/>
      <c r="AK414" s="253"/>
      <c r="AL414" s="253"/>
      <c r="AM414" s="253"/>
      <c r="AN414" s="253"/>
      <c r="AO414" s="253"/>
      <c r="AP414" s="253"/>
      <c r="AQ414" s="253"/>
      <c r="AR414" s="253"/>
      <c r="AS414" s="253"/>
      <c r="AT414" s="253"/>
      <c r="AU414" s="253"/>
      <c r="AV414" s="253"/>
      <c r="AW414" s="253"/>
      <c r="AX414" s="253"/>
      <c r="AY414" s="253"/>
      <c r="AZ414" s="253"/>
      <c r="BA414" s="253"/>
      <c r="BB414" s="253"/>
      <c r="BC414" s="253"/>
      <c r="BD414" s="253"/>
      <c r="BE414" s="253"/>
      <c r="BF414" s="253"/>
      <c r="BG414" s="253"/>
      <c r="BH414" s="253"/>
      <c r="BI414" s="253"/>
      <c r="BJ414" s="263" t="str">
        <f>HYPERLINK("#자재조서!A99","MZZ9000050 →")</f>
        <v>MZZ9000050 →</v>
      </c>
    </row>
    <row r="415" spans="1:62" ht="24" customHeight="1">
      <c r="A415" s="256" t="s">
        <v>848</v>
      </c>
      <c r="B415" s="256" t="s">
        <v>1620</v>
      </c>
      <c r="C415" s="257">
        <v>2</v>
      </c>
      <c r="D415" s="254" t="s">
        <v>437</v>
      </c>
      <c r="E415" s="258">
        <f>자재조서!E100</f>
        <v>0</v>
      </c>
      <c r="F415" s="258">
        <f t="shared" si="21"/>
        <v>0</v>
      </c>
      <c r="G415" s="258">
        <v>0</v>
      </c>
      <c r="H415" s="258"/>
      <c r="I415" s="258"/>
      <c r="J415" s="258"/>
      <c r="K415" s="258"/>
      <c r="L415" s="258"/>
      <c r="M415" s="256"/>
      <c r="N415" s="253" t="s">
        <v>68</v>
      </c>
      <c r="O415" s="253"/>
      <c r="P415" s="253" t="s">
        <v>1098</v>
      </c>
      <c r="Q415" s="253" t="s">
        <v>68</v>
      </c>
      <c r="R415" s="253" t="s">
        <v>1621</v>
      </c>
      <c r="S415" s="253"/>
      <c r="T415" s="253"/>
      <c r="U415" s="253"/>
      <c r="V415" s="253"/>
      <c r="W415" s="253"/>
      <c r="X415" s="253"/>
      <c r="Y415" s="253"/>
      <c r="Z415" s="253"/>
      <c r="AA415" s="253"/>
      <c r="AB415" s="253"/>
      <c r="AC415" s="253"/>
      <c r="AD415" s="253"/>
      <c r="AE415" s="253"/>
      <c r="AF415" s="253"/>
      <c r="AG415" s="253"/>
      <c r="AH415" s="253"/>
      <c r="AI415" s="253"/>
      <c r="AJ415" s="253"/>
      <c r="AK415" s="253"/>
      <c r="AL415" s="253"/>
      <c r="AM415" s="253"/>
      <c r="AN415" s="253"/>
      <c r="AO415" s="253"/>
      <c r="AP415" s="253"/>
      <c r="AQ415" s="253"/>
      <c r="AR415" s="253"/>
      <c r="AS415" s="253"/>
      <c r="AT415" s="253"/>
      <c r="AU415" s="253"/>
      <c r="AV415" s="253"/>
      <c r="AW415" s="253"/>
      <c r="AX415" s="253"/>
      <c r="AY415" s="253"/>
      <c r="AZ415" s="253"/>
      <c r="BA415" s="253"/>
      <c r="BB415" s="253"/>
      <c r="BC415" s="253"/>
      <c r="BD415" s="253"/>
      <c r="BE415" s="253"/>
      <c r="BF415" s="253"/>
      <c r="BG415" s="253"/>
      <c r="BH415" s="253"/>
      <c r="BI415" s="253"/>
      <c r="BJ415" s="263" t="str">
        <f>HYPERLINK("#자재조서!A100","MZZ9000051 →")</f>
        <v>MZZ9000051 →</v>
      </c>
    </row>
    <row r="416" spans="1:62" ht="24" customHeight="1">
      <c r="A416" s="256" t="s">
        <v>849</v>
      </c>
      <c r="B416" s="256" t="s">
        <v>863</v>
      </c>
      <c r="C416" s="257">
        <v>2</v>
      </c>
      <c r="D416" s="254" t="s">
        <v>437</v>
      </c>
      <c r="E416" s="258">
        <f>자재조서!E101</f>
        <v>0</v>
      </c>
      <c r="F416" s="258">
        <f t="shared" si="21"/>
        <v>0</v>
      </c>
      <c r="G416" s="258">
        <v>0</v>
      </c>
      <c r="H416" s="258"/>
      <c r="I416" s="258"/>
      <c r="J416" s="258"/>
      <c r="K416" s="258"/>
      <c r="L416" s="258"/>
      <c r="M416" s="256"/>
      <c r="N416" s="253" t="s">
        <v>68</v>
      </c>
      <c r="O416" s="253"/>
      <c r="P416" s="253" t="s">
        <v>1101</v>
      </c>
      <c r="Q416" s="253" t="s">
        <v>68</v>
      </c>
      <c r="R416" s="253" t="s">
        <v>1622</v>
      </c>
      <c r="S416" s="253"/>
      <c r="T416" s="253"/>
      <c r="U416" s="253"/>
      <c r="V416" s="253"/>
      <c r="W416" s="253"/>
      <c r="X416" s="253"/>
      <c r="Y416" s="253"/>
      <c r="Z416" s="253"/>
      <c r="AA416" s="253"/>
      <c r="AB416" s="253"/>
      <c r="AC416" s="253"/>
      <c r="AD416" s="253"/>
      <c r="AE416" s="253"/>
      <c r="AF416" s="253"/>
      <c r="AG416" s="253"/>
      <c r="AH416" s="253"/>
      <c r="AI416" s="253"/>
      <c r="AJ416" s="253"/>
      <c r="AK416" s="253"/>
      <c r="AL416" s="253"/>
      <c r="AM416" s="253"/>
      <c r="AN416" s="253"/>
      <c r="AO416" s="253"/>
      <c r="AP416" s="253"/>
      <c r="AQ416" s="253"/>
      <c r="AR416" s="253"/>
      <c r="AS416" s="253"/>
      <c r="AT416" s="253"/>
      <c r="AU416" s="253"/>
      <c r="AV416" s="253"/>
      <c r="AW416" s="253"/>
      <c r="AX416" s="253"/>
      <c r="AY416" s="253"/>
      <c r="AZ416" s="253"/>
      <c r="BA416" s="253"/>
      <c r="BB416" s="253"/>
      <c r="BC416" s="253"/>
      <c r="BD416" s="253"/>
      <c r="BE416" s="253"/>
      <c r="BF416" s="253"/>
      <c r="BG416" s="253"/>
      <c r="BH416" s="253"/>
      <c r="BI416" s="253"/>
      <c r="BJ416" s="263" t="str">
        <f>HYPERLINK("#자재조서!A101","MZZ9000052 →")</f>
        <v>MZZ9000052 →</v>
      </c>
    </row>
    <row r="417" spans="1:62" ht="24" customHeight="1">
      <c r="A417" s="256" t="s">
        <v>850</v>
      </c>
      <c r="B417" s="256" t="s">
        <v>864</v>
      </c>
      <c r="C417" s="257">
        <v>2</v>
      </c>
      <c r="D417" s="254" t="s">
        <v>437</v>
      </c>
      <c r="E417" s="258">
        <f>자재조서!E102</f>
        <v>0</v>
      </c>
      <c r="F417" s="258">
        <f t="shared" si="21"/>
        <v>0</v>
      </c>
      <c r="G417" s="258">
        <v>0</v>
      </c>
      <c r="H417" s="258"/>
      <c r="I417" s="258"/>
      <c r="J417" s="258"/>
      <c r="K417" s="258"/>
      <c r="L417" s="258"/>
      <c r="M417" s="256"/>
      <c r="N417" s="253" t="s">
        <v>68</v>
      </c>
      <c r="O417" s="253"/>
      <c r="P417" s="253" t="s">
        <v>1104</v>
      </c>
      <c r="Q417" s="253" t="s">
        <v>68</v>
      </c>
      <c r="R417" s="253" t="s">
        <v>1623</v>
      </c>
      <c r="S417" s="253"/>
      <c r="T417" s="253"/>
      <c r="U417" s="253"/>
      <c r="V417" s="253"/>
      <c r="W417" s="253"/>
      <c r="X417" s="253"/>
      <c r="Y417" s="253"/>
      <c r="Z417" s="253"/>
      <c r="AA417" s="253"/>
      <c r="AB417" s="253"/>
      <c r="AC417" s="253"/>
      <c r="AD417" s="253"/>
      <c r="AE417" s="253"/>
      <c r="AF417" s="253"/>
      <c r="AG417" s="253"/>
      <c r="AH417" s="253"/>
      <c r="AI417" s="253"/>
      <c r="AJ417" s="253"/>
      <c r="AK417" s="253"/>
      <c r="AL417" s="253"/>
      <c r="AM417" s="253"/>
      <c r="AN417" s="253"/>
      <c r="AO417" s="253"/>
      <c r="AP417" s="253"/>
      <c r="AQ417" s="253"/>
      <c r="AR417" s="253"/>
      <c r="AS417" s="253"/>
      <c r="AT417" s="253"/>
      <c r="AU417" s="253"/>
      <c r="AV417" s="253"/>
      <c r="AW417" s="253"/>
      <c r="AX417" s="253"/>
      <c r="AY417" s="253"/>
      <c r="AZ417" s="253"/>
      <c r="BA417" s="253"/>
      <c r="BB417" s="253"/>
      <c r="BC417" s="253"/>
      <c r="BD417" s="253"/>
      <c r="BE417" s="253"/>
      <c r="BF417" s="253"/>
      <c r="BG417" s="253"/>
      <c r="BH417" s="253"/>
      <c r="BI417" s="253"/>
      <c r="BJ417" s="263" t="str">
        <f>HYPERLINK("#자재조서!A102","MZZ9000053 →")</f>
        <v>MZZ9000053 →</v>
      </c>
    </row>
    <row r="418" spans="1:62" ht="24" customHeight="1">
      <c r="A418" s="256" t="s">
        <v>851</v>
      </c>
      <c r="B418" s="256" t="s">
        <v>865</v>
      </c>
      <c r="C418" s="257">
        <v>2</v>
      </c>
      <c r="D418" s="254" t="s">
        <v>437</v>
      </c>
      <c r="E418" s="258">
        <f>자재조서!E103</f>
        <v>0</v>
      </c>
      <c r="F418" s="258">
        <f t="shared" si="21"/>
        <v>0</v>
      </c>
      <c r="G418" s="258">
        <v>0</v>
      </c>
      <c r="H418" s="258"/>
      <c r="I418" s="258"/>
      <c r="J418" s="258"/>
      <c r="K418" s="258"/>
      <c r="L418" s="258"/>
      <c r="M418" s="256"/>
      <c r="N418" s="253" t="s">
        <v>68</v>
      </c>
      <c r="O418" s="253"/>
      <c r="P418" s="253" t="s">
        <v>1107</v>
      </c>
      <c r="Q418" s="253" t="s">
        <v>68</v>
      </c>
      <c r="R418" s="253" t="s">
        <v>1624</v>
      </c>
      <c r="S418" s="253"/>
      <c r="T418" s="253"/>
      <c r="U418" s="253"/>
      <c r="V418" s="253"/>
      <c r="W418" s="253"/>
      <c r="X418" s="253"/>
      <c r="Y418" s="253"/>
      <c r="Z418" s="253"/>
      <c r="AA418" s="253"/>
      <c r="AB418" s="253"/>
      <c r="AC418" s="253"/>
      <c r="AD418" s="253"/>
      <c r="AE418" s="253"/>
      <c r="AF418" s="253"/>
      <c r="AG418" s="253"/>
      <c r="AH418" s="253"/>
      <c r="AI418" s="253"/>
      <c r="AJ418" s="253"/>
      <c r="AK418" s="253"/>
      <c r="AL418" s="253"/>
      <c r="AM418" s="253"/>
      <c r="AN418" s="253"/>
      <c r="AO418" s="253"/>
      <c r="AP418" s="253"/>
      <c r="AQ418" s="253"/>
      <c r="AR418" s="253"/>
      <c r="AS418" s="253"/>
      <c r="AT418" s="253"/>
      <c r="AU418" s="253"/>
      <c r="AV418" s="253"/>
      <c r="AW418" s="253"/>
      <c r="AX418" s="253"/>
      <c r="AY418" s="253"/>
      <c r="AZ418" s="253"/>
      <c r="BA418" s="253"/>
      <c r="BB418" s="253"/>
      <c r="BC418" s="253"/>
      <c r="BD418" s="253"/>
      <c r="BE418" s="253"/>
      <c r="BF418" s="253"/>
      <c r="BG418" s="253"/>
      <c r="BH418" s="253"/>
      <c r="BI418" s="253"/>
      <c r="BJ418" s="263" t="str">
        <f>HYPERLINK("#자재조서!A103","MZZ9000054 →")</f>
        <v>MZZ9000054 →</v>
      </c>
    </row>
    <row r="419" spans="1:62" ht="24" customHeight="1">
      <c r="A419" s="256" t="s">
        <v>852</v>
      </c>
      <c r="B419" s="256" t="s">
        <v>866</v>
      </c>
      <c r="C419" s="257">
        <v>4</v>
      </c>
      <c r="D419" s="254" t="s">
        <v>437</v>
      </c>
      <c r="E419" s="258">
        <f>자재조서!E104</f>
        <v>0</v>
      </c>
      <c r="F419" s="258">
        <f t="shared" si="21"/>
        <v>0</v>
      </c>
      <c r="G419" s="258">
        <v>0</v>
      </c>
      <c r="H419" s="258"/>
      <c r="I419" s="258"/>
      <c r="J419" s="258"/>
      <c r="K419" s="258"/>
      <c r="L419" s="258"/>
      <c r="M419" s="256"/>
      <c r="N419" s="253" t="s">
        <v>68</v>
      </c>
      <c r="O419" s="253"/>
      <c r="P419" s="253" t="s">
        <v>1108</v>
      </c>
      <c r="Q419" s="253" t="s">
        <v>68</v>
      </c>
      <c r="R419" s="253" t="s">
        <v>1625</v>
      </c>
      <c r="S419" s="253"/>
      <c r="T419" s="253"/>
      <c r="U419" s="253"/>
      <c r="V419" s="253"/>
      <c r="W419" s="253"/>
      <c r="X419" s="253"/>
      <c r="Y419" s="253"/>
      <c r="Z419" s="253"/>
      <c r="AA419" s="253"/>
      <c r="AB419" s="253"/>
      <c r="AC419" s="253"/>
      <c r="AD419" s="253"/>
      <c r="AE419" s="253"/>
      <c r="AF419" s="253"/>
      <c r="AG419" s="253"/>
      <c r="AH419" s="253"/>
      <c r="AI419" s="253"/>
      <c r="AJ419" s="253"/>
      <c r="AK419" s="253"/>
      <c r="AL419" s="253"/>
      <c r="AM419" s="253"/>
      <c r="AN419" s="253"/>
      <c r="AO419" s="253"/>
      <c r="AP419" s="253"/>
      <c r="AQ419" s="253"/>
      <c r="AR419" s="253"/>
      <c r="AS419" s="253"/>
      <c r="AT419" s="253"/>
      <c r="AU419" s="253"/>
      <c r="AV419" s="253"/>
      <c r="AW419" s="253"/>
      <c r="AX419" s="253"/>
      <c r="AY419" s="253"/>
      <c r="AZ419" s="253"/>
      <c r="BA419" s="253"/>
      <c r="BB419" s="253"/>
      <c r="BC419" s="253"/>
      <c r="BD419" s="253"/>
      <c r="BE419" s="253"/>
      <c r="BF419" s="253"/>
      <c r="BG419" s="253"/>
      <c r="BH419" s="253"/>
      <c r="BI419" s="253"/>
      <c r="BJ419" s="263" t="str">
        <f>HYPERLINK("#자재조서!A104","MZZ9000055 →")</f>
        <v>MZZ9000055 →</v>
      </c>
    </row>
    <row r="420" spans="1:62" ht="24" customHeight="1">
      <c r="A420" s="256" t="s">
        <v>853</v>
      </c>
      <c r="B420" s="256" t="s">
        <v>867</v>
      </c>
      <c r="C420" s="257">
        <v>1</v>
      </c>
      <c r="D420" s="254" t="s">
        <v>437</v>
      </c>
      <c r="E420" s="258">
        <f>자재조서!E105</f>
        <v>0</v>
      </c>
      <c r="F420" s="258">
        <f t="shared" si="21"/>
        <v>0</v>
      </c>
      <c r="G420" s="258">
        <v>0</v>
      </c>
      <c r="H420" s="258"/>
      <c r="I420" s="258"/>
      <c r="J420" s="258"/>
      <c r="K420" s="258"/>
      <c r="L420" s="258"/>
      <c r="M420" s="256"/>
      <c r="N420" s="253" t="s">
        <v>68</v>
      </c>
      <c r="O420" s="253"/>
      <c r="P420" s="253" t="s">
        <v>1109</v>
      </c>
      <c r="Q420" s="253" t="s">
        <v>68</v>
      </c>
      <c r="R420" s="253" t="s">
        <v>1626</v>
      </c>
      <c r="S420" s="253"/>
      <c r="T420" s="253"/>
      <c r="U420" s="253"/>
      <c r="V420" s="253"/>
      <c r="W420" s="253"/>
      <c r="X420" s="253"/>
      <c r="Y420" s="253"/>
      <c r="Z420" s="253"/>
      <c r="AA420" s="253"/>
      <c r="AB420" s="253"/>
      <c r="AC420" s="253"/>
      <c r="AD420" s="253"/>
      <c r="AE420" s="253"/>
      <c r="AF420" s="253"/>
      <c r="AG420" s="253"/>
      <c r="AH420" s="253"/>
      <c r="AI420" s="253"/>
      <c r="AJ420" s="253"/>
      <c r="AK420" s="253"/>
      <c r="AL420" s="253"/>
      <c r="AM420" s="253"/>
      <c r="AN420" s="253"/>
      <c r="AO420" s="253"/>
      <c r="AP420" s="253"/>
      <c r="AQ420" s="253"/>
      <c r="AR420" s="253"/>
      <c r="AS420" s="253"/>
      <c r="AT420" s="253"/>
      <c r="AU420" s="253"/>
      <c r="AV420" s="253"/>
      <c r="AW420" s="253"/>
      <c r="AX420" s="253"/>
      <c r="AY420" s="253"/>
      <c r="AZ420" s="253"/>
      <c r="BA420" s="253"/>
      <c r="BB420" s="253"/>
      <c r="BC420" s="253"/>
      <c r="BD420" s="253"/>
      <c r="BE420" s="253"/>
      <c r="BF420" s="253"/>
      <c r="BG420" s="253"/>
      <c r="BH420" s="253"/>
      <c r="BI420" s="253"/>
      <c r="BJ420" s="263" t="str">
        <f>HYPERLINK("#자재조서!A105","MZZ9000056 →")</f>
        <v>MZZ9000056 →</v>
      </c>
    </row>
    <row r="421" spans="1:62" ht="24" customHeight="1">
      <c r="A421" s="256" t="s">
        <v>68</v>
      </c>
      <c r="B421" s="256" t="s">
        <v>68</v>
      </c>
      <c r="C421" s="264"/>
      <c r="D421" s="254" t="s">
        <v>68</v>
      </c>
      <c r="E421" s="254"/>
      <c r="F421" s="258">
        <v>0</v>
      </c>
      <c r="G421" s="254"/>
      <c r="H421" s="258"/>
      <c r="I421" s="254"/>
      <c r="J421" s="258"/>
      <c r="K421" s="258"/>
      <c r="L421" s="258"/>
      <c r="M421" s="256"/>
      <c r="N421" s="253" t="s">
        <v>68</v>
      </c>
      <c r="O421" s="253"/>
      <c r="P421" s="253" t="s">
        <v>1110</v>
      </c>
      <c r="Q421" s="253" t="s">
        <v>68</v>
      </c>
      <c r="R421" s="253" t="s">
        <v>68</v>
      </c>
      <c r="S421" s="253"/>
      <c r="T421" s="253"/>
      <c r="U421" s="253"/>
      <c r="V421" s="253"/>
      <c r="W421" s="253"/>
      <c r="X421" s="253"/>
      <c r="Y421" s="253"/>
      <c r="Z421" s="253"/>
      <c r="AA421" s="253"/>
      <c r="AB421" s="253"/>
      <c r="AC421" s="253"/>
      <c r="AD421" s="253"/>
      <c r="AE421" s="253"/>
      <c r="AF421" s="253"/>
      <c r="AG421" s="253"/>
      <c r="AH421" s="253"/>
      <c r="AI421" s="253"/>
      <c r="AJ421" s="253"/>
      <c r="AK421" s="253"/>
      <c r="AL421" s="253"/>
      <c r="AM421" s="253"/>
      <c r="AN421" s="253"/>
      <c r="AO421" s="253"/>
      <c r="AP421" s="253"/>
      <c r="AQ421" s="253"/>
      <c r="AR421" s="253"/>
      <c r="AS421" s="253"/>
      <c r="AT421" s="253"/>
      <c r="AU421" s="253"/>
      <c r="AV421" s="253"/>
      <c r="AW421" s="253"/>
      <c r="AX421" s="253"/>
      <c r="AY421" s="253"/>
      <c r="AZ421" s="253"/>
      <c r="BA421" s="253"/>
      <c r="BB421" s="253"/>
      <c r="BC421" s="253"/>
      <c r="BD421" s="253"/>
      <c r="BE421" s="253"/>
      <c r="BF421" s="253"/>
      <c r="BG421" s="253"/>
      <c r="BH421" s="253"/>
      <c r="BI421" s="253"/>
      <c r="BJ421" s="253"/>
    </row>
    <row r="422" spans="1:62" ht="24" customHeight="1">
      <c r="A422" s="277"/>
      <c r="B422" s="277"/>
      <c r="C422" s="264"/>
      <c r="D422" s="254"/>
      <c r="E422" s="254"/>
      <c r="F422" s="254"/>
      <c r="G422" s="254"/>
      <c r="H422" s="254"/>
      <c r="I422" s="254"/>
      <c r="J422" s="254"/>
      <c r="K422" s="254"/>
      <c r="L422" s="254"/>
      <c r="M422" s="277"/>
      <c r="N422" s="253"/>
      <c r="O422" s="253"/>
      <c r="P422" s="253"/>
      <c r="Q422" s="253"/>
      <c r="R422" s="253"/>
      <c r="S422" s="253"/>
      <c r="T422" s="253"/>
      <c r="U422" s="253"/>
      <c r="V422" s="253"/>
      <c r="W422" s="253"/>
      <c r="X422" s="253"/>
      <c r="Y422" s="253"/>
      <c r="Z422" s="253"/>
      <c r="AA422" s="253"/>
      <c r="AB422" s="253"/>
      <c r="AC422" s="253"/>
      <c r="AD422" s="253"/>
      <c r="AE422" s="253"/>
      <c r="AF422" s="253"/>
      <c r="AG422" s="253"/>
      <c r="AH422" s="253"/>
      <c r="AI422" s="253"/>
      <c r="AJ422" s="253"/>
      <c r="AK422" s="253"/>
      <c r="AL422" s="253"/>
      <c r="AM422" s="253"/>
      <c r="AN422" s="253"/>
      <c r="AO422" s="253"/>
      <c r="AP422" s="253"/>
      <c r="AQ422" s="253"/>
      <c r="AR422" s="253"/>
      <c r="AS422" s="253"/>
      <c r="AT422" s="253"/>
      <c r="AU422" s="253"/>
      <c r="AV422" s="253"/>
      <c r="AW422" s="253"/>
      <c r="AX422" s="253"/>
      <c r="AY422" s="253"/>
      <c r="AZ422" s="253"/>
      <c r="BA422" s="253"/>
      <c r="BB422" s="253"/>
      <c r="BC422" s="253"/>
      <c r="BD422" s="253"/>
      <c r="BE422" s="253"/>
      <c r="BF422" s="253"/>
      <c r="BG422" s="253"/>
      <c r="BH422" s="253"/>
      <c r="BI422" s="253"/>
      <c r="BJ422" s="253"/>
    </row>
    <row r="423" spans="1:62" ht="24" customHeight="1">
      <c r="A423" s="277"/>
      <c r="B423" s="277"/>
      <c r="C423" s="264"/>
      <c r="D423" s="254"/>
      <c r="E423" s="254"/>
      <c r="F423" s="254"/>
      <c r="G423" s="254"/>
      <c r="H423" s="254"/>
      <c r="I423" s="254"/>
      <c r="J423" s="254"/>
      <c r="K423" s="254"/>
      <c r="L423" s="254"/>
      <c r="M423" s="277"/>
      <c r="N423" s="253"/>
      <c r="O423" s="253"/>
      <c r="P423" s="253"/>
      <c r="Q423" s="253"/>
      <c r="R423" s="253"/>
      <c r="S423" s="253"/>
      <c r="T423" s="253"/>
      <c r="U423" s="253"/>
      <c r="V423" s="253"/>
      <c r="W423" s="253"/>
      <c r="X423" s="253"/>
      <c r="Y423" s="253"/>
      <c r="Z423" s="253"/>
      <c r="AA423" s="253"/>
      <c r="AB423" s="253"/>
      <c r="AC423" s="253"/>
      <c r="AD423" s="253"/>
      <c r="AE423" s="253"/>
      <c r="AF423" s="253"/>
      <c r="AG423" s="253"/>
      <c r="AH423" s="253"/>
      <c r="AI423" s="253"/>
      <c r="AJ423" s="253"/>
      <c r="AK423" s="253"/>
      <c r="AL423" s="253"/>
      <c r="AM423" s="253"/>
      <c r="AN423" s="253"/>
      <c r="AO423" s="253"/>
      <c r="AP423" s="253"/>
      <c r="AQ423" s="253"/>
      <c r="AR423" s="253"/>
      <c r="AS423" s="253"/>
      <c r="AT423" s="253"/>
      <c r="AU423" s="253"/>
      <c r="AV423" s="253"/>
      <c r="AW423" s="253"/>
      <c r="AX423" s="253"/>
      <c r="AY423" s="253"/>
      <c r="AZ423" s="253"/>
      <c r="BA423" s="253"/>
      <c r="BB423" s="253"/>
      <c r="BC423" s="253"/>
      <c r="BD423" s="253"/>
      <c r="BE423" s="253"/>
      <c r="BF423" s="253"/>
      <c r="BG423" s="253"/>
      <c r="BH423" s="253"/>
      <c r="BI423" s="253"/>
      <c r="BJ423" s="253"/>
    </row>
    <row r="424" spans="1:62" ht="24" customHeight="1">
      <c r="A424" s="277"/>
      <c r="B424" s="277"/>
      <c r="C424" s="264"/>
      <c r="D424" s="254"/>
      <c r="E424" s="254"/>
      <c r="F424" s="254"/>
      <c r="G424" s="254"/>
      <c r="H424" s="254"/>
      <c r="I424" s="254"/>
      <c r="J424" s="254"/>
      <c r="K424" s="254"/>
      <c r="L424" s="254"/>
      <c r="M424" s="277"/>
      <c r="N424" s="253"/>
      <c r="O424" s="253"/>
      <c r="P424" s="253"/>
      <c r="Q424" s="253"/>
      <c r="R424" s="253"/>
      <c r="S424" s="253"/>
      <c r="T424" s="253"/>
      <c r="U424" s="253"/>
      <c r="V424" s="253"/>
      <c r="W424" s="253"/>
      <c r="X424" s="253"/>
      <c r="Y424" s="253"/>
      <c r="Z424" s="253"/>
      <c r="AA424" s="253"/>
      <c r="AB424" s="253"/>
      <c r="AC424" s="253"/>
      <c r="AD424" s="253"/>
      <c r="AE424" s="253"/>
      <c r="AF424" s="253"/>
      <c r="AG424" s="253"/>
      <c r="AH424" s="253"/>
      <c r="AI424" s="253"/>
      <c r="AJ424" s="253"/>
      <c r="AK424" s="253"/>
      <c r="AL424" s="253"/>
      <c r="AM424" s="253"/>
      <c r="AN424" s="253"/>
      <c r="AO424" s="253"/>
      <c r="AP424" s="253"/>
      <c r="AQ424" s="253"/>
      <c r="AR424" s="253"/>
      <c r="AS424" s="253"/>
      <c r="AT424" s="253"/>
      <c r="AU424" s="253"/>
      <c r="AV424" s="253"/>
      <c r="AW424" s="253"/>
      <c r="AX424" s="253"/>
      <c r="AY424" s="253"/>
      <c r="AZ424" s="253"/>
      <c r="BA424" s="253"/>
      <c r="BB424" s="253"/>
      <c r="BC424" s="253"/>
      <c r="BD424" s="253"/>
      <c r="BE424" s="253"/>
      <c r="BF424" s="253"/>
      <c r="BG424" s="253"/>
      <c r="BH424" s="253"/>
      <c r="BI424" s="253"/>
      <c r="BJ424" s="253"/>
    </row>
    <row r="425" spans="1:62" ht="24" customHeight="1">
      <c r="A425" s="277"/>
      <c r="B425" s="277"/>
      <c r="C425" s="264"/>
      <c r="D425" s="254"/>
      <c r="E425" s="254"/>
      <c r="F425" s="254"/>
      <c r="G425" s="254"/>
      <c r="H425" s="254"/>
      <c r="I425" s="254"/>
      <c r="J425" s="254"/>
      <c r="K425" s="254"/>
      <c r="L425" s="254"/>
      <c r="M425" s="277"/>
      <c r="N425" s="253"/>
      <c r="O425" s="253"/>
      <c r="P425" s="253"/>
      <c r="Q425" s="253"/>
      <c r="R425" s="253"/>
      <c r="S425" s="253"/>
      <c r="T425" s="253"/>
      <c r="U425" s="253"/>
      <c r="V425" s="253"/>
      <c r="W425" s="253"/>
      <c r="X425" s="253"/>
      <c r="Y425" s="253"/>
      <c r="Z425" s="253"/>
      <c r="AA425" s="253"/>
      <c r="AB425" s="253"/>
      <c r="AC425" s="253"/>
      <c r="AD425" s="253"/>
      <c r="AE425" s="253"/>
      <c r="AF425" s="253"/>
      <c r="AG425" s="253"/>
      <c r="AH425" s="253"/>
      <c r="AI425" s="253"/>
      <c r="AJ425" s="253"/>
      <c r="AK425" s="253"/>
      <c r="AL425" s="253"/>
      <c r="AM425" s="253"/>
      <c r="AN425" s="253"/>
      <c r="AO425" s="253"/>
      <c r="AP425" s="253"/>
      <c r="AQ425" s="253"/>
      <c r="AR425" s="253"/>
      <c r="AS425" s="253"/>
      <c r="AT425" s="253"/>
      <c r="AU425" s="253"/>
      <c r="AV425" s="253"/>
      <c r="AW425" s="253"/>
      <c r="AX425" s="253"/>
      <c r="AY425" s="253"/>
      <c r="AZ425" s="253"/>
      <c r="BA425" s="253"/>
      <c r="BB425" s="253"/>
      <c r="BC425" s="253"/>
      <c r="BD425" s="253"/>
      <c r="BE425" s="253"/>
      <c r="BF425" s="253"/>
      <c r="BG425" s="253"/>
      <c r="BH425" s="253"/>
      <c r="BI425" s="253"/>
      <c r="BJ425" s="253"/>
    </row>
    <row r="426" spans="1:62" ht="24" customHeight="1">
      <c r="A426" s="277"/>
      <c r="B426" s="277"/>
      <c r="C426" s="264"/>
      <c r="D426" s="254"/>
      <c r="E426" s="254"/>
      <c r="F426" s="254"/>
      <c r="G426" s="254"/>
      <c r="H426" s="254"/>
      <c r="I426" s="254"/>
      <c r="J426" s="254"/>
      <c r="K426" s="254"/>
      <c r="L426" s="254"/>
      <c r="M426" s="277"/>
      <c r="N426" s="253"/>
      <c r="O426" s="253"/>
      <c r="P426" s="253"/>
      <c r="Q426" s="253"/>
      <c r="R426" s="253"/>
      <c r="S426" s="253"/>
      <c r="T426" s="253"/>
      <c r="U426" s="253"/>
      <c r="V426" s="253"/>
      <c r="W426" s="253"/>
      <c r="X426" s="253"/>
      <c r="Y426" s="253"/>
      <c r="Z426" s="253"/>
      <c r="AA426" s="253"/>
      <c r="AB426" s="253"/>
      <c r="AC426" s="253"/>
      <c r="AD426" s="253"/>
      <c r="AE426" s="253"/>
      <c r="AF426" s="253"/>
      <c r="AG426" s="253"/>
      <c r="AH426" s="253"/>
      <c r="AI426" s="253"/>
      <c r="AJ426" s="253"/>
      <c r="AK426" s="253"/>
      <c r="AL426" s="253"/>
      <c r="AM426" s="253"/>
      <c r="AN426" s="253"/>
      <c r="AO426" s="253"/>
      <c r="AP426" s="253"/>
      <c r="AQ426" s="253"/>
      <c r="AR426" s="253"/>
      <c r="AS426" s="253"/>
      <c r="AT426" s="253"/>
      <c r="AU426" s="253"/>
      <c r="AV426" s="253"/>
      <c r="AW426" s="253"/>
      <c r="AX426" s="253"/>
      <c r="AY426" s="253"/>
      <c r="AZ426" s="253"/>
      <c r="BA426" s="253"/>
      <c r="BB426" s="253"/>
      <c r="BC426" s="253"/>
      <c r="BD426" s="253"/>
      <c r="BE426" s="253"/>
      <c r="BF426" s="253"/>
      <c r="BG426" s="253"/>
      <c r="BH426" s="253"/>
      <c r="BI426" s="253"/>
      <c r="BJ426" s="253"/>
    </row>
    <row r="427" spans="1:62" ht="24" customHeight="1">
      <c r="A427" s="277"/>
      <c r="B427" s="277"/>
      <c r="C427" s="264"/>
      <c r="D427" s="254"/>
      <c r="E427" s="254"/>
      <c r="F427" s="254"/>
      <c r="G427" s="254"/>
      <c r="H427" s="254"/>
      <c r="I427" s="254"/>
      <c r="J427" s="254"/>
      <c r="K427" s="254"/>
      <c r="L427" s="254"/>
      <c r="M427" s="277"/>
      <c r="N427" s="253"/>
      <c r="O427" s="253"/>
      <c r="P427" s="253"/>
      <c r="Q427" s="253"/>
      <c r="R427" s="253"/>
      <c r="S427" s="253"/>
      <c r="T427" s="253"/>
      <c r="U427" s="253"/>
      <c r="V427" s="253"/>
      <c r="W427" s="253"/>
      <c r="X427" s="253"/>
      <c r="Y427" s="253"/>
      <c r="Z427" s="253"/>
      <c r="AA427" s="253"/>
      <c r="AB427" s="253"/>
      <c r="AC427" s="253"/>
      <c r="AD427" s="253"/>
      <c r="AE427" s="253"/>
      <c r="AF427" s="253"/>
      <c r="AG427" s="253"/>
      <c r="AH427" s="253"/>
      <c r="AI427" s="253"/>
      <c r="AJ427" s="253"/>
      <c r="AK427" s="253"/>
      <c r="AL427" s="253"/>
      <c r="AM427" s="253"/>
      <c r="AN427" s="253"/>
      <c r="AO427" s="253"/>
      <c r="AP427" s="253"/>
      <c r="AQ427" s="253"/>
      <c r="AR427" s="253"/>
      <c r="AS427" s="253"/>
      <c r="AT427" s="253"/>
      <c r="AU427" s="253"/>
      <c r="AV427" s="253"/>
      <c r="AW427" s="253"/>
      <c r="AX427" s="253"/>
      <c r="AY427" s="253"/>
      <c r="AZ427" s="253"/>
      <c r="BA427" s="253"/>
      <c r="BB427" s="253"/>
      <c r="BC427" s="253"/>
      <c r="BD427" s="253"/>
      <c r="BE427" s="253"/>
      <c r="BF427" s="253"/>
      <c r="BG427" s="253"/>
      <c r="BH427" s="253"/>
      <c r="BI427" s="253"/>
      <c r="BJ427" s="253"/>
    </row>
    <row r="428" spans="1:62" ht="24" customHeight="1">
      <c r="A428" s="277"/>
      <c r="B428" s="277"/>
      <c r="C428" s="264"/>
      <c r="D428" s="254"/>
      <c r="E428" s="254"/>
      <c r="F428" s="254"/>
      <c r="G428" s="254"/>
      <c r="H428" s="254"/>
      <c r="I428" s="254"/>
      <c r="J428" s="254"/>
      <c r="K428" s="254"/>
      <c r="L428" s="254"/>
      <c r="M428" s="277"/>
      <c r="N428" s="253"/>
      <c r="O428" s="253"/>
      <c r="P428" s="253"/>
      <c r="Q428" s="253"/>
      <c r="R428" s="253"/>
      <c r="S428" s="253"/>
      <c r="T428" s="253"/>
      <c r="U428" s="253"/>
      <c r="V428" s="253"/>
      <c r="W428" s="253"/>
      <c r="X428" s="253"/>
      <c r="Y428" s="253"/>
      <c r="Z428" s="253"/>
      <c r="AA428" s="253"/>
      <c r="AB428" s="253"/>
      <c r="AC428" s="253"/>
      <c r="AD428" s="253"/>
      <c r="AE428" s="253"/>
      <c r="AF428" s="253"/>
      <c r="AG428" s="253"/>
      <c r="AH428" s="253"/>
      <c r="AI428" s="253"/>
      <c r="AJ428" s="253"/>
      <c r="AK428" s="253"/>
      <c r="AL428" s="253"/>
      <c r="AM428" s="253"/>
      <c r="AN428" s="253"/>
      <c r="AO428" s="253"/>
      <c r="AP428" s="253"/>
      <c r="AQ428" s="253"/>
      <c r="AR428" s="253"/>
      <c r="AS428" s="253"/>
      <c r="AT428" s="253"/>
      <c r="AU428" s="253"/>
      <c r="AV428" s="253"/>
      <c r="AW428" s="253"/>
      <c r="AX428" s="253"/>
      <c r="AY428" s="253"/>
      <c r="AZ428" s="253"/>
      <c r="BA428" s="253"/>
      <c r="BB428" s="253"/>
      <c r="BC428" s="253"/>
      <c r="BD428" s="253"/>
      <c r="BE428" s="253"/>
      <c r="BF428" s="253"/>
      <c r="BG428" s="253"/>
      <c r="BH428" s="253"/>
      <c r="BI428" s="253"/>
      <c r="BJ428" s="253"/>
    </row>
    <row r="429" spans="1:62" ht="24" customHeight="1">
      <c r="A429" s="277"/>
      <c r="B429" s="277"/>
      <c r="C429" s="264"/>
      <c r="D429" s="254"/>
      <c r="E429" s="254"/>
      <c r="F429" s="254"/>
      <c r="G429" s="254"/>
      <c r="H429" s="254"/>
      <c r="I429" s="254"/>
      <c r="J429" s="254"/>
      <c r="K429" s="254"/>
      <c r="L429" s="254"/>
      <c r="M429" s="277"/>
      <c r="N429" s="253"/>
      <c r="O429" s="253"/>
      <c r="P429" s="253"/>
      <c r="Q429" s="253"/>
      <c r="R429" s="253"/>
      <c r="S429" s="253"/>
      <c r="T429" s="253"/>
      <c r="U429" s="253"/>
      <c r="V429" s="253"/>
      <c r="W429" s="253"/>
      <c r="X429" s="253"/>
      <c r="Y429" s="253"/>
      <c r="Z429" s="253"/>
      <c r="AA429" s="253"/>
      <c r="AB429" s="253"/>
      <c r="AC429" s="253"/>
      <c r="AD429" s="253"/>
      <c r="AE429" s="253"/>
      <c r="AF429" s="253"/>
      <c r="AG429" s="253"/>
      <c r="AH429" s="253"/>
      <c r="AI429" s="253"/>
      <c r="AJ429" s="253"/>
      <c r="AK429" s="253"/>
      <c r="AL429" s="253"/>
      <c r="AM429" s="253"/>
      <c r="AN429" s="253"/>
      <c r="AO429" s="253"/>
      <c r="AP429" s="253"/>
      <c r="AQ429" s="253"/>
      <c r="AR429" s="253"/>
      <c r="AS429" s="253"/>
      <c r="AT429" s="253"/>
      <c r="AU429" s="253"/>
      <c r="AV429" s="253"/>
      <c r="AW429" s="253"/>
      <c r="AX429" s="253"/>
      <c r="AY429" s="253"/>
      <c r="AZ429" s="253"/>
      <c r="BA429" s="253"/>
      <c r="BB429" s="253"/>
      <c r="BC429" s="253"/>
      <c r="BD429" s="253"/>
      <c r="BE429" s="253"/>
      <c r="BF429" s="253"/>
      <c r="BG429" s="253"/>
      <c r="BH429" s="253"/>
      <c r="BI429" s="253"/>
      <c r="BJ429" s="253"/>
    </row>
    <row r="430" spans="1:62" ht="24" customHeight="1">
      <c r="A430" s="277"/>
      <c r="B430" s="277"/>
      <c r="C430" s="264"/>
      <c r="D430" s="254"/>
      <c r="E430" s="254"/>
      <c r="F430" s="254"/>
      <c r="G430" s="254"/>
      <c r="H430" s="254"/>
      <c r="I430" s="254"/>
      <c r="J430" s="254"/>
      <c r="K430" s="254"/>
      <c r="L430" s="254"/>
      <c r="M430" s="277"/>
      <c r="N430" s="253"/>
      <c r="O430" s="253"/>
      <c r="P430" s="253"/>
      <c r="Q430" s="253"/>
      <c r="R430" s="253"/>
      <c r="S430" s="253"/>
      <c r="T430" s="253"/>
      <c r="U430" s="253"/>
      <c r="V430" s="253"/>
      <c r="W430" s="253"/>
      <c r="X430" s="253"/>
      <c r="Y430" s="253"/>
      <c r="Z430" s="253"/>
      <c r="AA430" s="253"/>
      <c r="AB430" s="253"/>
      <c r="AC430" s="253"/>
      <c r="AD430" s="253"/>
      <c r="AE430" s="253"/>
      <c r="AF430" s="253"/>
      <c r="AG430" s="253"/>
      <c r="AH430" s="253"/>
      <c r="AI430" s="253"/>
      <c r="AJ430" s="253"/>
      <c r="AK430" s="253"/>
      <c r="AL430" s="253"/>
      <c r="AM430" s="253"/>
      <c r="AN430" s="253"/>
      <c r="AO430" s="253"/>
      <c r="AP430" s="253"/>
      <c r="AQ430" s="253"/>
      <c r="AR430" s="253"/>
      <c r="AS430" s="253"/>
      <c r="AT430" s="253"/>
      <c r="AU430" s="253"/>
      <c r="AV430" s="253"/>
      <c r="AW430" s="253"/>
      <c r="AX430" s="253"/>
      <c r="AY430" s="253"/>
      <c r="AZ430" s="253"/>
      <c r="BA430" s="253"/>
      <c r="BB430" s="253"/>
      <c r="BC430" s="253"/>
      <c r="BD430" s="253"/>
      <c r="BE430" s="253"/>
      <c r="BF430" s="253"/>
      <c r="BG430" s="253"/>
      <c r="BH430" s="253"/>
      <c r="BI430" s="253"/>
      <c r="BJ430" s="253"/>
    </row>
    <row r="431" spans="1:62" ht="24" customHeight="1">
      <c r="A431" s="277"/>
      <c r="B431" s="277"/>
      <c r="C431" s="264"/>
      <c r="D431" s="254"/>
      <c r="E431" s="254"/>
      <c r="F431" s="254"/>
      <c r="G431" s="254"/>
      <c r="H431" s="254"/>
      <c r="I431" s="254"/>
      <c r="J431" s="254"/>
      <c r="K431" s="254"/>
      <c r="L431" s="254"/>
      <c r="M431" s="277"/>
      <c r="N431" s="253"/>
      <c r="O431" s="253"/>
      <c r="P431" s="253"/>
      <c r="Q431" s="253"/>
      <c r="R431" s="253"/>
      <c r="S431" s="253"/>
      <c r="T431" s="253"/>
      <c r="U431" s="253"/>
      <c r="V431" s="253"/>
      <c r="W431" s="253"/>
      <c r="X431" s="253"/>
      <c r="Y431" s="253"/>
      <c r="Z431" s="253"/>
      <c r="AA431" s="253"/>
      <c r="AB431" s="253"/>
      <c r="AC431" s="253"/>
      <c r="AD431" s="253"/>
      <c r="AE431" s="253"/>
      <c r="AF431" s="253"/>
      <c r="AG431" s="253"/>
      <c r="AH431" s="253"/>
      <c r="AI431" s="253"/>
      <c r="AJ431" s="253"/>
      <c r="AK431" s="253"/>
      <c r="AL431" s="253"/>
      <c r="AM431" s="253"/>
      <c r="AN431" s="253"/>
      <c r="AO431" s="253"/>
      <c r="AP431" s="253"/>
      <c r="AQ431" s="253"/>
      <c r="AR431" s="253"/>
      <c r="AS431" s="253"/>
      <c r="AT431" s="253"/>
      <c r="AU431" s="253"/>
      <c r="AV431" s="253"/>
      <c r="AW431" s="253"/>
      <c r="AX431" s="253"/>
      <c r="AY431" s="253"/>
      <c r="AZ431" s="253"/>
      <c r="BA431" s="253"/>
      <c r="BB431" s="253"/>
      <c r="BC431" s="253"/>
      <c r="BD431" s="253"/>
      <c r="BE431" s="253"/>
      <c r="BF431" s="253"/>
      <c r="BG431" s="253"/>
      <c r="BH431" s="253"/>
      <c r="BI431" s="253"/>
      <c r="BJ431" s="253"/>
    </row>
    <row r="432" spans="1:62" ht="24" customHeight="1">
      <c r="A432" s="277"/>
      <c r="B432" s="277"/>
      <c r="C432" s="264"/>
      <c r="D432" s="254"/>
      <c r="E432" s="254"/>
      <c r="F432" s="254"/>
      <c r="G432" s="254"/>
      <c r="H432" s="254"/>
      <c r="I432" s="254"/>
      <c r="J432" s="254"/>
      <c r="K432" s="254"/>
      <c r="L432" s="254"/>
      <c r="M432" s="277"/>
      <c r="N432" s="253"/>
      <c r="O432" s="253"/>
      <c r="P432" s="253"/>
      <c r="Q432" s="253"/>
      <c r="R432" s="253"/>
      <c r="S432" s="253"/>
      <c r="T432" s="253"/>
      <c r="U432" s="253"/>
      <c r="V432" s="253"/>
      <c r="W432" s="253"/>
      <c r="X432" s="253"/>
      <c r="Y432" s="253"/>
      <c r="Z432" s="253"/>
      <c r="AA432" s="253"/>
      <c r="AB432" s="253"/>
      <c r="AC432" s="253"/>
      <c r="AD432" s="253"/>
      <c r="AE432" s="253"/>
      <c r="AF432" s="253"/>
      <c r="AG432" s="253"/>
      <c r="AH432" s="253"/>
      <c r="AI432" s="253"/>
      <c r="AJ432" s="253"/>
      <c r="AK432" s="253"/>
      <c r="AL432" s="253"/>
      <c r="AM432" s="253"/>
      <c r="AN432" s="253"/>
      <c r="AO432" s="253"/>
      <c r="AP432" s="253"/>
      <c r="AQ432" s="253"/>
      <c r="AR432" s="253"/>
      <c r="AS432" s="253"/>
      <c r="AT432" s="253"/>
      <c r="AU432" s="253"/>
      <c r="AV432" s="253"/>
      <c r="AW432" s="253"/>
      <c r="AX432" s="253"/>
      <c r="AY432" s="253"/>
      <c r="AZ432" s="253"/>
      <c r="BA432" s="253"/>
      <c r="BB432" s="253"/>
      <c r="BC432" s="253"/>
      <c r="BD432" s="253"/>
      <c r="BE432" s="253"/>
      <c r="BF432" s="253"/>
      <c r="BG432" s="253"/>
      <c r="BH432" s="253"/>
      <c r="BI432" s="253"/>
      <c r="BJ432" s="253"/>
    </row>
    <row r="433" spans="1:62" ht="24" customHeight="1">
      <c r="A433" s="277"/>
      <c r="B433" s="277"/>
      <c r="C433" s="264"/>
      <c r="D433" s="254"/>
      <c r="E433" s="254"/>
      <c r="F433" s="254"/>
      <c r="G433" s="254"/>
      <c r="H433" s="254"/>
      <c r="I433" s="254"/>
      <c r="J433" s="254"/>
      <c r="K433" s="254"/>
      <c r="L433" s="254"/>
      <c r="M433" s="277"/>
      <c r="N433" s="253"/>
      <c r="O433" s="253"/>
      <c r="P433" s="253"/>
      <c r="Q433" s="253"/>
      <c r="R433" s="253"/>
      <c r="S433" s="253"/>
      <c r="T433" s="253"/>
      <c r="U433" s="253"/>
      <c r="V433" s="253"/>
      <c r="W433" s="253"/>
      <c r="X433" s="253"/>
      <c r="Y433" s="253"/>
      <c r="Z433" s="253"/>
      <c r="AA433" s="253"/>
      <c r="AB433" s="253"/>
      <c r="AC433" s="253"/>
      <c r="AD433" s="253"/>
      <c r="AE433" s="253"/>
      <c r="AF433" s="253"/>
      <c r="AG433" s="253"/>
      <c r="AH433" s="253"/>
      <c r="AI433" s="253"/>
      <c r="AJ433" s="253"/>
      <c r="AK433" s="253"/>
      <c r="AL433" s="253"/>
      <c r="AM433" s="253"/>
      <c r="AN433" s="253"/>
      <c r="AO433" s="253"/>
      <c r="AP433" s="253"/>
      <c r="AQ433" s="253"/>
      <c r="AR433" s="253"/>
      <c r="AS433" s="253"/>
      <c r="AT433" s="253"/>
      <c r="AU433" s="253"/>
      <c r="AV433" s="253"/>
      <c r="AW433" s="253"/>
      <c r="AX433" s="253"/>
      <c r="AY433" s="253"/>
      <c r="AZ433" s="253"/>
      <c r="BA433" s="253"/>
      <c r="BB433" s="253"/>
      <c r="BC433" s="253"/>
      <c r="BD433" s="253"/>
      <c r="BE433" s="253"/>
      <c r="BF433" s="253"/>
      <c r="BG433" s="253"/>
      <c r="BH433" s="253"/>
      <c r="BI433" s="253"/>
      <c r="BJ433" s="253"/>
    </row>
    <row r="434" spans="1:62" ht="24" customHeight="1">
      <c r="A434" s="277"/>
      <c r="B434" s="277"/>
      <c r="C434" s="264"/>
      <c r="D434" s="254"/>
      <c r="E434" s="254"/>
      <c r="F434" s="254"/>
      <c r="G434" s="254"/>
      <c r="H434" s="254"/>
      <c r="I434" s="254"/>
      <c r="J434" s="254"/>
      <c r="K434" s="254"/>
      <c r="L434" s="254"/>
      <c r="M434" s="277"/>
      <c r="N434" s="253"/>
      <c r="O434" s="253"/>
      <c r="P434" s="253"/>
      <c r="Q434" s="253"/>
      <c r="R434" s="253"/>
      <c r="S434" s="253"/>
      <c r="T434" s="253"/>
      <c r="U434" s="253"/>
      <c r="V434" s="253"/>
      <c r="W434" s="253"/>
      <c r="X434" s="253"/>
      <c r="Y434" s="253"/>
      <c r="Z434" s="253"/>
      <c r="AA434" s="253"/>
      <c r="AB434" s="253"/>
      <c r="AC434" s="253"/>
      <c r="AD434" s="253"/>
      <c r="AE434" s="253"/>
      <c r="AF434" s="253"/>
      <c r="AG434" s="253"/>
      <c r="AH434" s="253"/>
      <c r="AI434" s="253"/>
      <c r="AJ434" s="253"/>
      <c r="AK434" s="253"/>
      <c r="AL434" s="253"/>
      <c r="AM434" s="253"/>
      <c r="AN434" s="253"/>
      <c r="AO434" s="253"/>
      <c r="AP434" s="253"/>
      <c r="AQ434" s="253"/>
      <c r="AR434" s="253"/>
      <c r="AS434" s="253"/>
      <c r="AT434" s="253"/>
      <c r="AU434" s="253"/>
      <c r="AV434" s="253"/>
      <c r="AW434" s="253"/>
      <c r="AX434" s="253"/>
      <c r="AY434" s="253"/>
      <c r="AZ434" s="253"/>
      <c r="BA434" s="253"/>
      <c r="BB434" s="253"/>
      <c r="BC434" s="253"/>
      <c r="BD434" s="253"/>
      <c r="BE434" s="253"/>
      <c r="BF434" s="253"/>
      <c r="BG434" s="253"/>
      <c r="BH434" s="253"/>
      <c r="BI434" s="253"/>
      <c r="BJ434" s="253"/>
    </row>
    <row r="435" spans="1:62" ht="24" customHeight="1">
      <c r="A435" s="277"/>
      <c r="B435" s="277"/>
      <c r="C435" s="264"/>
      <c r="D435" s="254"/>
      <c r="E435" s="254"/>
      <c r="F435" s="254"/>
      <c r="G435" s="254"/>
      <c r="H435" s="254"/>
      <c r="I435" s="254"/>
      <c r="J435" s="254"/>
      <c r="K435" s="254"/>
      <c r="L435" s="254"/>
      <c r="M435" s="277"/>
      <c r="N435" s="253"/>
      <c r="O435" s="253"/>
      <c r="P435" s="253"/>
      <c r="Q435" s="253"/>
      <c r="R435" s="253"/>
      <c r="S435" s="253"/>
      <c r="T435" s="253"/>
      <c r="U435" s="253"/>
      <c r="V435" s="253"/>
      <c r="W435" s="253"/>
      <c r="X435" s="253"/>
      <c r="Y435" s="253"/>
      <c r="Z435" s="253"/>
      <c r="AA435" s="253"/>
      <c r="AB435" s="253"/>
      <c r="AC435" s="253"/>
      <c r="AD435" s="253"/>
      <c r="AE435" s="253"/>
      <c r="AF435" s="253"/>
      <c r="AG435" s="253"/>
      <c r="AH435" s="253"/>
      <c r="AI435" s="253"/>
      <c r="AJ435" s="253"/>
      <c r="AK435" s="253"/>
      <c r="AL435" s="253"/>
      <c r="AM435" s="253"/>
      <c r="AN435" s="253"/>
      <c r="AO435" s="253"/>
      <c r="AP435" s="253"/>
      <c r="AQ435" s="253"/>
      <c r="AR435" s="253"/>
      <c r="AS435" s="253"/>
      <c r="AT435" s="253"/>
      <c r="AU435" s="253"/>
      <c r="AV435" s="253"/>
      <c r="AW435" s="253"/>
      <c r="AX435" s="253"/>
      <c r="AY435" s="253"/>
      <c r="AZ435" s="253"/>
      <c r="BA435" s="253"/>
      <c r="BB435" s="253"/>
      <c r="BC435" s="253"/>
      <c r="BD435" s="253"/>
      <c r="BE435" s="253"/>
      <c r="BF435" s="253"/>
      <c r="BG435" s="253"/>
      <c r="BH435" s="253"/>
      <c r="BI435" s="253"/>
      <c r="BJ435" s="253"/>
    </row>
  </sheetData>
  <autoFilter ref="A2:BJ422">
    <filterColumn colId="4" showButton="0"/>
    <filterColumn colId="6" showButton="0"/>
    <filterColumn colId="8" showButton="0"/>
    <filterColumn colId="10" showButton="0"/>
  </autoFilter>
  <mergeCells count="9">
    <mergeCell ref="I2:J2"/>
    <mergeCell ref="K2:L2"/>
    <mergeCell ref="M2:M3"/>
    <mergeCell ref="A2:A3"/>
    <mergeCell ref="B2:B3"/>
    <mergeCell ref="C2:C3"/>
    <mergeCell ref="D2:D3"/>
    <mergeCell ref="E2:F2"/>
    <mergeCell ref="G2:H2"/>
  </mergeCells>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126</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7"/>
  <sheetViews>
    <sheetView workbookViewId="0">
      <pane ySplit="2" topLeftCell="A48" activePane="bottomLeft" state="frozen"/>
      <selection activeCell="DJ113" sqref="DJ113:FG116"/>
      <selection pane="bottomLeft" activeCell="DJ113" sqref="DJ113:FG116"/>
    </sheetView>
  </sheetViews>
  <sheetFormatPr defaultRowHeight="24" customHeight="1"/>
  <cols>
    <col min="1" max="2" width="19.125" style="226" customWidth="1"/>
    <col min="3" max="4" width="8.125" style="208" customWidth="1"/>
    <col min="5" max="8" width="15.625" style="209" customWidth="1"/>
    <col min="9" max="9" width="11.875" style="208" customWidth="1"/>
    <col min="10" max="27" width="0" style="209" hidden="1" customWidth="1"/>
    <col min="28" max="256" width="9" style="209"/>
    <col min="257" max="258" width="19.125" style="209" customWidth="1"/>
    <col min="259" max="260" width="8.125" style="209" customWidth="1"/>
    <col min="261" max="264" width="15.625" style="209" customWidth="1"/>
    <col min="265" max="265" width="11.875" style="209" customWidth="1"/>
    <col min="266" max="283" width="0" style="209" hidden="1" customWidth="1"/>
    <col min="284" max="512" width="9" style="209"/>
    <col min="513" max="514" width="19.125" style="209" customWidth="1"/>
    <col min="515" max="516" width="8.125" style="209" customWidth="1"/>
    <col min="517" max="520" width="15.625" style="209" customWidth="1"/>
    <col min="521" max="521" width="11.875" style="209" customWidth="1"/>
    <col min="522" max="539" width="0" style="209" hidden="1" customWidth="1"/>
    <col min="540" max="768" width="9" style="209"/>
    <col min="769" max="770" width="19.125" style="209" customWidth="1"/>
    <col min="771" max="772" width="8.125" style="209" customWidth="1"/>
    <col min="773" max="776" width="15.625" style="209" customWidth="1"/>
    <col min="777" max="777" width="11.875" style="209" customWidth="1"/>
    <col min="778" max="795" width="0" style="209" hidden="1" customWidth="1"/>
    <col min="796" max="1024" width="9" style="209"/>
    <col min="1025" max="1026" width="19.125" style="209" customWidth="1"/>
    <col min="1027" max="1028" width="8.125" style="209" customWidth="1"/>
    <col min="1029" max="1032" width="15.625" style="209" customWidth="1"/>
    <col min="1033" max="1033" width="11.875" style="209" customWidth="1"/>
    <col min="1034" max="1051" width="0" style="209" hidden="1" customWidth="1"/>
    <col min="1052" max="1280" width="9" style="209"/>
    <col min="1281" max="1282" width="19.125" style="209" customWidth="1"/>
    <col min="1283" max="1284" width="8.125" style="209" customWidth="1"/>
    <col min="1285" max="1288" width="15.625" style="209" customWidth="1"/>
    <col min="1289" max="1289" width="11.875" style="209" customWidth="1"/>
    <col min="1290" max="1307" width="0" style="209" hidden="1" customWidth="1"/>
    <col min="1308" max="1536" width="9" style="209"/>
    <col min="1537" max="1538" width="19.125" style="209" customWidth="1"/>
    <col min="1539" max="1540" width="8.125" style="209" customWidth="1"/>
    <col min="1541" max="1544" width="15.625" style="209" customWidth="1"/>
    <col min="1545" max="1545" width="11.875" style="209" customWidth="1"/>
    <col min="1546" max="1563" width="0" style="209" hidden="1" customWidth="1"/>
    <col min="1564" max="1792" width="9" style="209"/>
    <col min="1793" max="1794" width="19.125" style="209" customWidth="1"/>
    <col min="1795" max="1796" width="8.125" style="209" customWidth="1"/>
    <col min="1797" max="1800" width="15.625" style="209" customWidth="1"/>
    <col min="1801" max="1801" width="11.875" style="209" customWidth="1"/>
    <col min="1802" max="1819" width="0" style="209" hidden="1" customWidth="1"/>
    <col min="1820" max="2048" width="9" style="209"/>
    <col min="2049" max="2050" width="19.125" style="209" customWidth="1"/>
    <col min="2051" max="2052" width="8.125" style="209" customWidth="1"/>
    <col min="2053" max="2056" width="15.625" style="209" customWidth="1"/>
    <col min="2057" max="2057" width="11.875" style="209" customWidth="1"/>
    <col min="2058" max="2075" width="0" style="209" hidden="1" customWidth="1"/>
    <col min="2076" max="2304" width="9" style="209"/>
    <col min="2305" max="2306" width="19.125" style="209" customWidth="1"/>
    <col min="2307" max="2308" width="8.125" style="209" customWidth="1"/>
    <col min="2309" max="2312" width="15.625" style="209" customWidth="1"/>
    <col min="2313" max="2313" width="11.875" style="209" customWidth="1"/>
    <col min="2314" max="2331" width="0" style="209" hidden="1" customWidth="1"/>
    <col min="2332" max="2560" width="9" style="209"/>
    <col min="2561" max="2562" width="19.125" style="209" customWidth="1"/>
    <col min="2563" max="2564" width="8.125" style="209" customWidth="1"/>
    <col min="2565" max="2568" width="15.625" style="209" customWidth="1"/>
    <col min="2569" max="2569" width="11.875" style="209" customWidth="1"/>
    <col min="2570" max="2587" width="0" style="209" hidden="1" customWidth="1"/>
    <col min="2588" max="2816" width="9" style="209"/>
    <col min="2817" max="2818" width="19.125" style="209" customWidth="1"/>
    <col min="2819" max="2820" width="8.125" style="209" customWidth="1"/>
    <col min="2821" max="2824" width="15.625" style="209" customWidth="1"/>
    <col min="2825" max="2825" width="11.875" style="209" customWidth="1"/>
    <col min="2826" max="2843" width="0" style="209" hidden="1" customWidth="1"/>
    <col min="2844" max="3072" width="9" style="209"/>
    <col min="3073" max="3074" width="19.125" style="209" customWidth="1"/>
    <col min="3075" max="3076" width="8.125" style="209" customWidth="1"/>
    <col min="3077" max="3080" width="15.625" style="209" customWidth="1"/>
    <col min="3081" max="3081" width="11.875" style="209" customWidth="1"/>
    <col min="3082" max="3099" width="0" style="209" hidden="1" customWidth="1"/>
    <col min="3100" max="3328" width="9" style="209"/>
    <col min="3329" max="3330" width="19.125" style="209" customWidth="1"/>
    <col min="3331" max="3332" width="8.125" style="209" customWidth="1"/>
    <col min="3333" max="3336" width="15.625" style="209" customWidth="1"/>
    <col min="3337" max="3337" width="11.875" style="209" customWidth="1"/>
    <col min="3338" max="3355" width="0" style="209" hidden="1" customWidth="1"/>
    <col min="3356" max="3584" width="9" style="209"/>
    <col min="3585" max="3586" width="19.125" style="209" customWidth="1"/>
    <col min="3587" max="3588" width="8.125" style="209" customWidth="1"/>
    <col min="3589" max="3592" width="15.625" style="209" customWidth="1"/>
    <col min="3593" max="3593" width="11.875" style="209" customWidth="1"/>
    <col min="3594" max="3611" width="0" style="209" hidden="1" customWidth="1"/>
    <col min="3612" max="3840" width="9" style="209"/>
    <col min="3841" max="3842" width="19.125" style="209" customWidth="1"/>
    <col min="3843" max="3844" width="8.125" style="209" customWidth="1"/>
    <col min="3845" max="3848" width="15.625" style="209" customWidth="1"/>
    <col min="3849" max="3849" width="11.875" style="209" customWidth="1"/>
    <col min="3850" max="3867" width="0" style="209" hidden="1" customWidth="1"/>
    <col min="3868" max="4096" width="9" style="209"/>
    <col min="4097" max="4098" width="19.125" style="209" customWidth="1"/>
    <col min="4099" max="4100" width="8.125" style="209" customWidth="1"/>
    <col min="4101" max="4104" width="15.625" style="209" customWidth="1"/>
    <col min="4105" max="4105" width="11.875" style="209" customWidth="1"/>
    <col min="4106" max="4123" width="0" style="209" hidden="1" customWidth="1"/>
    <col min="4124" max="4352" width="9" style="209"/>
    <col min="4353" max="4354" width="19.125" style="209" customWidth="1"/>
    <col min="4355" max="4356" width="8.125" style="209" customWidth="1"/>
    <col min="4357" max="4360" width="15.625" style="209" customWidth="1"/>
    <col min="4361" max="4361" width="11.875" style="209" customWidth="1"/>
    <col min="4362" max="4379" width="0" style="209" hidden="1" customWidth="1"/>
    <col min="4380" max="4608" width="9" style="209"/>
    <col min="4609" max="4610" width="19.125" style="209" customWidth="1"/>
    <col min="4611" max="4612" width="8.125" style="209" customWidth="1"/>
    <col min="4613" max="4616" width="15.625" style="209" customWidth="1"/>
    <col min="4617" max="4617" width="11.875" style="209" customWidth="1"/>
    <col min="4618" max="4635" width="0" style="209" hidden="1" customWidth="1"/>
    <col min="4636" max="4864" width="9" style="209"/>
    <col min="4865" max="4866" width="19.125" style="209" customWidth="1"/>
    <col min="4867" max="4868" width="8.125" style="209" customWidth="1"/>
    <col min="4869" max="4872" width="15.625" style="209" customWidth="1"/>
    <col min="4873" max="4873" width="11.875" style="209" customWidth="1"/>
    <col min="4874" max="4891" width="0" style="209" hidden="1" customWidth="1"/>
    <col min="4892" max="5120" width="9" style="209"/>
    <col min="5121" max="5122" width="19.125" style="209" customWidth="1"/>
    <col min="5123" max="5124" width="8.125" style="209" customWidth="1"/>
    <col min="5125" max="5128" width="15.625" style="209" customWidth="1"/>
    <col min="5129" max="5129" width="11.875" style="209" customWidth="1"/>
    <col min="5130" max="5147" width="0" style="209" hidden="1" customWidth="1"/>
    <col min="5148" max="5376" width="9" style="209"/>
    <col min="5377" max="5378" width="19.125" style="209" customWidth="1"/>
    <col min="5379" max="5380" width="8.125" style="209" customWidth="1"/>
    <col min="5381" max="5384" width="15.625" style="209" customWidth="1"/>
    <col min="5385" max="5385" width="11.875" style="209" customWidth="1"/>
    <col min="5386" max="5403" width="0" style="209" hidden="1" customWidth="1"/>
    <col min="5404" max="5632" width="9" style="209"/>
    <col min="5633" max="5634" width="19.125" style="209" customWidth="1"/>
    <col min="5635" max="5636" width="8.125" style="209" customWidth="1"/>
    <col min="5637" max="5640" width="15.625" style="209" customWidth="1"/>
    <col min="5641" max="5641" width="11.875" style="209" customWidth="1"/>
    <col min="5642" max="5659" width="0" style="209" hidden="1" customWidth="1"/>
    <col min="5660" max="5888" width="9" style="209"/>
    <col min="5889" max="5890" width="19.125" style="209" customWidth="1"/>
    <col min="5891" max="5892" width="8.125" style="209" customWidth="1"/>
    <col min="5893" max="5896" width="15.625" style="209" customWidth="1"/>
    <col min="5897" max="5897" width="11.875" style="209" customWidth="1"/>
    <col min="5898" max="5915" width="0" style="209" hidden="1" customWidth="1"/>
    <col min="5916" max="6144" width="9" style="209"/>
    <col min="6145" max="6146" width="19.125" style="209" customWidth="1"/>
    <col min="6147" max="6148" width="8.125" style="209" customWidth="1"/>
    <col min="6149" max="6152" width="15.625" style="209" customWidth="1"/>
    <col min="6153" max="6153" width="11.875" style="209" customWidth="1"/>
    <col min="6154" max="6171" width="0" style="209" hidden="1" customWidth="1"/>
    <col min="6172" max="6400" width="9" style="209"/>
    <col min="6401" max="6402" width="19.125" style="209" customWidth="1"/>
    <col min="6403" max="6404" width="8.125" style="209" customWidth="1"/>
    <col min="6405" max="6408" width="15.625" style="209" customWidth="1"/>
    <col min="6409" max="6409" width="11.875" style="209" customWidth="1"/>
    <col min="6410" max="6427" width="0" style="209" hidden="1" customWidth="1"/>
    <col min="6428" max="6656" width="9" style="209"/>
    <col min="6657" max="6658" width="19.125" style="209" customWidth="1"/>
    <col min="6659" max="6660" width="8.125" style="209" customWidth="1"/>
    <col min="6661" max="6664" width="15.625" style="209" customWidth="1"/>
    <col min="6665" max="6665" width="11.875" style="209" customWidth="1"/>
    <col min="6666" max="6683" width="0" style="209" hidden="1" customWidth="1"/>
    <col min="6684" max="6912" width="9" style="209"/>
    <col min="6913" max="6914" width="19.125" style="209" customWidth="1"/>
    <col min="6915" max="6916" width="8.125" style="209" customWidth="1"/>
    <col min="6917" max="6920" width="15.625" style="209" customWidth="1"/>
    <col min="6921" max="6921" width="11.875" style="209" customWidth="1"/>
    <col min="6922" max="6939" width="0" style="209" hidden="1" customWidth="1"/>
    <col min="6940" max="7168" width="9" style="209"/>
    <col min="7169" max="7170" width="19.125" style="209" customWidth="1"/>
    <col min="7171" max="7172" width="8.125" style="209" customWidth="1"/>
    <col min="7173" max="7176" width="15.625" style="209" customWidth="1"/>
    <col min="7177" max="7177" width="11.875" style="209" customWidth="1"/>
    <col min="7178" max="7195" width="0" style="209" hidden="1" customWidth="1"/>
    <col min="7196" max="7424" width="9" style="209"/>
    <col min="7425" max="7426" width="19.125" style="209" customWidth="1"/>
    <col min="7427" max="7428" width="8.125" style="209" customWidth="1"/>
    <col min="7429" max="7432" width="15.625" style="209" customWidth="1"/>
    <col min="7433" max="7433" width="11.875" style="209" customWidth="1"/>
    <col min="7434" max="7451" width="0" style="209" hidden="1" customWidth="1"/>
    <col min="7452" max="7680" width="9" style="209"/>
    <col min="7681" max="7682" width="19.125" style="209" customWidth="1"/>
    <col min="7683" max="7684" width="8.125" style="209" customWidth="1"/>
    <col min="7685" max="7688" width="15.625" style="209" customWidth="1"/>
    <col min="7689" max="7689" width="11.875" style="209" customWidth="1"/>
    <col min="7690" max="7707" width="0" style="209" hidden="1" customWidth="1"/>
    <col min="7708" max="7936" width="9" style="209"/>
    <col min="7937" max="7938" width="19.125" style="209" customWidth="1"/>
    <col min="7939" max="7940" width="8.125" style="209" customWidth="1"/>
    <col min="7941" max="7944" width="15.625" style="209" customWidth="1"/>
    <col min="7945" max="7945" width="11.875" style="209" customWidth="1"/>
    <col min="7946" max="7963" width="0" style="209" hidden="1" customWidth="1"/>
    <col min="7964" max="8192" width="9" style="209"/>
    <col min="8193" max="8194" width="19.125" style="209" customWidth="1"/>
    <col min="8195" max="8196" width="8.125" style="209" customWidth="1"/>
    <col min="8197" max="8200" width="15.625" style="209" customWidth="1"/>
    <col min="8201" max="8201" width="11.875" style="209" customWidth="1"/>
    <col min="8202" max="8219" width="0" style="209" hidden="1" customWidth="1"/>
    <col min="8220" max="8448" width="9" style="209"/>
    <col min="8449" max="8450" width="19.125" style="209" customWidth="1"/>
    <col min="8451" max="8452" width="8.125" style="209" customWidth="1"/>
    <col min="8453" max="8456" width="15.625" style="209" customWidth="1"/>
    <col min="8457" max="8457" width="11.875" style="209" customWidth="1"/>
    <col min="8458" max="8475" width="0" style="209" hidden="1" customWidth="1"/>
    <col min="8476" max="8704" width="9" style="209"/>
    <col min="8705" max="8706" width="19.125" style="209" customWidth="1"/>
    <col min="8707" max="8708" width="8.125" style="209" customWidth="1"/>
    <col min="8709" max="8712" width="15.625" style="209" customWidth="1"/>
    <col min="8713" max="8713" width="11.875" style="209" customWidth="1"/>
    <col min="8714" max="8731" width="0" style="209" hidden="1" customWidth="1"/>
    <col min="8732" max="8960" width="9" style="209"/>
    <col min="8961" max="8962" width="19.125" style="209" customWidth="1"/>
    <col min="8963" max="8964" width="8.125" style="209" customWidth="1"/>
    <col min="8965" max="8968" width="15.625" style="209" customWidth="1"/>
    <col min="8969" max="8969" width="11.875" style="209" customWidth="1"/>
    <col min="8970" max="8987" width="0" style="209" hidden="1" customWidth="1"/>
    <col min="8988" max="9216" width="9" style="209"/>
    <col min="9217" max="9218" width="19.125" style="209" customWidth="1"/>
    <col min="9219" max="9220" width="8.125" style="209" customWidth="1"/>
    <col min="9221" max="9224" width="15.625" style="209" customWidth="1"/>
    <col min="9225" max="9225" width="11.875" style="209" customWidth="1"/>
    <col min="9226" max="9243" width="0" style="209" hidden="1" customWidth="1"/>
    <col min="9244" max="9472" width="9" style="209"/>
    <col min="9473" max="9474" width="19.125" style="209" customWidth="1"/>
    <col min="9475" max="9476" width="8.125" style="209" customWidth="1"/>
    <col min="9477" max="9480" width="15.625" style="209" customWidth="1"/>
    <col min="9481" max="9481" width="11.875" style="209" customWidth="1"/>
    <col min="9482" max="9499" width="0" style="209" hidden="1" customWidth="1"/>
    <col min="9500" max="9728" width="9" style="209"/>
    <col min="9729" max="9730" width="19.125" style="209" customWidth="1"/>
    <col min="9731" max="9732" width="8.125" style="209" customWidth="1"/>
    <col min="9733" max="9736" width="15.625" style="209" customWidth="1"/>
    <col min="9737" max="9737" width="11.875" style="209" customWidth="1"/>
    <col min="9738" max="9755" width="0" style="209" hidden="1" customWidth="1"/>
    <col min="9756" max="9984" width="9" style="209"/>
    <col min="9985" max="9986" width="19.125" style="209" customWidth="1"/>
    <col min="9987" max="9988" width="8.125" style="209" customWidth="1"/>
    <col min="9989" max="9992" width="15.625" style="209" customWidth="1"/>
    <col min="9993" max="9993" width="11.875" style="209" customWidth="1"/>
    <col min="9994" max="10011" width="0" style="209" hidden="1" customWidth="1"/>
    <col min="10012" max="10240" width="9" style="209"/>
    <col min="10241" max="10242" width="19.125" style="209" customWidth="1"/>
    <col min="10243" max="10244" width="8.125" style="209" customWidth="1"/>
    <col min="10245" max="10248" width="15.625" style="209" customWidth="1"/>
    <col min="10249" max="10249" width="11.875" style="209" customWidth="1"/>
    <col min="10250" max="10267" width="0" style="209" hidden="1" customWidth="1"/>
    <col min="10268" max="10496" width="9" style="209"/>
    <col min="10497" max="10498" width="19.125" style="209" customWidth="1"/>
    <col min="10499" max="10500" width="8.125" style="209" customWidth="1"/>
    <col min="10501" max="10504" width="15.625" style="209" customWidth="1"/>
    <col min="10505" max="10505" width="11.875" style="209" customWidth="1"/>
    <col min="10506" max="10523" width="0" style="209" hidden="1" customWidth="1"/>
    <col min="10524" max="10752" width="9" style="209"/>
    <col min="10753" max="10754" width="19.125" style="209" customWidth="1"/>
    <col min="10755" max="10756" width="8.125" style="209" customWidth="1"/>
    <col min="10757" max="10760" width="15.625" style="209" customWidth="1"/>
    <col min="10761" max="10761" width="11.875" style="209" customWidth="1"/>
    <col min="10762" max="10779" width="0" style="209" hidden="1" customWidth="1"/>
    <col min="10780" max="11008" width="9" style="209"/>
    <col min="11009" max="11010" width="19.125" style="209" customWidth="1"/>
    <col min="11011" max="11012" width="8.125" style="209" customWidth="1"/>
    <col min="11013" max="11016" width="15.625" style="209" customWidth="1"/>
    <col min="11017" max="11017" width="11.875" style="209" customWidth="1"/>
    <col min="11018" max="11035" width="0" style="209" hidden="1" customWidth="1"/>
    <col min="11036" max="11264" width="9" style="209"/>
    <col min="11265" max="11266" width="19.125" style="209" customWidth="1"/>
    <col min="11267" max="11268" width="8.125" style="209" customWidth="1"/>
    <col min="11269" max="11272" width="15.625" style="209" customWidth="1"/>
    <col min="11273" max="11273" width="11.875" style="209" customWidth="1"/>
    <col min="11274" max="11291" width="0" style="209" hidden="1" customWidth="1"/>
    <col min="11292" max="11520" width="9" style="209"/>
    <col min="11521" max="11522" width="19.125" style="209" customWidth="1"/>
    <col min="11523" max="11524" width="8.125" style="209" customWidth="1"/>
    <col min="11525" max="11528" width="15.625" style="209" customWidth="1"/>
    <col min="11529" max="11529" width="11.875" style="209" customWidth="1"/>
    <col min="11530" max="11547" width="0" style="209" hidden="1" customWidth="1"/>
    <col min="11548" max="11776" width="9" style="209"/>
    <col min="11777" max="11778" width="19.125" style="209" customWidth="1"/>
    <col min="11779" max="11780" width="8.125" style="209" customWidth="1"/>
    <col min="11781" max="11784" width="15.625" style="209" customWidth="1"/>
    <col min="11785" max="11785" width="11.875" style="209" customWidth="1"/>
    <col min="11786" max="11803" width="0" style="209" hidden="1" customWidth="1"/>
    <col min="11804" max="12032" width="9" style="209"/>
    <col min="12033" max="12034" width="19.125" style="209" customWidth="1"/>
    <col min="12035" max="12036" width="8.125" style="209" customWidth="1"/>
    <col min="12037" max="12040" width="15.625" style="209" customWidth="1"/>
    <col min="12041" max="12041" width="11.875" style="209" customWidth="1"/>
    <col min="12042" max="12059" width="0" style="209" hidden="1" customWidth="1"/>
    <col min="12060" max="12288" width="9" style="209"/>
    <col min="12289" max="12290" width="19.125" style="209" customWidth="1"/>
    <col min="12291" max="12292" width="8.125" style="209" customWidth="1"/>
    <col min="12293" max="12296" width="15.625" style="209" customWidth="1"/>
    <col min="12297" max="12297" width="11.875" style="209" customWidth="1"/>
    <col min="12298" max="12315" width="0" style="209" hidden="1" customWidth="1"/>
    <col min="12316" max="12544" width="9" style="209"/>
    <col min="12545" max="12546" width="19.125" style="209" customWidth="1"/>
    <col min="12547" max="12548" width="8.125" style="209" customWidth="1"/>
    <col min="12549" max="12552" width="15.625" style="209" customWidth="1"/>
    <col min="12553" max="12553" width="11.875" style="209" customWidth="1"/>
    <col min="12554" max="12571" width="0" style="209" hidden="1" customWidth="1"/>
    <col min="12572" max="12800" width="9" style="209"/>
    <col min="12801" max="12802" width="19.125" style="209" customWidth="1"/>
    <col min="12803" max="12804" width="8.125" style="209" customWidth="1"/>
    <col min="12805" max="12808" width="15.625" style="209" customWidth="1"/>
    <col min="12809" max="12809" width="11.875" style="209" customWidth="1"/>
    <col min="12810" max="12827" width="0" style="209" hidden="1" customWidth="1"/>
    <col min="12828" max="13056" width="9" style="209"/>
    <col min="13057" max="13058" width="19.125" style="209" customWidth="1"/>
    <col min="13059" max="13060" width="8.125" style="209" customWidth="1"/>
    <col min="13061" max="13064" width="15.625" style="209" customWidth="1"/>
    <col min="13065" max="13065" width="11.875" style="209" customWidth="1"/>
    <col min="13066" max="13083" width="0" style="209" hidden="1" customWidth="1"/>
    <col min="13084" max="13312" width="9" style="209"/>
    <col min="13313" max="13314" width="19.125" style="209" customWidth="1"/>
    <col min="13315" max="13316" width="8.125" style="209" customWidth="1"/>
    <col min="13317" max="13320" width="15.625" style="209" customWidth="1"/>
    <col min="13321" max="13321" width="11.875" style="209" customWidth="1"/>
    <col min="13322" max="13339" width="0" style="209" hidden="1" customWidth="1"/>
    <col min="13340" max="13568" width="9" style="209"/>
    <col min="13569" max="13570" width="19.125" style="209" customWidth="1"/>
    <col min="13571" max="13572" width="8.125" style="209" customWidth="1"/>
    <col min="13573" max="13576" width="15.625" style="209" customWidth="1"/>
    <col min="13577" max="13577" width="11.875" style="209" customWidth="1"/>
    <col min="13578" max="13595" width="0" style="209" hidden="1" customWidth="1"/>
    <col min="13596" max="13824" width="9" style="209"/>
    <col min="13825" max="13826" width="19.125" style="209" customWidth="1"/>
    <col min="13827" max="13828" width="8.125" style="209" customWidth="1"/>
    <col min="13829" max="13832" width="15.625" style="209" customWidth="1"/>
    <col min="13833" max="13833" width="11.875" style="209" customWidth="1"/>
    <col min="13834" max="13851" width="0" style="209" hidden="1" customWidth="1"/>
    <col min="13852" max="14080" width="9" style="209"/>
    <col min="14081" max="14082" width="19.125" style="209" customWidth="1"/>
    <col min="14083" max="14084" width="8.125" style="209" customWidth="1"/>
    <col min="14085" max="14088" width="15.625" style="209" customWidth="1"/>
    <col min="14089" max="14089" width="11.875" style="209" customWidth="1"/>
    <col min="14090" max="14107" width="0" style="209" hidden="1" customWidth="1"/>
    <col min="14108" max="14336" width="9" style="209"/>
    <col min="14337" max="14338" width="19.125" style="209" customWidth="1"/>
    <col min="14339" max="14340" width="8.125" style="209" customWidth="1"/>
    <col min="14341" max="14344" width="15.625" style="209" customWidth="1"/>
    <col min="14345" max="14345" width="11.875" style="209" customWidth="1"/>
    <col min="14346" max="14363" width="0" style="209" hidden="1" customWidth="1"/>
    <col min="14364" max="14592" width="9" style="209"/>
    <col min="14593" max="14594" width="19.125" style="209" customWidth="1"/>
    <col min="14595" max="14596" width="8.125" style="209" customWidth="1"/>
    <col min="14597" max="14600" width="15.625" style="209" customWidth="1"/>
    <col min="14601" max="14601" width="11.875" style="209" customWidth="1"/>
    <col min="14602" max="14619" width="0" style="209" hidden="1" customWidth="1"/>
    <col min="14620" max="14848" width="9" style="209"/>
    <col min="14849" max="14850" width="19.125" style="209" customWidth="1"/>
    <col min="14851" max="14852" width="8.125" style="209" customWidth="1"/>
    <col min="14853" max="14856" width="15.625" style="209" customWidth="1"/>
    <col min="14857" max="14857" width="11.875" style="209" customWidth="1"/>
    <col min="14858" max="14875" width="0" style="209" hidden="1" customWidth="1"/>
    <col min="14876" max="15104" width="9" style="209"/>
    <col min="15105" max="15106" width="19.125" style="209" customWidth="1"/>
    <col min="15107" max="15108" width="8.125" style="209" customWidth="1"/>
    <col min="15109" max="15112" width="15.625" style="209" customWidth="1"/>
    <col min="15113" max="15113" width="11.875" style="209" customWidth="1"/>
    <col min="15114" max="15131" width="0" style="209" hidden="1" customWidth="1"/>
    <col min="15132" max="15360" width="9" style="209"/>
    <col min="15361" max="15362" width="19.125" style="209" customWidth="1"/>
    <col min="15363" max="15364" width="8.125" style="209" customWidth="1"/>
    <col min="15365" max="15368" width="15.625" style="209" customWidth="1"/>
    <col min="15369" max="15369" width="11.875" style="209" customWidth="1"/>
    <col min="15370" max="15387" width="0" style="209" hidden="1" customWidth="1"/>
    <col min="15388" max="15616" width="9" style="209"/>
    <col min="15617" max="15618" width="19.125" style="209" customWidth="1"/>
    <col min="15619" max="15620" width="8.125" style="209" customWidth="1"/>
    <col min="15621" max="15624" width="15.625" style="209" customWidth="1"/>
    <col min="15625" max="15625" width="11.875" style="209" customWidth="1"/>
    <col min="15626" max="15643" width="0" style="209" hidden="1" customWidth="1"/>
    <col min="15644" max="15872" width="9" style="209"/>
    <col min="15873" max="15874" width="19.125" style="209" customWidth="1"/>
    <col min="15875" max="15876" width="8.125" style="209" customWidth="1"/>
    <col min="15877" max="15880" width="15.625" style="209" customWidth="1"/>
    <col min="15881" max="15881" width="11.875" style="209" customWidth="1"/>
    <col min="15882" max="15899" width="0" style="209" hidden="1" customWidth="1"/>
    <col min="15900" max="16128" width="9" style="209"/>
    <col min="16129" max="16130" width="19.125" style="209" customWidth="1"/>
    <col min="16131" max="16132" width="8.125" style="209" customWidth="1"/>
    <col min="16133" max="16136" width="15.625" style="209" customWidth="1"/>
    <col min="16137" max="16137" width="11.875" style="209" customWidth="1"/>
    <col min="16138" max="16155" width="0" style="209" hidden="1" customWidth="1"/>
    <col min="16156" max="16384" width="9" style="209"/>
  </cols>
  <sheetData>
    <row r="1" spans="1:27" ht="24" customHeight="1">
      <c r="A1" s="206" t="s">
        <v>1627</v>
      </c>
    </row>
    <row r="2" spans="1:27" ht="24" customHeight="1">
      <c r="A2" s="210" t="s">
        <v>1077</v>
      </c>
      <c r="B2" s="210" t="s">
        <v>13</v>
      </c>
      <c r="C2" s="211" t="s">
        <v>1628</v>
      </c>
      <c r="D2" s="211" t="s">
        <v>1629</v>
      </c>
      <c r="E2" s="211" t="s">
        <v>1078</v>
      </c>
      <c r="F2" s="211" t="s">
        <v>1079</v>
      </c>
      <c r="G2" s="211" t="s">
        <v>1080</v>
      </c>
      <c r="H2" s="211" t="s">
        <v>1081</v>
      </c>
      <c r="I2" s="210" t="s">
        <v>1082</v>
      </c>
      <c r="T2" s="213" t="s">
        <v>1630</v>
      </c>
      <c r="U2" s="213" t="s">
        <v>1631</v>
      </c>
      <c r="V2" s="213" t="s">
        <v>1632</v>
      </c>
      <c r="W2" s="213" t="s">
        <v>1633</v>
      </c>
      <c r="Y2" s="213" t="s">
        <v>1634</v>
      </c>
    </row>
    <row r="3" spans="1:27" ht="24" customHeight="1">
      <c r="A3" s="218" t="s">
        <v>1635</v>
      </c>
      <c r="B3" s="218" t="s">
        <v>1127</v>
      </c>
      <c r="C3" s="213">
        <v>1</v>
      </c>
      <c r="D3" s="213" t="s">
        <v>1033</v>
      </c>
      <c r="E3" s="217">
        <f>호표!F4</f>
        <v>0</v>
      </c>
      <c r="F3" s="217">
        <f>호표!H4</f>
        <v>0</v>
      </c>
      <c r="G3" s="217">
        <f>호표!J4</f>
        <v>0</v>
      </c>
      <c r="H3" s="217">
        <f t="shared" ref="H3:H66" si="0">E3+F3+G3</f>
        <v>0</v>
      </c>
      <c r="I3" s="215" t="s">
        <v>68</v>
      </c>
      <c r="J3" s="209" t="s">
        <v>68</v>
      </c>
      <c r="K3" s="209" t="s">
        <v>1128</v>
      </c>
      <c r="L3" s="209" t="s">
        <v>1129</v>
      </c>
      <c r="T3" s="217">
        <v>234000</v>
      </c>
      <c r="U3" s="217">
        <v>0</v>
      </c>
      <c r="V3" s="217">
        <v>0</v>
      </c>
      <c r="W3" s="217">
        <v>234000</v>
      </c>
      <c r="Y3" s="212" t="b">
        <f t="shared" ref="Y3:Y66" si="1">EXACT($H3,$W3)</f>
        <v>0</v>
      </c>
      <c r="AA3" s="230" t="str">
        <f>HYPERLINK("#일위대가_호표!A4","_0001 →")</f>
        <v>_0001 →</v>
      </c>
    </row>
    <row r="4" spans="1:27" ht="24" customHeight="1">
      <c r="A4" s="218" t="s">
        <v>1636</v>
      </c>
      <c r="B4" s="218" t="s">
        <v>1131</v>
      </c>
      <c r="C4" s="213">
        <v>1</v>
      </c>
      <c r="D4" s="213" t="s">
        <v>1033</v>
      </c>
      <c r="E4" s="217">
        <f>호표!F7</f>
        <v>0</v>
      </c>
      <c r="F4" s="217">
        <f>호표!H7</f>
        <v>0</v>
      </c>
      <c r="G4" s="217">
        <f>호표!J7</f>
        <v>0</v>
      </c>
      <c r="H4" s="217">
        <f t="shared" si="0"/>
        <v>0</v>
      </c>
      <c r="I4" s="215" t="s">
        <v>68</v>
      </c>
      <c r="J4" s="209" t="s">
        <v>68</v>
      </c>
      <c r="K4" s="209" t="s">
        <v>1132</v>
      </c>
      <c r="L4" s="209" t="s">
        <v>1129</v>
      </c>
      <c r="T4" s="217">
        <v>350538</v>
      </c>
      <c r="U4" s="217">
        <v>397174</v>
      </c>
      <c r="V4" s="217">
        <v>15367</v>
      </c>
      <c r="W4" s="217">
        <v>763079</v>
      </c>
      <c r="Y4" s="212" t="b">
        <f t="shared" si="1"/>
        <v>0</v>
      </c>
      <c r="AA4" s="230" t="str">
        <f>HYPERLINK("#일위대가_호표!A7","_0002 →")</f>
        <v>_0002 →</v>
      </c>
    </row>
    <row r="5" spans="1:27" ht="24" customHeight="1">
      <c r="A5" s="218" t="s">
        <v>1637</v>
      </c>
      <c r="B5" s="218" t="s">
        <v>1133</v>
      </c>
      <c r="C5" s="213">
        <v>1</v>
      </c>
      <c r="D5" s="213" t="s">
        <v>1033</v>
      </c>
      <c r="E5" s="217">
        <f>호표!F16</f>
        <v>0</v>
      </c>
      <c r="F5" s="217">
        <f>호표!H16</f>
        <v>0</v>
      </c>
      <c r="G5" s="217">
        <f>호표!J16</f>
        <v>0</v>
      </c>
      <c r="H5" s="217">
        <f t="shared" si="0"/>
        <v>0</v>
      </c>
      <c r="I5" s="215" t="s">
        <v>68</v>
      </c>
      <c r="J5" s="209" t="s">
        <v>68</v>
      </c>
      <c r="K5" s="209" t="s">
        <v>1134</v>
      </c>
      <c r="L5" s="209" t="s">
        <v>1129</v>
      </c>
      <c r="T5" s="217">
        <v>54000</v>
      </c>
      <c r="U5" s="217">
        <v>0</v>
      </c>
      <c r="V5" s="217">
        <v>0</v>
      </c>
      <c r="W5" s="217">
        <v>54000</v>
      </c>
      <c r="Y5" s="212" t="b">
        <f t="shared" si="1"/>
        <v>0</v>
      </c>
      <c r="AA5" s="230" t="str">
        <f>HYPERLINK("#일위대가_호표!A16","_0003 →")</f>
        <v>_0003 →</v>
      </c>
    </row>
    <row r="6" spans="1:27" ht="24" customHeight="1">
      <c r="A6" s="218" t="s">
        <v>1638</v>
      </c>
      <c r="B6" s="218" t="s">
        <v>1135</v>
      </c>
      <c r="C6" s="213">
        <v>1</v>
      </c>
      <c r="D6" s="213" t="s">
        <v>1033</v>
      </c>
      <c r="E6" s="217">
        <f>호표!F19</f>
        <v>0</v>
      </c>
      <c r="F6" s="217">
        <f>호표!H19</f>
        <v>0</v>
      </c>
      <c r="G6" s="217">
        <f>호표!J19</f>
        <v>0</v>
      </c>
      <c r="H6" s="217">
        <f t="shared" si="0"/>
        <v>0</v>
      </c>
      <c r="I6" s="215" t="s">
        <v>68</v>
      </c>
      <c r="J6" s="209" t="s">
        <v>68</v>
      </c>
      <c r="K6" s="209" t="s">
        <v>1136</v>
      </c>
      <c r="L6" s="209" t="s">
        <v>1129</v>
      </c>
      <c r="T6" s="217">
        <v>246000</v>
      </c>
      <c r="U6" s="217">
        <v>22495</v>
      </c>
      <c r="V6" s="217">
        <v>449</v>
      </c>
      <c r="W6" s="217">
        <v>268944</v>
      </c>
      <c r="Y6" s="212" t="b">
        <f t="shared" si="1"/>
        <v>0</v>
      </c>
      <c r="AA6" s="230" t="str">
        <f>HYPERLINK("#일위대가_호표!A19","_0004 →")</f>
        <v>_0004 →</v>
      </c>
    </row>
    <row r="7" spans="1:27" ht="24" customHeight="1">
      <c r="A7" s="218" t="s">
        <v>1639</v>
      </c>
      <c r="B7" s="218" t="s">
        <v>1292</v>
      </c>
      <c r="C7" s="213">
        <v>1</v>
      </c>
      <c r="D7" s="213" t="s">
        <v>9</v>
      </c>
      <c r="E7" s="217">
        <f>호표!F23</f>
        <v>0</v>
      </c>
      <c r="F7" s="217">
        <f>호표!H23</f>
        <v>0</v>
      </c>
      <c r="G7" s="217">
        <f>호표!J23</f>
        <v>0</v>
      </c>
      <c r="H7" s="217">
        <f t="shared" si="0"/>
        <v>0</v>
      </c>
      <c r="I7" s="215" t="s">
        <v>1640</v>
      </c>
      <c r="J7" s="209" t="s">
        <v>68</v>
      </c>
      <c r="K7" s="209" t="s">
        <v>1293</v>
      </c>
      <c r="L7" s="209" t="s">
        <v>1129</v>
      </c>
      <c r="T7" s="217">
        <v>84</v>
      </c>
      <c r="U7" s="217">
        <v>2803</v>
      </c>
      <c r="V7" s="217">
        <v>0</v>
      </c>
      <c r="W7" s="217">
        <v>2887</v>
      </c>
      <c r="Y7" s="212" t="b">
        <f t="shared" si="1"/>
        <v>0</v>
      </c>
      <c r="AA7" s="230" t="str">
        <f>HYPERLINK("#일위대가_호표!A23","P9-2-1/1 →")</f>
        <v>P9-2-1/1 →</v>
      </c>
    </row>
    <row r="8" spans="1:27" ht="24" customHeight="1">
      <c r="A8" s="218" t="s">
        <v>1641</v>
      </c>
      <c r="B8" s="218" t="s">
        <v>1642</v>
      </c>
      <c r="C8" s="213">
        <v>1</v>
      </c>
      <c r="D8" s="213" t="s">
        <v>378</v>
      </c>
      <c r="E8" s="217">
        <f>호표!F27</f>
        <v>0</v>
      </c>
      <c r="F8" s="217">
        <f>호표!H27</f>
        <v>0</v>
      </c>
      <c r="G8" s="217">
        <f>호표!J27</f>
        <v>0</v>
      </c>
      <c r="H8" s="217">
        <f t="shared" si="0"/>
        <v>0</v>
      </c>
      <c r="I8" s="215" t="s">
        <v>1643</v>
      </c>
      <c r="J8" s="209" t="s">
        <v>68</v>
      </c>
      <c r="K8" s="209" t="s">
        <v>1644</v>
      </c>
      <c r="L8" s="209" t="s">
        <v>1129</v>
      </c>
      <c r="T8" s="217">
        <v>0</v>
      </c>
      <c r="U8" s="217">
        <v>2041</v>
      </c>
      <c r="V8" s="217">
        <v>40</v>
      </c>
      <c r="W8" s="217">
        <v>2081</v>
      </c>
      <c r="Y8" s="212" t="b">
        <f t="shared" si="1"/>
        <v>0</v>
      </c>
      <c r="AA8" s="230" t="str">
        <f>HYPERLINK("#일위대가_호표!A27","S913-4-2/1 →")</f>
        <v>S913-4-2/1 →</v>
      </c>
    </row>
    <row r="9" spans="1:27" ht="24" customHeight="1">
      <c r="A9" s="218" t="s">
        <v>1645</v>
      </c>
      <c r="B9" s="218" t="s">
        <v>1646</v>
      </c>
      <c r="C9" s="213">
        <v>1</v>
      </c>
      <c r="D9" s="213" t="s">
        <v>16</v>
      </c>
      <c r="E9" s="217">
        <f>호표!F31</f>
        <v>0</v>
      </c>
      <c r="F9" s="217">
        <f>호표!H31</f>
        <v>0</v>
      </c>
      <c r="G9" s="217">
        <f>호표!J31</f>
        <v>0</v>
      </c>
      <c r="H9" s="217">
        <f t="shared" si="0"/>
        <v>0</v>
      </c>
      <c r="I9" s="215" t="s">
        <v>1647</v>
      </c>
      <c r="J9" s="209" t="s">
        <v>68</v>
      </c>
      <c r="K9" s="209" t="s">
        <v>1648</v>
      </c>
      <c r="L9" s="209" t="s">
        <v>1129</v>
      </c>
      <c r="T9" s="217">
        <v>37830</v>
      </c>
      <c r="U9" s="217">
        <v>1261013</v>
      </c>
      <c r="V9" s="217">
        <v>63050</v>
      </c>
      <c r="W9" s="217">
        <v>1361893</v>
      </c>
      <c r="Y9" s="212" t="b">
        <f t="shared" si="1"/>
        <v>0</v>
      </c>
      <c r="AA9" s="230" t="str">
        <f>HYPERLINK("#일위대가_호표!A31","P8-3-1/1 →")</f>
        <v>P8-3-1/1 →</v>
      </c>
    </row>
    <row r="10" spans="1:27" ht="24" customHeight="1">
      <c r="A10" s="218" t="s">
        <v>1649</v>
      </c>
      <c r="B10" s="218" t="s">
        <v>1650</v>
      </c>
      <c r="C10" s="213">
        <v>1</v>
      </c>
      <c r="D10" s="213" t="s">
        <v>1412</v>
      </c>
      <c r="E10" s="217">
        <f>호표!F39</f>
        <v>0</v>
      </c>
      <c r="F10" s="217">
        <f>호표!H39</f>
        <v>0</v>
      </c>
      <c r="G10" s="217">
        <f>호표!J39</f>
        <v>0</v>
      </c>
      <c r="H10" s="217">
        <f t="shared" si="0"/>
        <v>0</v>
      </c>
      <c r="I10" s="215" t="s">
        <v>1651</v>
      </c>
      <c r="J10" s="209" t="s">
        <v>68</v>
      </c>
      <c r="K10" s="209" t="s">
        <v>1652</v>
      </c>
      <c r="L10" s="209" t="s">
        <v>1129</v>
      </c>
      <c r="T10" s="217">
        <v>0</v>
      </c>
      <c r="U10" s="217">
        <v>17332</v>
      </c>
      <c r="V10" s="217">
        <v>346</v>
      </c>
      <c r="W10" s="217">
        <v>17678</v>
      </c>
      <c r="Y10" s="212" t="b">
        <f t="shared" si="1"/>
        <v>0</v>
      </c>
      <c r="AA10" s="230" t="str">
        <f>HYPERLINK("#일위대가_호표!A39","P1-2-5/1 →")</f>
        <v>P1-2-5/1 →</v>
      </c>
    </row>
    <row r="11" spans="1:27" ht="24" customHeight="1">
      <c r="A11" s="218" t="s">
        <v>1653</v>
      </c>
      <c r="B11" s="218" t="s">
        <v>68</v>
      </c>
      <c r="C11" s="213">
        <v>1</v>
      </c>
      <c r="D11" s="213" t="s">
        <v>1033</v>
      </c>
      <c r="E11" s="217">
        <f>호표!F44</f>
        <v>0</v>
      </c>
      <c r="F11" s="217">
        <f>호표!H44</f>
        <v>0</v>
      </c>
      <c r="G11" s="217">
        <f>호표!J44</f>
        <v>0</v>
      </c>
      <c r="H11" s="217">
        <f t="shared" si="0"/>
        <v>0</v>
      </c>
      <c r="I11" s="215" t="s">
        <v>1654</v>
      </c>
      <c r="J11" s="209" t="s">
        <v>68</v>
      </c>
      <c r="K11" s="209" t="s">
        <v>1655</v>
      </c>
      <c r="L11" s="209" t="s">
        <v>1129</v>
      </c>
      <c r="T11" s="217">
        <v>18000</v>
      </c>
      <c r="U11" s="217">
        <v>17421</v>
      </c>
      <c r="V11" s="217">
        <v>522</v>
      </c>
      <c r="W11" s="217">
        <v>35943</v>
      </c>
      <c r="Y11" s="212" t="b">
        <f t="shared" si="1"/>
        <v>0</v>
      </c>
      <c r="AA11" s="230" t="str">
        <f>HYPERLINK("#일위대가_호표!A44","PPU1-3-4 →")</f>
        <v>PPU1-3-4 →</v>
      </c>
    </row>
    <row r="12" spans="1:27" ht="24" customHeight="1">
      <c r="A12" s="218" t="s">
        <v>1656</v>
      </c>
      <c r="B12" s="218" t="s">
        <v>1657</v>
      </c>
      <c r="C12" s="213">
        <v>1</v>
      </c>
      <c r="D12" s="213" t="s">
        <v>1033</v>
      </c>
      <c r="E12" s="217">
        <f>호표!F50</f>
        <v>0</v>
      </c>
      <c r="F12" s="217">
        <f>호표!H50</f>
        <v>0</v>
      </c>
      <c r="G12" s="217">
        <f>호표!J50</f>
        <v>0</v>
      </c>
      <c r="H12" s="217">
        <f t="shared" si="0"/>
        <v>0</v>
      </c>
      <c r="I12" s="215" t="s">
        <v>1658</v>
      </c>
      <c r="J12" s="209" t="s">
        <v>68</v>
      </c>
      <c r="K12" s="209" t="s">
        <v>1659</v>
      </c>
      <c r="L12" s="209" t="s">
        <v>1129</v>
      </c>
      <c r="T12" s="217">
        <v>12000</v>
      </c>
      <c r="U12" s="217">
        <v>22495</v>
      </c>
      <c r="V12" s="217">
        <v>449</v>
      </c>
      <c r="W12" s="217">
        <v>34944</v>
      </c>
      <c r="Y12" s="212" t="b">
        <f t="shared" si="1"/>
        <v>0</v>
      </c>
      <c r="AA12" s="230" t="str">
        <f>HYPERLINK("#일위대가_호표!A50","PPU1-3-2 →")</f>
        <v>PPU1-3-2 →</v>
      </c>
    </row>
    <row r="13" spans="1:27" ht="24" customHeight="1">
      <c r="A13" s="218" t="s">
        <v>1660</v>
      </c>
      <c r="B13" s="218" t="s">
        <v>1149</v>
      </c>
      <c r="C13" s="213">
        <v>1</v>
      </c>
      <c r="D13" s="213" t="s">
        <v>1094</v>
      </c>
      <c r="E13" s="217">
        <f>호표!F56</f>
        <v>0</v>
      </c>
      <c r="F13" s="217">
        <f>호표!H56</f>
        <v>0</v>
      </c>
      <c r="G13" s="217">
        <f>호표!J56</f>
        <v>0</v>
      </c>
      <c r="H13" s="217">
        <f t="shared" si="0"/>
        <v>0</v>
      </c>
      <c r="I13" s="215" t="s">
        <v>1661</v>
      </c>
      <c r="J13" s="209" t="s">
        <v>68</v>
      </c>
      <c r="K13" s="209" t="s">
        <v>1150</v>
      </c>
      <c r="L13" s="209" t="s">
        <v>1129</v>
      </c>
      <c r="T13" s="217">
        <v>0</v>
      </c>
      <c r="U13" s="217">
        <v>457434</v>
      </c>
      <c r="V13" s="217">
        <v>0</v>
      </c>
      <c r="W13" s="217">
        <v>457434</v>
      </c>
      <c r="Y13" s="212" t="b">
        <f t="shared" si="1"/>
        <v>0</v>
      </c>
      <c r="AA13" s="230" t="str">
        <f>HYPERLINK("#일위대가_호표!A56","T1-1-1/1 →")</f>
        <v>T1-1-1/1 →</v>
      </c>
    </row>
    <row r="14" spans="1:27" ht="24" customHeight="1">
      <c r="A14" s="218" t="s">
        <v>1662</v>
      </c>
      <c r="B14" s="218" t="s">
        <v>433</v>
      </c>
      <c r="C14" s="213">
        <v>1</v>
      </c>
      <c r="D14" s="213" t="s">
        <v>9</v>
      </c>
      <c r="E14" s="217">
        <f>호표!F59</f>
        <v>0</v>
      </c>
      <c r="F14" s="217">
        <f>호표!H59</f>
        <v>0</v>
      </c>
      <c r="G14" s="217">
        <f>호표!J59</f>
        <v>0</v>
      </c>
      <c r="H14" s="217">
        <f t="shared" si="0"/>
        <v>0</v>
      </c>
      <c r="I14" s="215" t="s">
        <v>68</v>
      </c>
      <c r="J14" s="209" t="s">
        <v>68</v>
      </c>
      <c r="K14" s="209" t="s">
        <v>1151</v>
      </c>
      <c r="L14" s="209" t="s">
        <v>1129</v>
      </c>
      <c r="T14" s="217">
        <v>0</v>
      </c>
      <c r="U14" s="217">
        <v>1822</v>
      </c>
      <c r="V14" s="217">
        <v>0</v>
      </c>
      <c r="W14" s="217">
        <v>1822</v>
      </c>
      <c r="Y14" s="212" t="b">
        <f t="shared" si="1"/>
        <v>0</v>
      </c>
      <c r="AA14" s="230" t="str">
        <f>HYPERLINK("#일위대가_호표!A59","_0011 →")</f>
        <v>_0011 →</v>
      </c>
    </row>
    <row r="15" spans="1:27" ht="24" customHeight="1">
      <c r="A15" s="218" t="s">
        <v>1663</v>
      </c>
      <c r="B15" s="218" t="s">
        <v>383</v>
      </c>
      <c r="C15" s="213">
        <v>1</v>
      </c>
      <c r="D15" s="213" t="s">
        <v>378</v>
      </c>
      <c r="E15" s="217">
        <f>호표!F62</f>
        <v>0</v>
      </c>
      <c r="F15" s="217">
        <f>호표!H62</f>
        <v>0</v>
      </c>
      <c r="G15" s="217">
        <f>호표!J62</f>
        <v>0</v>
      </c>
      <c r="H15" s="217">
        <f t="shared" si="0"/>
        <v>0</v>
      </c>
      <c r="I15" s="215" t="s">
        <v>68</v>
      </c>
      <c r="J15" s="209" t="s">
        <v>68</v>
      </c>
      <c r="K15" s="209" t="s">
        <v>1152</v>
      </c>
      <c r="L15" s="209" t="s">
        <v>1129</v>
      </c>
      <c r="T15" s="217">
        <v>0</v>
      </c>
      <c r="U15" s="217">
        <v>57196</v>
      </c>
      <c r="V15" s="217">
        <v>0</v>
      </c>
      <c r="W15" s="217">
        <v>57196</v>
      </c>
      <c r="Y15" s="212" t="b">
        <f t="shared" si="1"/>
        <v>0</v>
      </c>
      <c r="AA15" s="230" t="str">
        <f>HYPERLINK("#일위대가_호표!A62","_0012 →")</f>
        <v>_0012 →</v>
      </c>
    </row>
    <row r="16" spans="1:27" ht="24" customHeight="1">
      <c r="A16" s="218" t="s">
        <v>1664</v>
      </c>
      <c r="B16" s="218" t="s">
        <v>413</v>
      </c>
      <c r="C16" s="213">
        <v>1</v>
      </c>
      <c r="D16" s="213" t="s">
        <v>378</v>
      </c>
      <c r="E16" s="217">
        <f>호표!F65</f>
        <v>0</v>
      </c>
      <c r="F16" s="217">
        <f>호표!H65</f>
        <v>0</v>
      </c>
      <c r="G16" s="217">
        <f>호표!J65</f>
        <v>0</v>
      </c>
      <c r="H16" s="217">
        <f t="shared" si="0"/>
        <v>0</v>
      </c>
      <c r="I16" s="215" t="s">
        <v>68</v>
      </c>
      <c r="J16" s="209" t="s">
        <v>68</v>
      </c>
      <c r="K16" s="209" t="s">
        <v>1153</v>
      </c>
      <c r="L16" s="209" t="s">
        <v>1129</v>
      </c>
      <c r="T16" s="217">
        <v>0</v>
      </c>
      <c r="U16" s="217">
        <v>48698</v>
      </c>
      <c r="V16" s="217">
        <v>0</v>
      </c>
      <c r="W16" s="217">
        <v>48698</v>
      </c>
      <c r="Y16" s="212" t="b">
        <f t="shared" si="1"/>
        <v>0</v>
      </c>
      <c r="AA16" s="230" t="str">
        <f>HYPERLINK("#일위대가_호표!A65","_0013 →")</f>
        <v>_0013 →</v>
      </c>
    </row>
    <row r="17" spans="1:27" ht="24" customHeight="1">
      <c r="A17" s="218" t="s">
        <v>1665</v>
      </c>
      <c r="B17" s="218" t="s">
        <v>1155</v>
      </c>
      <c r="C17" s="213">
        <v>1</v>
      </c>
      <c r="D17" s="213" t="s">
        <v>378</v>
      </c>
      <c r="E17" s="217">
        <f>호표!F68</f>
        <v>0</v>
      </c>
      <c r="F17" s="217">
        <f>호표!H68</f>
        <v>0</v>
      </c>
      <c r="G17" s="217">
        <f>호표!J68</f>
        <v>0</v>
      </c>
      <c r="H17" s="217">
        <f t="shared" si="0"/>
        <v>0</v>
      </c>
      <c r="I17" s="215" t="s">
        <v>68</v>
      </c>
      <c r="J17" s="209" t="s">
        <v>68</v>
      </c>
      <c r="K17" s="209" t="s">
        <v>1156</v>
      </c>
      <c r="L17" s="209" t="s">
        <v>1129</v>
      </c>
      <c r="T17" s="217">
        <v>0</v>
      </c>
      <c r="U17" s="217">
        <v>17943</v>
      </c>
      <c r="V17" s="217">
        <v>0</v>
      </c>
      <c r="W17" s="217">
        <v>17943</v>
      </c>
      <c r="Y17" s="212" t="b">
        <f t="shared" si="1"/>
        <v>0</v>
      </c>
      <c r="AA17" s="230" t="str">
        <f>HYPERLINK("#일위대가_호표!A68","_0014 →")</f>
        <v>_0014 →</v>
      </c>
    </row>
    <row r="18" spans="1:27" ht="24" customHeight="1">
      <c r="A18" s="218" t="s">
        <v>1666</v>
      </c>
      <c r="B18" s="218" t="s">
        <v>376</v>
      </c>
      <c r="C18" s="213">
        <v>1</v>
      </c>
      <c r="D18" s="213" t="s">
        <v>378</v>
      </c>
      <c r="E18" s="217">
        <f>호표!F71</f>
        <v>0</v>
      </c>
      <c r="F18" s="217">
        <f>호표!H71</f>
        <v>0</v>
      </c>
      <c r="G18" s="217">
        <f>호표!J71</f>
        <v>0</v>
      </c>
      <c r="H18" s="217">
        <f t="shared" si="0"/>
        <v>0</v>
      </c>
      <c r="I18" s="215" t="s">
        <v>68</v>
      </c>
      <c r="J18" s="209" t="s">
        <v>68</v>
      </c>
      <c r="K18" s="209" t="s">
        <v>1157</v>
      </c>
      <c r="L18" s="209" t="s">
        <v>1129</v>
      </c>
      <c r="T18" s="217">
        <v>0</v>
      </c>
      <c r="U18" s="217">
        <v>34401</v>
      </c>
      <c r="V18" s="217">
        <v>0</v>
      </c>
      <c r="W18" s="217">
        <v>34401</v>
      </c>
      <c r="Y18" s="212" t="b">
        <f t="shared" si="1"/>
        <v>0</v>
      </c>
      <c r="AA18" s="230" t="str">
        <f>HYPERLINK("#일위대가_호표!A71","_0015 →")</f>
        <v>_0015 →</v>
      </c>
    </row>
    <row r="19" spans="1:27" ht="24" customHeight="1">
      <c r="A19" s="218" t="s">
        <v>1667</v>
      </c>
      <c r="B19" s="218" t="s">
        <v>415</v>
      </c>
      <c r="C19" s="213">
        <v>1</v>
      </c>
      <c r="D19" s="213" t="s">
        <v>378</v>
      </c>
      <c r="E19" s="217">
        <f>호표!F74</f>
        <v>0</v>
      </c>
      <c r="F19" s="217">
        <f>호표!H74</f>
        <v>0</v>
      </c>
      <c r="G19" s="217">
        <f>호표!J74</f>
        <v>0</v>
      </c>
      <c r="H19" s="217">
        <f t="shared" si="0"/>
        <v>0</v>
      </c>
      <c r="I19" s="215" t="s">
        <v>68</v>
      </c>
      <c r="J19" s="209" t="s">
        <v>68</v>
      </c>
      <c r="K19" s="209" t="s">
        <v>1158</v>
      </c>
      <c r="L19" s="209" t="s">
        <v>1129</v>
      </c>
      <c r="T19" s="217">
        <v>0</v>
      </c>
      <c r="U19" s="217">
        <v>44186</v>
      </c>
      <c r="V19" s="217">
        <v>0</v>
      </c>
      <c r="W19" s="217">
        <v>44186</v>
      </c>
      <c r="Y19" s="212" t="b">
        <f t="shared" si="1"/>
        <v>0</v>
      </c>
      <c r="AA19" s="230" t="str">
        <f>HYPERLINK("#일위대가_호표!A74","_0016 →")</f>
        <v>_0016 →</v>
      </c>
    </row>
    <row r="20" spans="1:27" ht="24" customHeight="1">
      <c r="A20" s="218" t="s">
        <v>1668</v>
      </c>
      <c r="B20" s="218" t="s">
        <v>407</v>
      </c>
      <c r="C20" s="213">
        <v>1</v>
      </c>
      <c r="D20" s="213" t="s">
        <v>378</v>
      </c>
      <c r="E20" s="217">
        <f>호표!F77</f>
        <v>0</v>
      </c>
      <c r="F20" s="217">
        <f>호표!H77</f>
        <v>0</v>
      </c>
      <c r="G20" s="217">
        <f>호표!J77</f>
        <v>0</v>
      </c>
      <c r="H20" s="217">
        <f t="shared" si="0"/>
        <v>0</v>
      </c>
      <c r="I20" s="215" t="s">
        <v>68</v>
      </c>
      <c r="J20" s="209" t="s">
        <v>68</v>
      </c>
      <c r="K20" s="209" t="s">
        <v>1159</v>
      </c>
      <c r="L20" s="209" t="s">
        <v>1129</v>
      </c>
      <c r="T20" s="217">
        <v>0</v>
      </c>
      <c r="U20" s="217">
        <v>17943</v>
      </c>
      <c r="V20" s="217">
        <v>0</v>
      </c>
      <c r="W20" s="217">
        <v>17943</v>
      </c>
      <c r="Y20" s="212" t="b">
        <f t="shared" si="1"/>
        <v>0</v>
      </c>
      <c r="AA20" s="230" t="str">
        <f>HYPERLINK("#일위대가_호표!A77","_0017 →")</f>
        <v>_0017 →</v>
      </c>
    </row>
    <row r="21" spans="1:27" ht="24" customHeight="1">
      <c r="A21" s="218" t="s">
        <v>1669</v>
      </c>
      <c r="B21" s="218" t="s">
        <v>409</v>
      </c>
      <c r="C21" s="213">
        <v>1</v>
      </c>
      <c r="D21" s="213" t="s">
        <v>378</v>
      </c>
      <c r="E21" s="217">
        <f>호표!F80</f>
        <v>0</v>
      </c>
      <c r="F21" s="217">
        <f>호표!H80</f>
        <v>0</v>
      </c>
      <c r="G21" s="217">
        <f>호표!J80</f>
        <v>0</v>
      </c>
      <c r="H21" s="217">
        <f t="shared" si="0"/>
        <v>0</v>
      </c>
      <c r="I21" s="215" t="s">
        <v>68</v>
      </c>
      <c r="J21" s="209" t="s">
        <v>68</v>
      </c>
      <c r="K21" s="209" t="s">
        <v>1160</v>
      </c>
      <c r="L21" s="209" t="s">
        <v>1129</v>
      </c>
      <c r="T21" s="217">
        <v>0</v>
      </c>
      <c r="U21" s="217">
        <v>17943</v>
      </c>
      <c r="V21" s="217">
        <v>0</v>
      </c>
      <c r="W21" s="217">
        <v>17943</v>
      </c>
      <c r="Y21" s="212" t="b">
        <f t="shared" si="1"/>
        <v>0</v>
      </c>
      <c r="AA21" s="230" t="str">
        <f>HYPERLINK("#일위대가_호표!A80","_0018 →")</f>
        <v>_0018 →</v>
      </c>
    </row>
    <row r="22" spans="1:27" ht="24" customHeight="1">
      <c r="A22" s="218" t="s">
        <v>1670</v>
      </c>
      <c r="B22" s="218" t="s">
        <v>411</v>
      </c>
      <c r="C22" s="213">
        <v>1</v>
      </c>
      <c r="D22" s="213" t="s">
        <v>378</v>
      </c>
      <c r="E22" s="217">
        <f>호표!F83</f>
        <v>0</v>
      </c>
      <c r="F22" s="217">
        <f>호표!H83</f>
        <v>0</v>
      </c>
      <c r="G22" s="217">
        <f>호표!J83</f>
        <v>0</v>
      </c>
      <c r="H22" s="217">
        <f t="shared" si="0"/>
        <v>0</v>
      </c>
      <c r="I22" s="215" t="s">
        <v>68</v>
      </c>
      <c r="J22" s="209" t="s">
        <v>68</v>
      </c>
      <c r="K22" s="209" t="s">
        <v>1161</v>
      </c>
      <c r="L22" s="209" t="s">
        <v>1129</v>
      </c>
      <c r="T22" s="217">
        <v>0</v>
      </c>
      <c r="U22" s="217">
        <v>24365</v>
      </c>
      <c r="V22" s="217">
        <v>0</v>
      </c>
      <c r="W22" s="217">
        <v>24365</v>
      </c>
      <c r="Y22" s="212" t="b">
        <f t="shared" si="1"/>
        <v>0</v>
      </c>
      <c r="AA22" s="230" t="str">
        <f>HYPERLINK("#일위대가_호표!A83","_0019 →")</f>
        <v>_0019 →</v>
      </c>
    </row>
    <row r="23" spans="1:27" ht="24" customHeight="1">
      <c r="A23" s="218" t="s">
        <v>1671</v>
      </c>
      <c r="B23" s="218" t="s">
        <v>419</v>
      </c>
      <c r="C23" s="213">
        <v>1</v>
      </c>
      <c r="D23" s="213" t="s">
        <v>378</v>
      </c>
      <c r="E23" s="217">
        <f>호표!F86</f>
        <v>0</v>
      </c>
      <c r="F23" s="217">
        <f>호표!H86</f>
        <v>0</v>
      </c>
      <c r="G23" s="217">
        <f>호표!J86</f>
        <v>0</v>
      </c>
      <c r="H23" s="217">
        <f t="shared" si="0"/>
        <v>0</v>
      </c>
      <c r="I23" s="215" t="s">
        <v>68</v>
      </c>
      <c r="J23" s="209" t="s">
        <v>68</v>
      </c>
      <c r="K23" s="209" t="s">
        <v>1162</v>
      </c>
      <c r="L23" s="209" t="s">
        <v>1129</v>
      </c>
      <c r="T23" s="217">
        <v>0</v>
      </c>
      <c r="U23" s="217">
        <v>34401</v>
      </c>
      <c r="V23" s="217">
        <v>0</v>
      </c>
      <c r="W23" s="217">
        <v>34401</v>
      </c>
      <c r="Y23" s="212" t="b">
        <f t="shared" si="1"/>
        <v>0</v>
      </c>
      <c r="AA23" s="230" t="str">
        <f>HYPERLINK("#일위대가_호표!A86","_0020 →")</f>
        <v>_0020 →</v>
      </c>
    </row>
    <row r="24" spans="1:27" ht="24" customHeight="1">
      <c r="A24" s="218" t="s">
        <v>1672</v>
      </c>
      <c r="B24" s="218" t="s">
        <v>423</v>
      </c>
      <c r="C24" s="213">
        <v>1</v>
      </c>
      <c r="D24" s="213" t="s">
        <v>378</v>
      </c>
      <c r="E24" s="217">
        <f>호표!F89</f>
        <v>0</v>
      </c>
      <c r="F24" s="217">
        <f>호표!H89</f>
        <v>0</v>
      </c>
      <c r="G24" s="217">
        <f>호표!J89</f>
        <v>0</v>
      </c>
      <c r="H24" s="217">
        <f t="shared" si="0"/>
        <v>0</v>
      </c>
      <c r="I24" s="215" t="s">
        <v>68</v>
      </c>
      <c r="J24" s="209" t="s">
        <v>68</v>
      </c>
      <c r="K24" s="209" t="s">
        <v>1163</v>
      </c>
      <c r="L24" s="209" t="s">
        <v>1129</v>
      </c>
      <c r="T24" s="217">
        <v>0</v>
      </c>
      <c r="U24" s="217">
        <v>24365</v>
      </c>
      <c r="V24" s="217">
        <v>0</v>
      </c>
      <c r="W24" s="217">
        <v>24365</v>
      </c>
      <c r="Y24" s="212" t="b">
        <f t="shared" si="1"/>
        <v>0</v>
      </c>
      <c r="AA24" s="230" t="str">
        <f>HYPERLINK("#일위대가_호표!A89","_0021 →")</f>
        <v>_0021 →</v>
      </c>
    </row>
    <row r="25" spans="1:27" ht="24" customHeight="1">
      <c r="A25" s="218" t="s">
        <v>1673</v>
      </c>
      <c r="B25" s="218" t="s">
        <v>389</v>
      </c>
      <c r="C25" s="213">
        <v>1</v>
      </c>
      <c r="D25" s="213" t="s">
        <v>9</v>
      </c>
      <c r="E25" s="217">
        <f>호표!F92</f>
        <v>0</v>
      </c>
      <c r="F25" s="217">
        <f>호표!H92</f>
        <v>0</v>
      </c>
      <c r="G25" s="217">
        <f>호표!J92</f>
        <v>0</v>
      </c>
      <c r="H25" s="217">
        <f t="shared" si="0"/>
        <v>0</v>
      </c>
      <c r="I25" s="215" t="s">
        <v>68</v>
      </c>
      <c r="J25" s="209" t="s">
        <v>68</v>
      </c>
      <c r="K25" s="209" t="s">
        <v>1164</v>
      </c>
      <c r="L25" s="209" t="s">
        <v>1129</v>
      </c>
      <c r="T25" s="217">
        <v>0</v>
      </c>
      <c r="U25" s="217">
        <v>17079</v>
      </c>
      <c r="V25" s="217">
        <v>0</v>
      </c>
      <c r="W25" s="217">
        <v>17079</v>
      </c>
      <c r="Y25" s="212" t="b">
        <f t="shared" si="1"/>
        <v>0</v>
      </c>
      <c r="AA25" s="230" t="str">
        <f>HYPERLINK("#일위대가_호표!A92","_0022 →")</f>
        <v>_0022 →</v>
      </c>
    </row>
    <row r="26" spans="1:27" ht="24" customHeight="1">
      <c r="A26" s="218" t="s">
        <v>1674</v>
      </c>
      <c r="B26" s="218" t="s">
        <v>395</v>
      </c>
      <c r="C26" s="213">
        <v>1</v>
      </c>
      <c r="D26" s="213" t="s">
        <v>16</v>
      </c>
      <c r="E26" s="217">
        <f>호표!F95</f>
        <v>0</v>
      </c>
      <c r="F26" s="217">
        <f>호표!H95</f>
        <v>0</v>
      </c>
      <c r="G26" s="217">
        <f>호표!J95</f>
        <v>0</v>
      </c>
      <c r="H26" s="217">
        <f t="shared" si="0"/>
        <v>0</v>
      </c>
      <c r="I26" s="215" t="s">
        <v>68</v>
      </c>
      <c r="J26" s="209" t="s">
        <v>68</v>
      </c>
      <c r="K26" s="209" t="s">
        <v>1165</v>
      </c>
      <c r="L26" s="209" t="s">
        <v>1129</v>
      </c>
      <c r="T26" s="217">
        <v>0</v>
      </c>
      <c r="U26" s="217">
        <v>2106000</v>
      </c>
      <c r="V26" s="217">
        <v>0</v>
      </c>
      <c r="W26" s="217">
        <v>2106000</v>
      </c>
      <c r="Y26" s="212" t="b">
        <f t="shared" si="1"/>
        <v>0</v>
      </c>
      <c r="AA26" s="230" t="str">
        <f>HYPERLINK("#일위대가_호표!A95","_0023 →")</f>
        <v>_0023 →</v>
      </c>
    </row>
    <row r="27" spans="1:27" ht="24" customHeight="1">
      <c r="A27" s="218" t="s">
        <v>1675</v>
      </c>
      <c r="B27" s="218" t="s">
        <v>1166</v>
      </c>
      <c r="C27" s="213">
        <v>1</v>
      </c>
      <c r="D27" s="213" t="s">
        <v>9</v>
      </c>
      <c r="E27" s="217">
        <f>호표!F98</f>
        <v>0</v>
      </c>
      <c r="F27" s="217">
        <f>호표!H98</f>
        <v>0</v>
      </c>
      <c r="G27" s="217">
        <f>호표!J98</f>
        <v>0</v>
      </c>
      <c r="H27" s="217">
        <f t="shared" si="0"/>
        <v>0</v>
      </c>
      <c r="I27" s="215" t="s">
        <v>1676</v>
      </c>
      <c r="J27" s="209" t="s">
        <v>68</v>
      </c>
      <c r="K27" s="209" t="s">
        <v>1167</v>
      </c>
      <c r="L27" s="209" t="s">
        <v>1129</v>
      </c>
      <c r="T27" s="217">
        <v>0</v>
      </c>
      <c r="U27" s="217">
        <v>15036</v>
      </c>
      <c r="V27" s="217">
        <v>902</v>
      </c>
      <c r="W27" s="217">
        <v>15938</v>
      </c>
      <c r="Y27" s="212" t="b">
        <f t="shared" si="1"/>
        <v>0</v>
      </c>
      <c r="AA27" s="230" t="str">
        <f>HYPERLINK("#일위대가_호표!A98","_0024 →")</f>
        <v>_0024 →</v>
      </c>
    </row>
    <row r="28" spans="1:27" ht="24" customHeight="1">
      <c r="A28" s="218" t="s">
        <v>1677</v>
      </c>
      <c r="B28" s="218" t="s">
        <v>1169</v>
      </c>
      <c r="C28" s="213">
        <v>1</v>
      </c>
      <c r="D28" s="213" t="s">
        <v>15</v>
      </c>
      <c r="E28" s="217">
        <f>호표!F103</f>
        <v>0</v>
      </c>
      <c r="F28" s="217">
        <f>호표!H103</f>
        <v>0</v>
      </c>
      <c r="G28" s="217">
        <f>호표!J103</f>
        <v>0</v>
      </c>
      <c r="H28" s="217">
        <f t="shared" si="0"/>
        <v>0</v>
      </c>
      <c r="I28" s="215" t="s">
        <v>1678</v>
      </c>
      <c r="J28" s="209" t="s">
        <v>68</v>
      </c>
      <c r="K28" s="209" t="s">
        <v>1170</v>
      </c>
      <c r="L28" s="209" t="s">
        <v>1129</v>
      </c>
      <c r="T28" s="217">
        <v>0</v>
      </c>
      <c r="U28" s="217">
        <v>147346</v>
      </c>
      <c r="V28" s="217">
        <v>2946</v>
      </c>
      <c r="W28" s="217">
        <v>150292</v>
      </c>
      <c r="Y28" s="212" t="b">
        <f t="shared" si="1"/>
        <v>0</v>
      </c>
      <c r="AA28" s="230" t="str">
        <f>HYPERLINK("#일위대가_호표!A103","_0025 →")</f>
        <v>_0025 →</v>
      </c>
    </row>
    <row r="29" spans="1:27" ht="24" customHeight="1">
      <c r="A29" s="218" t="s">
        <v>1679</v>
      </c>
      <c r="B29" s="218" t="s">
        <v>1172</v>
      </c>
      <c r="C29" s="213">
        <v>1</v>
      </c>
      <c r="D29" s="213" t="s">
        <v>16</v>
      </c>
      <c r="E29" s="217">
        <f>호표!F108</f>
        <v>0</v>
      </c>
      <c r="F29" s="217">
        <f>호표!H108</f>
        <v>0</v>
      </c>
      <c r="G29" s="217">
        <f>호표!J108</f>
        <v>6420</v>
      </c>
      <c r="H29" s="217">
        <f t="shared" si="0"/>
        <v>6420</v>
      </c>
      <c r="I29" s="215" t="s">
        <v>68</v>
      </c>
      <c r="J29" s="209" t="s">
        <v>68</v>
      </c>
      <c r="K29" s="209" t="s">
        <v>1174</v>
      </c>
      <c r="L29" s="209" t="s">
        <v>1129</v>
      </c>
      <c r="T29" s="217">
        <v>0</v>
      </c>
      <c r="U29" s="217">
        <v>0</v>
      </c>
      <c r="V29" s="217">
        <v>6420</v>
      </c>
      <c r="W29" s="217">
        <v>6420</v>
      </c>
      <c r="Y29" s="212" t="b">
        <f t="shared" si="1"/>
        <v>1</v>
      </c>
      <c r="AA29" s="230" t="str">
        <f>HYPERLINK("#일위대가_호표!A108","ZZ64 →")</f>
        <v>ZZ64 →</v>
      </c>
    </row>
    <row r="30" spans="1:27" ht="24" customHeight="1">
      <c r="A30" s="218" t="s">
        <v>1680</v>
      </c>
      <c r="B30" s="218" t="s">
        <v>1177</v>
      </c>
      <c r="C30" s="213">
        <v>1</v>
      </c>
      <c r="D30" s="213" t="s">
        <v>9</v>
      </c>
      <c r="E30" s="217">
        <f>호표!F111</f>
        <v>0</v>
      </c>
      <c r="F30" s="217">
        <f>호표!H111</f>
        <v>0</v>
      </c>
      <c r="G30" s="217">
        <f>호표!J111</f>
        <v>0</v>
      </c>
      <c r="H30" s="217">
        <f t="shared" si="0"/>
        <v>0</v>
      </c>
      <c r="I30" s="215" t="s">
        <v>1640</v>
      </c>
      <c r="J30" s="209" t="s">
        <v>68</v>
      </c>
      <c r="K30" s="209" t="s">
        <v>1178</v>
      </c>
      <c r="L30" s="209" t="s">
        <v>1129</v>
      </c>
      <c r="T30" s="217">
        <v>444</v>
      </c>
      <c r="U30" s="217">
        <v>2803</v>
      </c>
      <c r="V30" s="217">
        <v>0</v>
      </c>
      <c r="W30" s="217">
        <v>3247</v>
      </c>
      <c r="Y30" s="212" t="b">
        <f t="shared" si="1"/>
        <v>0</v>
      </c>
      <c r="AA30" s="230" t="str">
        <f>HYPERLINK("#일위대가_호표!A111","_0026 →")</f>
        <v>_0026 →</v>
      </c>
    </row>
    <row r="31" spans="1:27" ht="24" customHeight="1">
      <c r="A31" s="218" t="s">
        <v>1681</v>
      </c>
      <c r="B31" s="218" t="s">
        <v>1180</v>
      </c>
      <c r="C31" s="213">
        <v>1</v>
      </c>
      <c r="D31" s="213" t="s">
        <v>378</v>
      </c>
      <c r="E31" s="217">
        <f>호표!F116</f>
        <v>0</v>
      </c>
      <c r="F31" s="217">
        <f>호표!H116</f>
        <v>0</v>
      </c>
      <c r="G31" s="217">
        <f>호표!J116</f>
        <v>0</v>
      </c>
      <c r="H31" s="217">
        <f t="shared" si="0"/>
        <v>0</v>
      </c>
      <c r="I31" s="215" t="s">
        <v>1682</v>
      </c>
      <c r="J31" s="209" t="s">
        <v>68</v>
      </c>
      <c r="K31" s="209" t="s">
        <v>1181</v>
      </c>
      <c r="L31" s="209" t="s">
        <v>1129</v>
      </c>
      <c r="T31" s="217">
        <v>602665</v>
      </c>
      <c r="U31" s="217">
        <v>88847</v>
      </c>
      <c r="V31" s="217">
        <v>0</v>
      </c>
      <c r="W31" s="217">
        <v>691512</v>
      </c>
      <c r="Y31" s="212" t="b">
        <f t="shared" si="1"/>
        <v>0</v>
      </c>
      <c r="AA31" s="230" t="str">
        <f>HYPERLINK("#일위대가_호표!A116","_0027 →")</f>
        <v>_0027 →</v>
      </c>
    </row>
    <row r="32" spans="1:27" ht="24" customHeight="1">
      <c r="A32" s="218" t="s">
        <v>1683</v>
      </c>
      <c r="B32" s="218" t="s">
        <v>1183</v>
      </c>
      <c r="C32" s="213">
        <v>1</v>
      </c>
      <c r="D32" s="213" t="s">
        <v>437</v>
      </c>
      <c r="E32" s="217">
        <f>호표!F122</f>
        <v>0</v>
      </c>
      <c r="F32" s="217">
        <f>호표!H122</f>
        <v>0</v>
      </c>
      <c r="G32" s="217">
        <f>호표!J122</f>
        <v>0</v>
      </c>
      <c r="H32" s="217">
        <f t="shared" si="0"/>
        <v>0</v>
      </c>
      <c r="I32" s="215" t="s">
        <v>68</v>
      </c>
      <c r="J32" s="209" t="s">
        <v>68</v>
      </c>
      <c r="K32" s="209" t="s">
        <v>1184</v>
      </c>
      <c r="L32" s="209" t="s">
        <v>1129</v>
      </c>
      <c r="T32" s="217">
        <v>3500000</v>
      </c>
      <c r="U32" s="217">
        <v>0</v>
      </c>
      <c r="V32" s="217">
        <v>0</v>
      </c>
      <c r="W32" s="217">
        <v>3500000</v>
      </c>
      <c r="Y32" s="212" t="b">
        <f t="shared" si="1"/>
        <v>0</v>
      </c>
      <c r="AA32" s="230" t="str">
        <f>HYPERLINK("#일위대가_호표!A122","_0030 →")</f>
        <v>_0030 →</v>
      </c>
    </row>
    <row r="33" spans="1:27" ht="24" customHeight="1">
      <c r="A33" s="218" t="s">
        <v>1684</v>
      </c>
      <c r="B33" s="218" t="s">
        <v>1186</v>
      </c>
      <c r="C33" s="213">
        <v>1</v>
      </c>
      <c r="D33" s="213" t="s">
        <v>437</v>
      </c>
      <c r="E33" s="217">
        <f>호표!F125</f>
        <v>0</v>
      </c>
      <c r="F33" s="217">
        <f>호표!H125</f>
        <v>0</v>
      </c>
      <c r="G33" s="217">
        <f>호표!J125</f>
        <v>0</v>
      </c>
      <c r="H33" s="217">
        <f t="shared" si="0"/>
        <v>0</v>
      </c>
      <c r="I33" s="215" t="s">
        <v>1685</v>
      </c>
      <c r="J33" s="209" t="s">
        <v>68</v>
      </c>
      <c r="K33" s="209" t="s">
        <v>1187</v>
      </c>
      <c r="L33" s="209" t="s">
        <v>1129</v>
      </c>
      <c r="T33" s="217">
        <v>1269138</v>
      </c>
      <c r="U33" s="217">
        <v>204916</v>
      </c>
      <c r="V33" s="217">
        <v>2530</v>
      </c>
      <c r="W33" s="217">
        <v>1476584</v>
      </c>
      <c r="Y33" s="212" t="b">
        <f t="shared" si="1"/>
        <v>0</v>
      </c>
      <c r="AA33" s="230" t="str">
        <f>HYPERLINK("#일위대가_호표!A125","_0031 →")</f>
        <v>_0031 →</v>
      </c>
    </row>
    <row r="34" spans="1:27" ht="24" customHeight="1">
      <c r="A34" s="218" t="s">
        <v>1686</v>
      </c>
      <c r="B34" s="218" t="s">
        <v>1188</v>
      </c>
      <c r="C34" s="213">
        <v>1</v>
      </c>
      <c r="D34" s="213" t="s">
        <v>437</v>
      </c>
      <c r="E34" s="217">
        <f>호표!F133</f>
        <v>0</v>
      </c>
      <c r="F34" s="217">
        <f>호표!H133</f>
        <v>0</v>
      </c>
      <c r="G34" s="217">
        <f>호표!J133</f>
        <v>0</v>
      </c>
      <c r="H34" s="217">
        <f t="shared" si="0"/>
        <v>0</v>
      </c>
      <c r="I34" s="215" t="s">
        <v>443</v>
      </c>
      <c r="J34" s="209" t="s">
        <v>68</v>
      </c>
      <c r="K34" s="209" t="s">
        <v>1189</v>
      </c>
      <c r="L34" s="209" t="s">
        <v>1129</v>
      </c>
      <c r="T34" s="217">
        <v>1830916</v>
      </c>
      <c r="U34" s="217">
        <v>289758</v>
      </c>
      <c r="V34" s="217">
        <v>2530</v>
      </c>
      <c r="W34" s="217">
        <v>2123204</v>
      </c>
      <c r="Y34" s="212" t="b">
        <f t="shared" si="1"/>
        <v>0</v>
      </c>
      <c r="AA34" s="230" t="str">
        <f>HYPERLINK("#일위대가_호표!A133","_0032 →")</f>
        <v>_0032 →</v>
      </c>
    </row>
    <row r="35" spans="1:27" ht="24" customHeight="1">
      <c r="A35" s="218" t="s">
        <v>1687</v>
      </c>
      <c r="B35" s="218" t="s">
        <v>1191</v>
      </c>
      <c r="C35" s="213">
        <v>1</v>
      </c>
      <c r="D35" s="213" t="s">
        <v>437</v>
      </c>
      <c r="E35" s="217">
        <f>호표!F141</f>
        <v>0</v>
      </c>
      <c r="F35" s="217">
        <f>호표!H141</f>
        <v>0</v>
      </c>
      <c r="G35" s="217">
        <f>호표!J141</f>
        <v>0</v>
      </c>
      <c r="H35" s="217">
        <f t="shared" si="0"/>
        <v>0</v>
      </c>
      <c r="I35" s="215" t="s">
        <v>444</v>
      </c>
      <c r="J35" s="209" t="s">
        <v>68</v>
      </c>
      <c r="K35" s="209" t="s">
        <v>1192</v>
      </c>
      <c r="L35" s="209" t="s">
        <v>1129</v>
      </c>
      <c r="T35" s="217">
        <v>3220275</v>
      </c>
      <c r="U35" s="217">
        <v>261446</v>
      </c>
      <c r="V35" s="217">
        <v>2530</v>
      </c>
      <c r="W35" s="217">
        <v>3484251</v>
      </c>
      <c r="Y35" s="212" t="b">
        <f t="shared" si="1"/>
        <v>0</v>
      </c>
      <c r="AA35" s="230" t="str">
        <f>HYPERLINK("#일위대가_호표!A141","_0033 →")</f>
        <v>_0033 →</v>
      </c>
    </row>
    <row r="36" spans="1:27" ht="24" customHeight="1">
      <c r="A36" s="218" t="s">
        <v>1688</v>
      </c>
      <c r="B36" s="218" t="s">
        <v>1193</v>
      </c>
      <c r="C36" s="213">
        <v>1</v>
      </c>
      <c r="D36" s="213" t="s">
        <v>437</v>
      </c>
      <c r="E36" s="217">
        <f>호표!F149</f>
        <v>0</v>
      </c>
      <c r="F36" s="217">
        <f>호표!H149</f>
        <v>0</v>
      </c>
      <c r="G36" s="217">
        <f>호표!J149</f>
        <v>0</v>
      </c>
      <c r="H36" s="217">
        <f t="shared" si="0"/>
        <v>0</v>
      </c>
      <c r="I36" s="215" t="s">
        <v>445</v>
      </c>
      <c r="J36" s="209" t="s">
        <v>68</v>
      </c>
      <c r="K36" s="209" t="s">
        <v>1194</v>
      </c>
      <c r="L36" s="209" t="s">
        <v>1129</v>
      </c>
      <c r="T36" s="217">
        <v>3218960</v>
      </c>
      <c r="U36" s="217">
        <v>261000</v>
      </c>
      <c r="V36" s="217">
        <v>2530</v>
      </c>
      <c r="W36" s="217">
        <v>3482490</v>
      </c>
      <c r="Y36" s="212" t="b">
        <f t="shared" si="1"/>
        <v>0</v>
      </c>
      <c r="AA36" s="230" t="str">
        <f>HYPERLINK("#일위대가_호표!A149","_0034 →")</f>
        <v>_0034 →</v>
      </c>
    </row>
    <row r="37" spans="1:27" ht="24" customHeight="1">
      <c r="A37" s="218" t="s">
        <v>1689</v>
      </c>
      <c r="B37" s="218" t="s">
        <v>1195</v>
      </c>
      <c r="C37" s="213">
        <v>1</v>
      </c>
      <c r="D37" s="213" t="s">
        <v>437</v>
      </c>
      <c r="E37" s="217">
        <f>호표!F157</f>
        <v>0</v>
      </c>
      <c r="F37" s="217">
        <f>호표!H157</f>
        <v>0</v>
      </c>
      <c r="G37" s="217">
        <f>호표!J157</f>
        <v>0</v>
      </c>
      <c r="H37" s="217">
        <f t="shared" si="0"/>
        <v>0</v>
      </c>
      <c r="I37" s="215" t="s">
        <v>446</v>
      </c>
      <c r="J37" s="209" t="s">
        <v>68</v>
      </c>
      <c r="K37" s="209" t="s">
        <v>1196</v>
      </c>
      <c r="L37" s="209" t="s">
        <v>1129</v>
      </c>
      <c r="T37" s="217">
        <v>3216329</v>
      </c>
      <c r="U37" s="217">
        <v>260105</v>
      </c>
      <c r="V37" s="217">
        <v>2530</v>
      </c>
      <c r="W37" s="217">
        <v>3478964</v>
      </c>
      <c r="Y37" s="212" t="b">
        <f t="shared" si="1"/>
        <v>0</v>
      </c>
      <c r="AA37" s="230" t="str">
        <f>HYPERLINK("#일위대가_호표!A157","_0035 →")</f>
        <v>_0035 →</v>
      </c>
    </row>
    <row r="38" spans="1:27" ht="24" customHeight="1">
      <c r="A38" s="218" t="s">
        <v>1690</v>
      </c>
      <c r="B38" s="218" t="s">
        <v>1197</v>
      </c>
      <c r="C38" s="213">
        <v>1</v>
      </c>
      <c r="D38" s="213" t="s">
        <v>437</v>
      </c>
      <c r="E38" s="217">
        <f>호표!F165</f>
        <v>0</v>
      </c>
      <c r="F38" s="217">
        <f>호표!H165</f>
        <v>0</v>
      </c>
      <c r="G38" s="217">
        <f>호표!J165</f>
        <v>0</v>
      </c>
      <c r="H38" s="217">
        <f t="shared" si="0"/>
        <v>0</v>
      </c>
      <c r="I38" s="215" t="s">
        <v>447</v>
      </c>
      <c r="J38" s="209" t="s">
        <v>68</v>
      </c>
      <c r="K38" s="209" t="s">
        <v>1198</v>
      </c>
      <c r="L38" s="209" t="s">
        <v>1129</v>
      </c>
      <c r="T38" s="217">
        <v>1656943</v>
      </c>
      <c r="U38" s="217">
        <v>258404</v>
      </c>
      <c r="V38" s="217">
        <v>2530</v>
      </c>
      <c r="W38" s="217">
        <v>1917877</v>
      </c>
      <c r="Y38" s="212" t="b">
        <f t="shared" si="1"/>
        <v>0</v>
      </c>
      <c r="AA38" s="230" t="str">
        <f>HYPERLINK("#일위대가_호표!A165","_0036 →")</f>
        <v>_0036 →</v>
      </c>
    </row>
    <row r="39" spans="1:27" ht="24" customHeight="1">
      <c r="A39" s="218" t="s">
        <v>1691</v>
      </c>
      <c r="B39" s="218" t="s">
        <v>1200</v>
      </c>
      <c r="C39" s="213">
        <v>1</v>
      </c>
      <c r="D39" s="213" t="s">
        <v>437</v>
      </c>
      <c r="E39" s="217">
        <f>호표!F173</f>
        <v>0</v>
      </c>
      <c r="F39" s="217">
        <f>호표!H173</f>
        <v>0</v>
      </c>
      <c r="G39" s="217">
        <f>호표!J173</f>
        <v>0</v>
      </c>
      <c r="H39" s="217">
        <f t="shared" si="0"/>
        <v>0</v>
      </c>
      <c r="I39" s="215" t="s">
        <v>1692</v>
      </c>
      <c r="J39" s="209" t="s">
        <v>68</v>
      </c>
      <c r="K39" s="209" t="s">
        <v>1201</v>
      </c>
      <c r="L39" s="209" t="s">
        <v>1129</v>
      </c>
      <c r="T39" s="217">
        <v>2543614</v>
      </c>
      <c r="U39" s="217">
        <v>210677</v>
      </c>
      <c r="V39" s="217">
        <v>1624</v>
      </c>
      <c r="W39" s="217">
        <v>2755915</v>
      </c>
      <c r="Y39" s="212" t="b">
        <f t="shared" si="1"/>
        <v>0</v>
      </c>
      <c r="AA39" s="230" t="str">
        <f>HYPERLINK("#일위대가_호표!A173","_0037 →")</f>
        <v>_0037 →</v>
      </c>
    </row>
    <row r="40" spans="1:27" ht="24" customHeight="1">
      <c r="A40" s="218" t="s">
        <v>1693</v>
      </c>
      <c r="B40" s="218" t="s">
        <v>1203</v>
      </c>
      <c r="C40" s="213">
        <v>1</v>
      </c>
      <c r="D40" s="213" t="s">
        <v>437</v>
      </c>
      <c r="E40" s="217">
        <f>호표!F181</f>
        <v>0</v>
      </c>
      <c r="F40" s="217">
        <f>호표!H181</f>
        <v>0</v>
      </c>
      <c r="G40" s="217">
        <f>호표!J181</f>
        <v>0</v>
      </c>
      <c r="H40" s="217">
        <f t="shared" si="0"/>
        <v>0</v>
      </c>
      <c r="I40" s="215" t="s">
        <v>1694</v>
      </c>
      <c r="J40" s="209" t="s">
        <v>68</v>
      </c>
      <c r="K40" s="209" t="s">
        <v>1204</v>
      </c>
      <c r="L40" s="209" t="s">
        <v>1129</v>
      </c>
      <c r="T40" s="217">
        <v>3141706</v>
      </c>
      <c r="U40" s="217">
        <v>215851</v>
      </c>
      <c r="V40" s="217">
        <v>1624</v>
      </c>
      <c r="W40" s="217">
        <v>3359181</v>
      </c>
      <c r="Y40" s="212" t="b">
        <f t="shared" si="1"/>
        <v>0</v>
      </c>
      <c r="AA40" s="230" t="str">
        <f>HYPERLINK("#일위대가_호표!A181","_0038 →")</f>
        <v>_0038 →</v>
      </c>
    </row>
    <row r="41" spans="1:27" ht="24" customHeight="1">
      <c r="A41" s="218" t="s">
        <v>1695</v>
      </c>
      <c r="B41" s="218" t="s">
        <v>1205</v>
      </c>
      <c r="C41" s="213">
        <v>1</v>
      </c>
      <c r="D41" s="213" t="s">
        <v>437</v>
      </c>
      <c r="E41" s="217">
        <f>호표!F189</f>
        <v>0</v>
      </c>
      <c r="F41" s="217">
        <f>호표!H189</f>
        <v>0</v>
      </c>
      <c r="G41" s="217">
        <f>호표!J189</f>
        <v>0</v>
      </c>
      <c r="H41" s="217">
        <f t="shared" si="0"/>
        <v>0</v>
      </c>
      <c r="I41" s="215" t="s">
        <v>460</v>
      </c>
      <c r="J41" s="209" t="s">
        <v>68</v>
      </c>
      <c r="K41" s="209" t="s">
        <v>1206</v>
      </c>
      <c r="L41" s="209" t="s">
        <v>1129</v>
      </c>
      <c r="T41" s="217">
        <v>366520</v>
      </c>
      <c r="U41" s="217">
        <v>142546</v>
      </c>
      <c r="V41" s="217">
        <v>1624</v>
      </c>
      <c r="W41" s="217">
        <v>510690</v>
      </c>
      <c r="Y41" s="212" t="b">
        <f t="shared" si="1"/>
        <v>0</v>
      </c>
      <c r="AA41" s="230" t="str">
        <f>HYPERLINK("#일위대가_호표!A189","_0039 →")</f>
        <v>_0039 →</v>
      </c>
    </row>
    <row r="42" spans="1:27" ht="24" customHeight="1">
      <c r="A42" s="218" t="s">
        <v>1696</v>
      </c>
      <c r="B42" s="218" t="s">
        <v>1207</v>
      </c>
      <c r="C42" s="213">
        <v>1</v>
      </c>
      <c r="D42" s="213" t="s">
        <v>437</v>
      </c>
      <c r="E42" s="217">
        <f>호표!F197</f>
        <v>0</v>
      </c>
      <c r="F42" s="217">
        <f>호표!H197</f>
        <v>0</v>
      </c>
      <c r="G42" s="217">
        <f>호표!J197</f>
        <v>0</v>
      </c>
      <c r="H42" s="217">
        <f t="shared" si="0"/>
        <v>0</v>
      </c>
      <c r="I42" s="215" t="s">
        <v>461</v>
      </c>
      <c r="J42" s="209" t="s">
        <v>68</v>
      </c>
      <c r="K42" s="209" t="s">
        <v>1208</v>
      </c>
      <c r="L42" s="209" t="s">
        <v>1129</v>
      </c>
      <c r="T42" s="217">
        <v>241374</v>
      </c>
      <c r="U42" s="217">
        <v>113832</v>
      </c>
      <c r="V42" s="217">
        <v>1624</v>
      </c>
      <c r="W42" s="217">
        <v>356830</v>
      </c>
      <c r="Y42" s="212" t="b">
        <f t="shared" si="1"/>
        <v>0</v>
      </c>
      <c r="AA42" s="230" t="str">
        <f>HYPERLINK("#일위대가_호표!A197","_0040 →")</f>
        <v>_0040 →</v>
      </c>
    </row>
    <row r="43" spans="1:27" ht="24" customHeight="1">
      <c r="A43" s="218" t="s">
        <v>1697</v>
      </c>
      <c r="B43" s="218" t="s">
        <v>1210</v>
      </c>
      <c r="C43" s="213">
        <v>1</v>
      </c>
      <c r="D43" s="213" t="s">
        <v>437</v>
      </c>
      <c r="E43" s="217">
        <f>호표!F205</f>
        <v>0</v>
      </c>
      <c r="F43" s="217">
        <f>호표!H205</f>
        <v>0</v>
      </c>
      <c r="G43" s="217">
        <f>호표!J205</f>
        <v>0</v>
      </c>
      <c r="H43" s="217">
        <f t="shared" si="0"/>
        <v>0</v>
      </c>
      <c r="I43" s="215" t="s">
        <v>462</v>
      </c>
      <c r="J43" s="209" t="s">
        <v>68</v>
      </c>
      <c r="K43" s="209" t="s">
        <v>1211</v>
      </c>
      <c r="L43" s="209" t="s">
        <v>1129</v>
      </c>
      <c r="T43" s="217">
        <v>956520</v>
      </c>
      <c r="U43" s="217">
        <v>142546</v>
      </c>
      <c r="V43" s="217">
        <v>1624</v>
      </c>
      <c r="W43" s="217">
        <v>1100690</v>
      </c>
      <c r="Y43" s="212" t="b">
        <f t="shared" si="1"/>
        <v>0</v>
      </c>
      <c r="AA43" s="230" t="str">
        <f>HYPERLINK("#일위대가_호표!A205","_0041 →")</f>
        <v>_0041 →</v>
      </c>
    </row>
    <row r="44" spans="1:27" ht="24" customHeight="1">
      <c r="A44" s="218" t="s">
        <v>1698</v>
      </c>
      <c r="B44" s="218" t="s">
        <v>1212</v>
      </c>
      <c r="C44" s="213">
        <v>1</v>
      </c>
      <c r="D44" s="213" t="s">
        <v>437</v>
      </c>
      <c r="E44" s="217">
        <f>호표!F213</f>
        <v>0</v>
      </c>
      <c r="F44" s="217">
        <f>호표!H213</f>
        <v>0</v>
      </c>
      <c r="G44" s="217">
        <f>호표!J213</f>
        <v>0</v>
      </c>
      <c r="H44" s="217">
        <f t="shared" si="0"/>
        <v>0</v>
      </c>
      <c r="I44" s="215" t="s">
        <v>463</v>
      </c>
      <c r="J44" s="209" t="s">
        <v>68</v>
      </c>
      <c r="K44" s="209" t="s">
        <v>1213</v>
      </c>
      <c r="L44" s="209" t="s">
        <v>1129</v>
      </c>
      <c r="T44" s="217">
        <v>915772</v>
      </c>
      <c r="U44" s="217">
        <v>135709</v>
      </c>
      <c r="V44" s="217">
        <v>1624</v>
      </c>
      <c r="W44" s="217">
        <v>1053105</v>
      </c>
      <c r="Y44" s="212" t="b">
        <f t="shared" si="1"/>
        <v>0</v>
      </c>
      <c r="AA44" s="230" t="str">
        <f>HYPERLINK("#일위대가_호표!A213","_0042 →")</f>
        <v>_0042 →</v>
      </c>
    </row>
    <row r="45" spans="1:27" ht="24" customHeight="1">
      <c r="A45" s="218" t="s">
        <v>1699</v>
      </c>
      <c r="B45" s="218" t="s">
        <v>1215</v>
      </c>
      <c r="C45" s="213">
        <v>1</v>
      </c>
      <c r="D45" s="213" t="s">
        <v>437</v>
      </c>
      <c r="E45" s="217">
        <f>호표!F221</f>
        <v>0</v>
      </c>
      <c r="F45" s="217">
        <f>호표!H221</f>
        <v>0</v>
      </c>
      <c r="G45" s="217">
        <f>호표!J221</f>
        <v>0</v>
      </c>
      <c r="H45" s="217">
        <f t="shared" si="0"/>
        <v>0</v>
      </c>
      <c r="I45" s="215" t="s">
        <v>68</v>
      </c>
      <c r="J45" s="209" t="s">
        <v>68</v>
      </c>
      <c r="K45" s="209" t="s">
        <v>1216</v>
      </c>
      <c r="L45" s="209" t="s">
        <v>1129</v>
      </c>
      <c r="T45" s="217">
        <v>2795455</v>
      </c>
      <c r="U45" s="217">
        <v>2054030</v>
      </c>
      <c r="V45" s="217">
        <v>54842</v>
      </c>
      <c r="W45" s="217">
        <v>4904327</v>
      </c>
      <c r="Y45" s="212" t="b">
        <f t="shared" si="1"/>
        <v>0</v>
      </c>
      <c r="AA45" s="230" t="str">
        <f>HYPERLINK("#일위대가_호표!A221","_0043 →")</f>
        <v>_0043 →</v>
      </c>
    </row>
    <row r="46" spans="1:27" ht="24" customHeight="1">
      <c r="A46" s="218" t="s">
        <v>1700</v>
      </c>
      <c r="B46" s="218" t="s">
        <v>1218</v>
      </c>
      <c r="C46" s="213">
        <v>1</v>
      </c>
      <c r="D46" s="213" t="s">
        <v>437</v>
      </c>
      <c r="E46" s="217">
        <f>호표!F234</f>
        <v>0</v>
      </c>
      <c r="F46" s="217">
        <f>호표!H234</f>
        <v>0</v>
      </c>
      <c r="G46" s="217">
        <f>호표!J234</f>
        <v>0</v>
      </c>
      <c r="H46" s="217">
        <f t="shared" si="0"/>
        <v>0</v>
      </c>
      <c r="I46" s="215" t="s">
        <v>68</v>
      </c>
      <c r="J46" s="209" t="s">
        <v>68</v>
      </c>
      <c r="K46" s="209" t="s">
        <v>1219</v>
      </c>
      <c r="L46" s="209" t="s">
        <v>1129</v>
      </c>
      <c r="T46" s="217">
        <v>1205119</v>
      </c>
      <c r="U46" s="217">
        <v>1372781</v>
      </c>
      <c r="V46" s="217">
        <v>39829</v>
      </c>
      <c r="W46" s="217">
        <v>2617729</v>
      </c>
      <c r="Y46" s="212" t="b">
        <f t="shared" si="1"/>
        <v>0</v>
      </c>
      <c r="AA46" s="230" t="str">
        <f>HYPERLINK("#일위대가_호표!A234","_0044 →")</f>
        <v>_0044 →</v>
      </c>
    </row>
    <row r="47" spans="1:27" ht="24" customHeight="1">
      <c r="A47" s="218" t="s">
        <v>1701</v>
      </c>
      <c r="B47" s="218" t="s">
        <v>1220</v>
      </c>
      <c r="C47" s="213">
        <v>1</v>
      </c>
      <c r="D47" s="213" t="s">
        <v>437</v>
      </c>
      <c r="E47" s="217">
        <f>호표!F252</f>
        <v>0</v>
      </c>
      <c r="F47" s="217">
        <f>호표!H252</f>
        <v>0</v>
      </c>
      <c r="G47" s="217">
        <f>호표!J252</f>
        <v>0</v>
      </c>
      <c r="H47" s="217">
        <f t="shared" si="0"/>
        <v>0</v>
      </c>
      <c r="I47" s="215" t="s">
        <v>68</v>
      </c>
      <c r="J47" s="209" t="s">
        <v>68</v>
      </c>
      <c r="K47" s="209" t="s">
        <v>1221</v>
      </c>
      <c r="L47" s="209" t="s">
        <v>1129</v>
      </c>
      <c r="T47" s="217">
        <v>530118</v>
      </c>
      <c r="U47" s="217">
        <v>511499</v>
      </c>
      <c r="V47" s="217">
        <v>12445</v>
      </c>
      <c r="W47" s="217">
        <v>1054062</v>
      </c>
      <c r="Y47" s="212" t="b">
        <f t="shared" si="1"/>
        <v>0</v>
      </c>
      <c r="AA47" s="230" t="str">
        <f>HYPERLINK("#일위대가_호표!A252","_0045 →")</f>
        <v>_0045 →</v>
      </c>
    </row>
    <row r="48" spans="1:27" ht="24" customHeight="1">
      <c r="A48" s="218" t="s">
        <v>1702</v>
      </c>
      <c r="B48" s="218" t="s">
        <v>1223</v>
      </c>
      <c r="C48" s="213">
        <v>1</v>
      </c>
      <c r="D48" s="213" t="s">
        <v>437</v>
      </c>
      <c r="E48" s="217">
        <f>호표!F265</f>
        <v>0</v>
      </c>
      <c r="F48" s="217">
        <f>호표!H265</f>
        <v>0</v>
      </c>
      <c r="G48" s="217">
        <f>호표!J265</f>
        <v>0</v>
      </c>
      <c r="H48" s="217">
        <f t="shared" si="0"/>
        <v>0</v>
      </c>
      <c r="I48" s="215" t="s">
        <v>68</v>
      </c>
      <c r="J48" s="209" t="s">
        <v>68</v>
      </c>
      <c r="K48" s="209" t="s">
        <v>1224</v>
      </c>
      <c r="L48" s="209" t="s">
        <v>1129</v>
      </c>
      <c r="T48" s="217">
        <v>800000</v>
      </c>
      <c r="U48" s="217">
        <v>88847</v>
      </c>
      <c r="V48" s="217">
        <v>2665</v>
      </c>
      <c r="W48" s="217">
        <v>891512</v>
      </c>
      <c r="Y48" s="212" t="b">
        <f t="shared" si="1"/>
        <v>0</v>
      </c>
      <c r="AA48" s="230" t="str">
        <f>HYPERLINK("#일위대가_호표!A265","_0046 →")</f>
        <v>_0046 →</v>
      </c>
    </row>
    <row r="49" spans="1:27" ht="24" customHeight="1">
      <c r="A49" s="218" t="s">
        <v>1703</v>
      </c>
      <c r="B49" s="218" t="s">
        <v>1235</v>
      </c>
      <c r="C49" s="213">
        <v>1</v>
      </c>
      <c r="D49" s="213" t="s">
        <v>16</v>
      </c>
      <c r="E49" s="217">
        <f>호표!F269</f>
        <v>0</v>
      </c>
      <c r="F49" s="217">
        <f>호표!H269</f>
        <v>0</v>
      </c>
      <c r="G49" s="217">
        <f>호표!J269</f>
        <v>16450</v>
      </c>
      <c r="H49" s="217">
        <f t="shared" si="0"/>
        <v>16450</v>
      </c>
      <c r="I49" s="215" t="s">
        <v>68</v>
      </c>
      <c r="J49" s="209" t="s">
        <v>68</v>
      </c>
      <c r="K49" s="209" t="s">
        <v>1236</v>
      </c>
      <c r="L49" s="209" t="s">
        <v>1129</v>
      </c>
      <c r="T49" s="217">
        <v>0</v>
      </c>
      <c r="U49" s="217">
        <v>0</v>
      </c>
      <c r="V49" s="217">
        <v>16450</v>
      </c>
      <c r="W49" s="217">
        <v>16450</v>
      </c>
      <c r="Y49" s="212" t="b">
        <f t="shared" si="1"/>
        <v>1</v>
      </c>
      <c r="AA49" s="230" t="str">
        <f>HYPERLINK("#일위대가_호표!A269","ZZ71 →")</f>
        <v>ZZ71 →</v>
      </c>
    </row>
    <row r="50" spans="1:27" ht="24" customHeight="1">
      <c r="A50" s="218" t="s">
        <v>1704</v>
      </c>
      <c r="B50" s="218" t="s">
        <v>1172</v>
      </c>
      <c r="C50" s="213">
        <v>1</v>
      </c>
      <c r="D50" s="213" t="s">
        <v>16</v>
      </c>
      <c r="E50" s="217">
        <f>호표!F272</f>
        <v>0</v>
      </c>
      <c r="F50" s="217">
        <f>호표!H272</f>
        <v>0</v>
      </c>
      <c r="G50" s="217">
        <f>호표!J272</f>
        <v>61880</v>
      </c>
      <c r="H50" s="217">
        <f t="shared" si="0"/>
        <v>61880</v>
      </c>
      <c r="I50" s="215" t="s">
        <v>68</v>
      </c>
      <c r="J50" s="209" t="s">
        <v>68</v>
      </c>
      <c r="K50" s="209" t="s">
        <v>1238</v>
      </c>
      <c r="L50" s="209" t="s">
        <v>1129</v>
      </c>
      <c r="T50" s="217">
        <v>0</v>
      </c>
      <c r="U50" s="217">
        <v>0</v>
      </c>
      <c r="V50" s="217">
        <v>61880</v>
      </c>
      <c r="W50" s="217">
        <v>61880</v>
      </c>
      <c r="Y50" s="212" t="b">
        <f t="shared" si="1"/>
        <v>1</v>
      </c>
      <c r="AA50" s="230" t="str">
        <f>HYPERLINK("#일위대가_호표!A272","ZZ74 →")</f>
        <v>ZZ74 →</v>
      </c>
    </row>
    <row r="51" spans="1:27" ht="24" customHeight="1">
      <c r="A51" s="218" t="s">
        <v>1705</v>
      </c>
      <c r="B51" s="218" t="s">
        <v>1240</v>
      </c>
      <c r="C51" s="213">
        <v>1</v>
      </c>
      <c r="D51" s="213" t="s">
        <v>16</v>
      </c>
      <c r="E51" s="217">
        <f>호표!F275</f>
        <v>0</v>
      </c>
      <c r="F51" s="217">
        <f>호표!H275</f>
        <v>0</v>
      </c>
      <c r="G51" s="217">
        <f>호표!J275</f>
        <v>31142</v>
      </c>
      <c r="H51" s="217">
        <f t="shared" si="0"/>
        <v>31142</v>
      </c>
      <c r="I51" s="215" t="s">
        <v>68</v>
      </c>
      <c r="J51" s="209" t="s">
        <v>68</v>
      </c>
      <c r="K51" s="209" t="s">
        <v>1241</v>
      </c>
      <c r="L51" s="209" t="s">
        <v>1129</v>
      </c>
      <c r="T51" s="217">
        <v>0</v>
      </c>
      <c r="U51" s="217">
        <v>0</v>
      </c>
      <c r="V51" s="217">
        <v>31142</v>
      </c>
      <c r="W51" s="217">
        <v>31142</v>
      </c>
      <c r="Y51" s="212" t="b">
        <f t="shared" si="1"/>
        <v>1</v>
      </c>
      <c r="AA51" s="230" t="str">
        <f>HYPERLINK("#일위대가_호표!A275","ZZ81 →")</f>
        <v>ZZ81 →</v>
      </c>
    </row>
    <row r="52" spans="1:27" ht="24" customHeight="1">
      <c r="A52" s="218" t="s">
        <v>1706</v>
      </c>
      <c r="B52" s="218" t="s">
        <v>1242</v>
      </c>
      <c r="C52" s="213">
        <v>1</v>
      </c>
      <c r="D52" s="213" t="s">
        <v>16</v>
      </c>
      <c r="E52" s="217">
        <f>호표!F278</f>
        <v>0</v>
      </c>
      <c r="F52" s="217">
        <f>호표!H278</f>
        <v>0</v>
      </c>
      <c r="G52" s="217">
        <f>호표!J278</f>
        <v>188715</v>
      </c>
      <c r="H52" s="217">
        <f t="shared" si="0"/>
        <v>188715</v>
      </c>
      <c r="I52" s="215" t="s">
        <v>68</v>
      </c>
      <c r="J52" s="209" t="s">
        <v>68</v>
      </c>
      <c r="K52" s="209" t="s">
        <v>1243</v>
      </c>
      <c r="L52" s="209" t="s">
        <v>1129</v>
      </c>
      <c r="T52" s="217">
        <v>0</v>
      </c>
      <c r="U52" s="217">
        <v>0</v>
      </c>
      <c r="V52" s="217">
        <v>188715</v>
      </c>
      <c r="W52" s="217">
        <v>188715</v>
      </c>
      <c r="Y52" s="212" t="b">
        <f t="shared" si="1"/>
        <v>1</v>
      </c>
      <c r="AA52" s="230" t="str">
        <f>HYPERLINK("#일위대가_호표!A278","ZZ86 →")</f>
        <v>ZZ86 →</v>
      </c>
    </row>
    <row r="53" spans="1:27" ht="24" customHeight="1">
      <c r="A53" s="218" t="s">
        <v>1707</v>
      </c>
      <c r="B53" s="218" t="s">
        <v>1708</v>
      </c>
      <c r="C53" s="213">
        <v>1</v>
      </c>
      <c r="D53" s="213" t="s">
        <v>9</v>
      </c>
      <c r="E53" s="217">
        <f>호표!F281</f>
        <v>0</v>
      </c>
      <c r="F53" s="217">
        <f>호표!H281</f>
        <v>0</v>
      </c>
      <c r="G53" s="217">
        <f>호표!J281</f>
        <v>0</v>
      </c>
      <c r="H53" s="217">
        <f t="shared" si="0"/>
        <v>0</v>
      </c>
      <c r="I53" s="215" t="s">
        <v>1709</v>
      </c>
      <c r="J53" s="209" t="s">
        <v>68</v>
      </c>
      <c r="K53" s="209" t="s">
        <v>1710</v>
      </c>
      <c r="L53" s="209" t="s">
        <v>1129</v>
      </c>
      <c r="T53" s="217">
        <v>0</v>
      </c>
      <c r="U53" s="217">
        <v>4557</v>
      </c>
      <c r="V53" s="217">
        <v>0</v>
      </c>
      <c r="W53" s="217">
        <v>4557</v>
      </c>
      <c r="Y53" s="212" t="b">
        <f t="shared" si="1"/>
        <v>0</v>
      </c>
      <c r="AA53" s="230" t="str">
        <f>HYPERLINK("#일위대가_호표!A281","P5-2-2/110 →")</f>
        <v>P5-2-2/110 →</v>
      </c>
    </row>
    <row r="54" spans="1:27" ht="24" customHeight="1">
      <c r="A54" s="218" t="s">
        <v>1711</v>
      </c>
      <c r="B54" s="218" t="s">
        <v>993</v>
      </c>
      <c r="C54" s="213">
        <v>1</v>
      </c>
      <c r="D54" s="213" t="s">
        <v>378</v>
      </c>
      <c r="E54" s="217">
        <f>호표!F286</f>
        <v>0</v>
      </c>
      <c r="F54" s="217">
        <f>호표!H286</f>
        <v>0</v>
      </c>
      <c r="G54" s="217">
        <f>호표!J286</f>
        <v>0</v>
      </c>
      <c r="H54" s="217">
        <f t="shared" si="0"/>
        <v>0</v>
      </c>
      <c r="I54" s="215" t="s">
        <v>1712</v>
      </c>
      <c r="J54" s="209" t="s">
        <v>68</v>
      </c>
      <c r="K54" s="209" t="s">
        <v>1713</v>
      </c>
      <c r="L54" s="209" t="s">
        <v>1129</v>
      </c>
      <c r="T54" s="217">
        <v>0</v>
      </c>
      <c r="U54" s="217">
        <v>57196</v>
      </c>
      <c r="V54" s="217">
        <v>0</v>
      </c>
      <c r="W54" s="217">
        <v>57196</v>
      </c>
      <c r="Y54" s="212" t="b">
        <f t="shared" si="1"/>
        <v>0</v>
      </c>
      <c r="AA54" s="230" t="str">
        <f>HYPERLINK("#일위대가_호표!A286","PP10-1-2/40 →")</f>
        <v>PP10-1-2/40 →</v>
      </c>
    </row>
    <row r="55" spans="1:27" ht="24" customHeight="1">
      <c r="A55" s="218" t="s">
        <v>1714</v>
      </c>
      <c r="B55" s="218" t="s">
        <v>1715</v>
      </c>
      <c r="C55" s="213">
        <v>1</v>
      </c>
      <c r="D55" s="213" t="s">
        <v>378</v>
      </c>
      <c r="E55" s="217">
        <f>호표!F291</f>
        <v>0</v>
      </c>
      <c r="F55" s="217">
        <f>호표!H291</f>
        <v>0</v>
      </c>
      <c r="G55" s="217">
        <f>호표!J291</f>
        <v>0</v>
      </c>
      <c r="H55" s="217">
        <f t="shared" si="0"/>
        <v>0</v>
      </c>
      <c r="I55" s="215" t="s">
        <v>1712</v>
      </c>
      <c r="J55" s="209" t="s">
        <v>68</v>
      </c>
      <c r="K55" s="209" t="s">
        <v>1716</v>
      </c>
      <c r="L55" s="209" t="s">
        <v>1129</v>
      </c>
      <c r="T55" s="217">
        <v>0</v>
      </c>
      <c r="U55" s="217">
        <v>48698</v>
      </c>
      <c r="V55" s="217">
        <v>0</v>
      </c>
      <c r="W55" s="217">
        <v>48698</v>
      </c>
      <c r="Y55" s="212" t="b">
        <f t="shared" si="1"/>
        <v>0</v>
      </c>
      <c r="AA55" s="230" t="str">
        <f>HYPERLINK("#일위대가_호표!A291","PP10-1-2/30 →")</f>
        <v>PP10-1-2/30 →</v>
      </c>
    </row>
    <row r="56" spans="1:27" ht="24" customHeight="1">
      <c r="A56" s="218" t="s">
        <v>1717</v>
      </c>
      <c r="B56" s="218" t="s">
        <v>1718</v>
      </c>
      <c r="C56" s="213">
        <v>1</v>
      </c>
      <c r="D56" s="213" t="s">
        <v>378</v>
      </c>
      <c r="E56" s="217">
        <f>호표!F296</f>
        <v>0</v>
      </c>
      <c r="F56" s="217">
        <f>호표!H296</f>
        <v>0</v>
      </c>
      <c r="G56" s="217">
        <f>호표!J296</f>
        <v>0</v>
      </c>
      <c r="H56" s="217">
        <f t="shared" si="0"/>
        <v>0</v>
      </c>
      <c r="I56" s="215" t="s">
        <v>1719</v>
      </c>
      <c r="J56" s="209" t="s">
        <v>68</v>
      </c>
      <c r="K56" s="209" t="s">
        <v>1720</v>
      </c>
      <c r="L56" s="209" t="s">
        <v>1129</v>
      </c>
      <c r="T56" s="217">
        <v>0</v>
      </c>
      <c r="U56" s="217">
        <v>17943</v>
      </c>
      <c r="V56" s="217">
        <v>0</v>
      </c>
      <c r="W56" s="217">
        <v>17943</v>
      </c>
      <c r="Y56" s="212" t="b">
        <f t="shared" si="1"/>
        <v>0</v>
      </c>
      <c r="AA56" s="230" t="str">
        <f>HYPERLINK("#일위대가_호표!A296","PP10-1-3/10 →")</f>
        <v>PP10-1-3/10 →</v>
      </c>
    </row>
    <row r="57" spans="1:27" ht="24" customHeight="1">
      <c r="A57" s="218" t="s">
        <v>1721</v>
      </c>
      <c r="B57" s="218" t="s">
        <v>1715</v>
      </c>
      <c r="C57" s="213">
        <v>1</v>
      </c>
      <c r="D57" s="213" t="s">
        <v>378</v>
      </c>
      <c r="E57" s="217">
        <f>호표!F301</f>
        <v>0</v>
      </c>
      <c r="F57" s="217">
        <f>호표!H301</f>
        <v>0</v>
      </c>
      <c r="G57" s="217">
        <f>호표!J301</f>
        <v>0</v>
      </c>
      <c r="H57" s="217">
        <f t="shared" si="0"/>
        <v>0</v>
      </c>
      <c r="I57" s="215" t="s">
        <v>1719</v>
      </c>
      <c r="J57" s="209" t="s">
        <v>68</v>
      </c>
      <c r="K57" s="209" t="s">
        <v>1722</v>
      </c>
      <c r="L57" s="209" t="s">
        <v>1129</v>
      </c>
      <c r="T57" s="217">
        <v>0</v>
      </c>
      <c r="U57" s="217">
        <v>34401</v>
      </c>
      <c r="V57" s="217">
        <v>0</v>
      </c>
      <c r="W57" s="217">
        <v>34401</v>
      </c>
      <c r="Y57" s="212" t="b">
        <f t="shared" si="1"/>
        <v>0</v>
      </c>
      <c r="AA57" s="230" t="str">
        <f>HYPERLINK("#일위대가_호표!A301","PP10-1-3/30 →")</f>
        <v>PP10-1-3/30 →</v>
      </c>
    </row>
    <row r="58" spans="1:27" ht="24" customHeight="1">
      <c r="A58" s="218" t="s">
        <v>1723</v>
      </c>
      <c r="B58" s="218" t="s">
        <v>1724</v>
      </c>
      <c r="C58" s="213">
        <v>1</v>
      </c>
      <c r="D58" s="213" t="s">
        <v>378</v>
      </c>
      <c r="E58" s="217">
        <f>호표!F306</f>
        <v>0</v>
      </c>
      <c r="F58" s="217">
        <f>호표!H306</f>
        <v>0</v>
      </c>
      <c r="G58" s="217">
        <f>호표!J306</f>
        <v>0</v>
      </c>
      <c r="H58" s="217">
        <f t="shared" si="0"/>
        <v>0</v>
      </c>
      <c r="I58" s="215" t="s">
        <v>1719</v>
      </c>
      <c r="J58" s="209" t="s">
        <v>68</v>
      </c>
      <c r="K58" s="209" t="s">
        <v>1725</v>
      </c>
      <c r="L58" s="209" t="s">
        <v>1129</v>
      </c>
      <c r="T58" s="217">
        <v>0</v>
      </c>
      <c r="U58" s="217">
        <v>44186</v>
      </c>
      <c r="V58" s="217">
        <v>0</v>
      </c>
      <c r="W58" s="217">
        <v>44186</v>
      </c>
      <c r="Y58" s="212" t="b">
        <f t="shared" si="1"/>
        <v>0</v>
      </c>
      <c r="AA58" s="230" t="str">
        <f>HYPERLINK("#일위대가_호표!A306","PP10-1-3/50 →")</f>
        <v>PP10-1-3/50 →</v>
      </c>
    </row>
    <row r="59" spans="1:27" ht="24" customHeight="1">
      <c r="A59" s="218" t="s">
        <v>1726</v>
      </c>
      <c r="B59" s="218" t="s">
        <v>1727</v>
      </c>
      <c r="C59" s="213">
        <v>1</v>
      </c>
      <c r="D59" s="213" t="s">
        <v>378</v>
      </c>
      <c r="E59" s="217">
        <f>호표!F311</f>
        <v>0</v>
      </c>
      <c r="F59" s="217">
        <f>호표!H311</f>
        <v>0</v>
      </c>
      <c r="G59" s="217">
        <f>호표!J311</f>
        <v>0</v>
      </c>
      <c r="H59" s="217">
        <f t="shared" si="0"/>
        <v>0</v>
      </c>
      <c r="I59" s="215" t="s">
        <v>1719</v>
      </c>
      <c r="J59" s="209" t="s">
        <v>68</v>
      </c>
      <c r="K59" s="209" t="s">
        <v>1728</v>
      </c>
      <c r="L59" s="209" t="s">
        <v>1129</v>
      </c>
      <c r="T59" s="217">
        <v>0</v>
      </c>
      <c r="U59" s="217">
        <v>24365</v>
      </c>
      <c r="V59" s="217">
        <v>0</v>
      </c>
      <c r="W59" s="217">
        <v>24365</v>
      </c>
      <c r="Y59" s="212" t="b">
        <f t="shared" si="1"/>
        <v>0</v>
      </c>
      <c r="AA59" s="230" t="str">
        <f>HYPERLINK("#일위대가_호표!A311","PP10-1-3/20 →")</f>
        <v>PP10-1-3/20 →</v>
      </c>
    </row>
    <row r="60" spans="1:27" ht="24" customHeight="1">
      <c r="A60" s="218" t="s">
        <v>1729</v>
      </c>
      <c r="B60" s="218" t="s">
        <v>1730</v>
      </c>
      <c r="C60" s="213">
        <v>1</v>
      </c>
      <c r="D60" s="213" t="s">
        <v>9</v>
      </c>
      <c r="E60" s="217">
        <f>호표!F316</f>
        <v>0</v>
      </c>
      <c r="F60" s="217">
        <f>호표!H316</f>
        <v>0</v>
      </c>
      <c r="G60" s="217">
        <f>호표!J316</f>
        <v>0</v>
      </c>
      <c r="H60" s="217">
        <f t="shared" si="0"/>
        <v>0</v>
      </c>
      <c r="I60" s="215" t="s">
        <v>1731</v>
      </c>
      <c r="J60" s="209" t="s">
        <v>68</v>
      </c>
      <c r="K60" s="209" t="s">
        <v>1732</v>
      </c>
      <c r="L60" s="209" t="s">
        <v>1129</v>
      </c>
      <c r="T60" s="217">
        <v>0</v>
      </c>
      <c r="U60" s="217">
        <v>17079</v>
      </c>
      <c r="V60" s="217">
        <v>0</v>
      </c>
      <c r="W60" s="217">
        <v>17079</v>
      </c>
      <c r="Y60" s="212" t="b">
        <f t="shared" si="1"/>
        <v>0</v>
      </c>
      <c r="AA60" s="230" t="str">
        <f>HYPERLINK("#일위대가_호표!A316","P4-3-3/0 →")</f>
        <v>P4-3-3/0 →</v>
      </c>
    </row>
    <row r="61" spans="1:27" ht="24" customHeight="1">
      <c r="A61" s="218" t="s">
        <v>1733</v>
      </c>
      <c r="B61" s="218" t="s">
        <v>1734</v>
      </c>
      <c r="C61" s="213">
        <v>1</v>
      </c>
      <c r="D61" s="213" t="s">
        <v>1735</v>
      </c>
      <c r="E61" s="217">
        <f>호표!F321</f>
        <v>0</v>
      </c>
      <c r="F61" s="217">
        <f>호표!H321</f>
        <v>0</v>
      </c>
      <c r="G61" s="217">
        <f>호표!J321</f>
        <v>0</v>
      </c>
      <c r="H61" s="217">
        <f t="shared" si="0"/>
        <v>0</v>
      </c>
      <c r="I61" s="215" t="s">
        <v>1647</v>
      </c>
      <c r="J61" s="209" t="s">
        <v>68</v>
      </c>
      <c r="K61" s="209" t="s">
        <v>1736</v>
      </c>
      <c r="L61" s="209" t="s">
        <v>1129</v>
      </c>
      <c r="T61" s="217">
        <v>0</v>
      </c>
      <c r="U61" s="217">
        <v>2106</v>
      </c>
      <c r="V61" s="217">
        <v>0</v>
      </c>
      <c r="W61" s="217">
        <v>2106</v>
      </c>
      <c r="Y61" s="212" t="b">
        <f t="shared" si="1"/>
        <v>0</v>
      </c>
      <c r="AA61" s="230" t="str">
        <f>HYPERLINK("#일위대가_호표!A321","R2-11-29 →")</f>
        <v>R2-11-29 →</v>
      </c>
    </row>
    <row r="62" spans="1:27" ht="24" customHeight="1">
      <c r="A62" s="218" t="s">
        <v>1737</v>
      </c>
      <c r="B62" s="218" t="s">
        <v>1738</v>
      </c>
      <c r="C62" s="213">
        <v>1</v>
      </c>
      <c r="D62" s="213" t="s">
        <v>9</v>
      </c>
      <c r="E62" s="217">
        <f>호표!F328</f>
        <v>0</v>
      </c>
      <c r="F62" s="217">
        <f>호표!H328</f>
        <v>0</v>
      </c>
      <c r="G62" s="217">
        <f>호표!J328</f>
        <v>0</v>
      </c>
      <c r="H62" s="217">
        <f t="shared" si="0"/>
        <v>0</v>
      </c>
      <c r="I62" s="215" t="s">
        <v>1739</v>
      </c>
      <c r="J62" s="209" t="s">
        <v>68</v>
      </c>
      <c r="K62" s="209" t="s">
        <v>1740</v>
      </c>
      <c r="L62" s="209" t="s">
        <v>1129</v>
      </c>
      <c r="T62" s="217">
        <v>0</v>
      </c>
      <c r="U62" s="217">
        <v>35519</v>
      </c>
      <c r="V62" s="217">
        <v>0</v>
      </c>
      <c r="W62" s="217">
        <v>35519</v>
      </c>
      <c r="Y62" s="212" t="b">
        <f t="shared" si="1"/>
        <v>0</v>
      </c>
      <c r="AA62" s="230" t="str">
        <f>HYPERLINK("#일위대가_호표!A328","PP10-3-1/9 →")</f>
        <v>PP10-3-1/9 →</v>
      </c>
    </row>
    <row r="63" spans="1:27" ht="24" customHeight="1">
      <c r="A63" s="218" t="s">
        <v>1741</v>
      </c>
      <c r="B63" s="218" t="s">
        <v>1742</v>
      </c>
      <c r="C63" s="213">
        <v>1</v>
      </c>
      <c r="D63" s="213" t="s">
        <v>378</v>
      </c>
      <c r="E63" s="217">
        <f>호표!F332</f>
        <v>0</v>
      </c>
      <c r="F63" s="217">
        <f>호표!H332</f>
        <v>0</v>
      </c>
      <c r="G63" s="217">
        <f>호표!J332</f>
        <v>0</v>
      </c>
      <c r="H63" s="217">
        <f t="shared" si="0"/>
        <v>0</v>
      </c>
      <c r="I63" s="215" t="s">
        <v>1682</v>
      </c>
      <c r="J63" s="209" t="s">
        <v>68</v>
      </c>
      <c r="K63" s="209" t="s">
        <v>1743</v>
      </c>
      <c r="L63" s="209" t="s">
        <v>1129</v>
      </c>
      <c r="T63" s="217">
        <v>0</v>
      </c>
      <c r="U63" s="217">
        <v>84352</v>
      </c>
      <c r="V63" s="217">
        <v>2530</v>
      </c>
      <c r="W63" s="217">
        <v>86882</v>
      </c>
      <c r="Y63" s="212" t="b">
        <f t="shared" si="1"/>
        <v>0</v>
      </c>
      <c r="AA63" s="230" t="str">
        <f>HYPERLINK("#일위대가_호표!A332","PP10-1-1/6 →")</f>
        <v>PP10-1-1/6 →</v>
      </c>
    </row>
    <row r="64" spans="1:27" ht="24" customHeight="1">
      <c r="A64" s="218" t="s">
        <v>1744</v>
      </c>
      <c r="B64" s="218" t="s">
        <v>1745</v>
      </c>
      <c r="C64" s="213">
        <v>1</v>
      </c>
      <c r="D64" s="213" t="s">
        <v>1033</v>
      </c>
      <c r="E64" s="217">
        <f>호표!F337</f>
        <v>0</v>
      </c>
      <c r="F64" s="217">
        <f>호표!H337</f>
        <v>0</v>
      </c>
      <c r="G64" s="217">
        <f>호표!J337</f>
        <v>0</v>
      </c>
      <c r="H64" s="217">
        <f t="shared" si="0"/>
        <v>0</v>
      </c>
      <c r="I64" s="215" t="s">
        <v>1746</v>
      </c>
      <c r="J64" s="209" t="s">
        <v>68</v>
      </c>
      <c r="K64" s="209" t="s">
        <v>1747</v>
      </c>
      <c r="L64" s="209" t="s">
        <v>1129</v>
      </c>
      <c r="T64" s="217">
        <v>400</v>
      </c>
      <c r="U64" s="217">
        <v>0</v>
      </c>
      <c r="V64" s="217">
        <v>0</v>
      </c>
      <c r="W64" s="217">
        <v>400</v>
      </c>
      <c r="Y64" s="212" t="b">
        <f t="shared" si="1"/>
        <v>0</v>
      </c>
      <c r="AA64" s="230" t="str">
        <f>HYPERLINK("#일위대가_호표!A337","PP10-4-3/1 →")</f>
        <v>PP10-4-3/1 →</v>
      </c>
    </row>
    <row r="65" spans="1:27" ht="24" customHeight="1">
      <c r="A65" s="218" t="s">
        <v>1748</v>
      </c>
      <c r="B65" s="218" t="s">
        <v>68</v>
      </c>
      <c r="C65" s="213">
        <v>1</v>
      </c>
      <c r="D65" s="213" t="s">
        <v>1033</v>
      </c>
      <c r="E65" s="217">
        <f>호표!F340</f>
        <v>0</v>
      </c>
      <c r="F65" s="217">
        <f>호표!H340</f>
        <v>0</v>
      </c>
      <c r="G65" s="217">
        <f>호표!J340</f>
        <v>0</v>
      </c>
      <c r="H65" s="217">
        <f t="shared" si="0"/>
        <v>0</v>
      </c>
      <c r="I65" s="215" t="s">
        <v>1749</v>
      </c>
      <c r="J65" s="209" t="s">
        <v>68</v>
      </c>
      <c r="K65" s="209" t="s">
        <v>1750</v>
      </c>
      <c r="L65" s="209" t="s">
        <v>1129</v>
      </c>
      <c r="T65" s="217">
        <v>6857</v>
      </c>
      <c r="U65" s="217">
        <v>4597</v>
      </c>
      <c r="V65" s="217">
        <v>0</v>
      </c>
      <c r="W65" s="217">
        <v>11454</v>
      </c>
      <c r="Y65" s="212" t="b">
        <f t="shared" si="1"/>
        <v>0</v>
      </c>
      <c r="AA65" s="230" t="str">
        <f>HYPERLINK("#일위대가_호표!A340","P9-3-1/1 →")</f>
        <v>P9-3-1/1 →</v>
      </c>
    </row>
    <row r="66" spans="1:27" ht="24" customHeight="1">
      <c r="A66" s="218" t="s">
        <v>1751</v>
      </c>
      <c r="B66" s="218" t="s">
        <v>1727</v>
      </c>
      <c r="C66" s="213">
        <v>1</v>
      </c>
      <c r="D66" s="213" t="s">
        <v>378</v>
      </c>
      <c r="E66" s="217">
        <f>호표!F346</f>
        <v>0</v>
      </c>
      <c r="F66" s="217">
        <f>호표!H346</f>
        <v>0</v>
      </c>
      <c r="G66" s="217">
        <f>호표!J346</f>
        <v>0</v>
      </c>
      <c r="H66" s="217">
        <f t="shared" si="0"/>
        <v>0</v>
      </c>
      <c r="I66" s="215" t="s">
        <v>1719</v>
      </c>
      <c r="J66" s="209" t="s">
        <v>68</v>
      </c>
      <c r="K66" s="209" t="s">
        <v>1752</v>
      </c>
      <c r="L66" s="209" t="s">
        <v>1129</v>
      </c>
      <c r="T66" s="217">
        <v>0</v>
      </c>
      <c r="U66" s="217">
        <v>81217</v>
      </c>
      <c r="V66" s="217">
        <v>1624</v>
      </c>
      <c r="W66" s="217">
        <v>82841</v>
      </c>
      <c r="Y66" s="212" t="b">
        <f t="shared" si="1"/>
        <v>0</v>
      </c>
      <c r="AA66" s="230" t="str">
        <f>HYPERLINK("#일위대가_호표!A346","PP10-1-3/2 →")</f>
        <v>PP10-1-3/2 →</v>
      </c>
    </row>
    <row r="67" spans="1:27" ht="24" customHeight="1">
      <c r="A67" s="218" t="s">
        <v>1753</v>
      </c>
      <c r="B67" s="218" t="s">
        <v>1754</v>
      </c>
      <c r="C67" s="213">
        <v>1</v>
      </c>
      <c r="D67" s="213" t="s">
        <v>16</v>
      </c>
      <c r="E67" s="217">
        <f>호표!F351</f>
        <v>0</v>
      </c>
      <c r="F67" s="217">
        <f>호표!H351</f>
        <v>0</v>
      </c>
      <c r="G67" s="217">
        <f>호표!J351</f>
        <v>0</v>
      </c>
      <c r="H67" s="217">
        <f t="shared" ref="H67:H130" si="2">E67+F67+G67</f>
        <v>0</v>
      </c>
      <c r="I67" s="215" t="s">
        <v>1647</v>
      </c>
      <c r="J67" s="209" t="s">
        <v>68</v>
      </c>
      <c r="K67" s="209" t="s">
        <v>1755</v>
      </c>
      <c r="L67" s="209" t="s">
        <v>1129</v>
      </c>
      <c r="T67" s="217">
        <v>140497</v>
      </c>
      <c r="U67" s="217">
        <v>7024855</v>
      </c>
      <c r="V67" s="217">
        <v>280994</v>
      </c>
      <c r="W67" s="217">
        <v>7446346</v>
      </c>
      <c r="Y67" s="212" t="b">
        <f t="shared" ref="Y67:Y130" si="3">EXACT($H67,$W67)</f>
        <v>0</v>
      </c>
      <c r="AA67" s="230" t="str">
        <f>HYPERLINK("#일위대가_호표!A351","P8-3-1/6 →")</f>
        <v>P8-3-1/6 →</v>
      </c>
    </row>
    <row r="68" spans="1:27" ht="24" customHeight="1">
      <c r="A68" s="218" t="s">
        <v>1756</v>
      </c>
      <c r="B68" s="218" t="s">
        <v>1757</v>
      </c>
      <c r="C68" s="213">
        <v>1</v>
      </c>
      <c r="D68" s="213" t="s">
        <v>1033</v>
      </c>
      <c r="E68" s="217">
        <f>호표!F359</f>
        <v>0</v>
      </c>
      <c r="F68" s="217">
        <f>호표!H359</f>
        <v>0</v>
      </c>
      <c r="G68" s="217">
        <f>호표!J359</f>
        <v>0</v>
      </c>
      <c r="H68" s="217">
        <f t="shared" si="2"/>
        <v>0</v>
      </c>
      <c r="I68" s="215" t="s">
        <v>1758</v>
      </c>
      <c r="J68" s="209" t="s">
        <v>68</v>
      </c>
      <c r="K68" s="209" t="s">
        <v>1759</v>
      </c>
      <c r="L68" s="209" t="s">
        <v>1129</v>
      </c>
      <c r="T68" s="217">
        <v>2652</v>
      </c>
      <c r="U68" s="217">
        <v>2317</v>
      </c>
      <c r="V68" s="217">
        <v>46</v>
      </c>
      <c r="W68" s="217">
        <v>5015</v>
      </c>
      <c r="Y68" s="212" t="b">
        <f t="shared" si="3"/>
        <v>0</v>
      </c>
      <c r="AA68" s="230" t="str">
        <f>HYPERLINK("#일위대가_호표!A359","S9-2-3/0 →")</f>
        <v>S9-2-3/0 →</v>
      </c>
    </row>
    <row r="69" spans="1:27" ht="24" customHeight="1">
      <c r="A69" s="218" t="s">
        <v>1760</v>
      </c>
      <c r="B69" s="218" t="s">
        <v>993</v>
      </c>
      <c r="C69" s="213">
        <v>1</v>
      </c>
      <c r="D69" s="213" t="s">
        <v>378</v>
      </c>
      <c r="E69" s="217">
        <f>호표!F365</f>
        <v>0</v>
      </c>
      <c r="F69" s="217">
        <f>호표!H365</f>
        <v>0</v>
      </c>
      <c r="G69" s="217">
        <f>호표!J365</f>
        <v>0</v>
      </c>
      <c r="H69" s="217">
        <f t="shared" si="2"/>
        <v>0</v>
      </c>
      <c r="I69" s="215" t="s">
        <v>1712</v>
      </c>
      <c r="J69" s="209" t="s">
        <v>68</v>
      </c>
      <c r="K69" s="209" t="s">
        <v>1761</v>
      </c>
      <c r="L69" s="209" t="s">
        <v>1129</v>
      </c>
      <c r="T69" s="217">
        <v>0</v>
      </c>
      <c r="U69" s="217">
        <v>190656</v>
      </c>
      <c r="V69" s="217">
        <v>5719</v>
      </c>
      <c r="W69" s="217">
        <v>196375</v>
      </c>
      <c r="Y69" s="212" t="b">
        <f t="shared" si="3"/>
        <v>0</v>
      </c>
      <c r="AA69" s="230" t="str">
        <f>HYPERLINK("#일위대가_호표!A365","PP10-1-2/4 →")</f>
        <v>PP10-1-2/4 →</v>
      </c>
    </row>
    <row r="70" spans="1:27" ht="24" customHeight="1">
      <c r="A70" s="218" t="s">
        <v>1762</v>
      </c>
      <c r="B70" s="218" t="s">
        <v>1718</v>
      </c>
      <c r="C70" s="213">
        <v>1</v>
      </c>
      <c r="D70" s="213" t="s">
        <v>378</v>
      </c>
      <c r="E70" s="217">
        <f>호표!F370</f>
        <v>0</v>
      </c>
      <c r="F70" s="217">
        <f>호표!H370</f>
        <v>0</v>
      </c>
      <c r="G70" s="217">
        <f>호표!J370</f>
        <v>0</v>
      </c>
      <c r="H70" s="217">
        <f t="shared" si="2"/>
        <v>0</v>
      </c>
      <c r="I70" s="215" t="s">
        <v>1712</v>
      </c>
      <c r="J70" s="209" t="s">
        <v>68</v>
      </c>
      <c r="K70" s="209" t="s">
        <v>1763</v>
      </c>
      <c r="L70" s="209" t="s">
        <v>1129</v>
      </c>
      <c r="T70" s="217">
        <v>0</v>
      </c>
      <c r="U70" s="217">
        <v>113911</v>
      </c>
      <c r="V70" s="217">
        <v>3417</v>
      </c>
      <c r="W70" s="217">
        <v>117328</v>
      </c>
      <c r="Y70" s="212" t="b">
        <f t="shared" si="3"/>
        <v>0</v>
      </c>
      <c r="AA70" s="230" t="str">
        <f>HYPERLINK("#일위대가_호표!A370","PP10-1-2/1 →")</f>
        <v>PP10-1-2/1 →</v>
      </c>
    </row>
    <row r="71" spans="1:27" ht="24" customHeight="1">
      <c r="A71" s="218" t="s">
        <v>1764</v>
      </c>
      <c r="B71" s="218" t="s">
        <v>1307</v>
      </c>
      <c r="C71" s="213">
        <v>1</v>
      </c>
      <c r="D71" s="213" t="s">
        <v>9</v>
      </c>
      <c r="E71" s="217">
        <f>호표!F375</f>
        <v>0</v>
      </c>
      <c r="F71" s="217">
        <f>호표!H375</f>
        <v>0</v>
      </c>
      <c r="G71" s="217">
        <f>호표!J375</f>
        <v>0</v>
      </c>
      <c r="H71" s="217">
        <f t="shared" si="2"/>
        <v>0</v>
      </c>
      <c r="I71" s="215" t="s">
        <v>1765</v>
      </c>
      <c r="J71" s="209" t="s">
        <v>68</v>
      </c>
      <c r="K71" s="209" t="s">
        <v>1308</v>
      </c>
      <c r="L71" s="209" t="s">
        <v>1129</v>
      </c>
      <c r="T71" s="217">
        <v>360</v>
      </c>
      <c r="U71" s="217">
        <v>1781</v>
      </c>
      <c r="V71" s="217">
        <v>53</v>
      </c>
      <c r="W71" s="217">
        <v>2194</v>
      </c>
      <c r="Y71" s="212" t="b">
        <f t="shared" si="3"/>
        <v>0</v>
      </c>
      <c r="AA71" s="230" t="str">
        <f>HYPERLINK("#일위대가_호표!A375","PP11-1-3/1 →")</f>
        <v>PP11-1-3/1 →</v>
      </c>
    </row>
    <row r="72" spans="1:27" ht="24" customHeight="1">
      <c r="A72" s="218" t="s">
        <v>1766</v>
      </c>
      <c r="B72" s="218" t="s">
        <v>1310</v>
      </c>
      <c r="C72" s="213">
        <v>1</v>
      </c>
      <c r="D72" s="213" t="s">
        <v>9</v>
      </c>
      <c r="E72" s="217">
        <f>호표!F381</f>
        <v>0</v>
      </c>
      <c r="F72" s="217">
        <f>호표!H381</f>
        <v>0</v>
      </c>
      <c r="G72" s="217">
        <f>호표!J381</f>
        <v>0</v>
      </c>
      <c r="H72" s="217">
        <f t="shared" si="2"/>
        <v>0</v>
      </c>
      <c r="I72" s="215" t="s">
        <v>1767</v>
      </c>
      <c r="J72" s="209" t="s">
        <v>68</v>
      </c>
      <c r="K72" s="209" t="s">
        <v>1311</v>
      </c>
      <c r="L72" s="209" t="s">
        <v>1129</v>
      </c>
      <c r="T72" s="217">
        <v>3978</v>
      </c>
      <c r="U72" s="217">
        <v>18165</v>
      </c>
      <c r="V72" s="217">
        <v>363</v>
      </c>
      <c r="W72" s="217">
        <v>22506</v>
      </c>
      <c r="Y72" s="212" t="b">
        <f t="shared" si="3"/>
        <v>0</v>
      </c>
      <c r="AA72" s="230" t="str">
        <f>HYPERLINK("#일위대가_호표!A381","PP11-2-4/100 →")</f>
        <v>PP11-2-4/100 →</v>
      </c>
    </row>
    <row r="73" spans="1:27" ht="24" customHeight="1">
      <c r="A73" s="218" t="s">
        <v>1768</v>
      </c>
      <c r="B73" s="218" t="s">
        <v>1769</v>
      </c>
      <c r="C73" s="213">
        <v>1</v>
      </c>
      <c r="D73" s="213" t="s">
        <v>378</v>
      </c>
      <c r="E73" s="217">
        <f>호표!F387</f>
        <v>0</v>
      </c>
      <c r="F73" s="217">
        <f>호표!H387</f>
        <v>0</v>
      </c>
      <c r="G73" s="217">
        <f>호표!J387</f>
        <v>0</v>
      </c>
      <c r="H73" s="217">
        <f t="shared" si="2"/>
        <v>0</v>
      </c>
      <c r="I73" s="215" t="s">
        <v>1770</v>
      </c>
      <c r="J73" s="209" t="s">
        <v>68</v>
      </c>
      <c r="K73" s="209" t="s">
        <v>1771</v>
      </c>
      <c r="L73" s="209" t="s">
        <v>1129</v>
      </c>
      <c r="T73" s="217">
        <v>0</v>
      </c>
      <c r="U73" s="217">
        <v>5965</v>
      </c>
      <c r="V73" s="217">
        <v>119</v>
      </c>
      <c r="W73" s="217">
        <v>6084</v>
      </c>
      <c r="Y73" s="212" t="b">
        <f t="shared" si="3"/>
        <v>0</v>
      </c>
      <c r="AA73" s="230" t="str">
        <f>HYPERLINK("#일위대가_호표!A387","PP10-2-3/2 →")</f>
        <v>PP10-2-3/2 →</v>
      </c>
    </row>
    <row r="74" spans="1:27" ht="24" customHeight="1">
      <c r="A74" s="218" t="s">
        <v>1772</v>
      </c>
      <c r="B74" s="218" t="s">
        <v>68</v>
      </c>
      <c r="C74" s="213">
        <v>1</v>
      </c>
      <c r="D74" s="213" t="s">
        <v>378</v>
      </c>
      <c r="E74" s="217">
        <f>호표!F391</f>
        <v>0</v>
      </c>
      <c r="F74" s="217">
        <f>호표!H391</f>
        <v>0</v>
      </c>
      <c r="G74" s="217">
        <f>호표!J391</f>
        <v>0</v>
      </c>
      <c r="H74" s="217">
        <f t="shared" si="2"/>
        <v>0</v>
      </c>
      <c r="I74" s="215" t="s">
        <v>1773</v>
      </c>
      <c r="J74" s="209" t="s">
        <v>68</v>
      </c>
      <c r="K74" s="209" t="s">
        <v>1774</v>
      </c>
      <c r="L74" s="209" t="s">
        <v>1129</v>
      </c>
      <c r="T74" s="217">
        <v>0</v>
      </c>
      <c r="U74" s="217">
        <v>32149</v>
      </c>
      <c r="V74" s="217">
        <v>642</v>
      </c>
      <c r="W74" s="217">
        <v>32791</v>
      </c>
      <c r="Y74" s="212" t="b">
        <f t="shared" si="3"/>
        <v>0</v>
      </c>
      <c r="AA74" s="230" t="str">
        <f>HYPERLINK("#일위대가_호표!A391","PP10-2-2/1 →")</f>
        <v>PP10-2-2/1 →</v>
      </c>
    </row>
    <row r="75" spans="1:27" ht="24" customHeight="1">
      <c r="A75" s="218" t="s">
        <v>1775</v>
      </c>
      <c r="B75" s="218" t="s">
        <v>1523</v>
      </c>
      <c r="C75" s="213">
        <v>1</v>
      </c>
      <c r="D75" s="213" t="s">
        <v>378</v>
      </c>
      <c r="E75" s="217">
        <f>호표!F396</f>
        <v>0</v>
      </c>
      <c r="F75" s="217">
        <f>호표!H396</f>
        <v>0</v>
      </c>
      <c r="G75" s="217">
        <f>호표!J396</f>
        <v>0</v>
      </c>
      <c r="H75" s="217">
        <f t="shared" si="2"/>
        <v>0</v>
      </c>
      <c r="I75" s="215" t="s">
        <v>1682</v>
      </c>
      <c r="J75" s="209" t="s">
        <v>68</v>
      </c>
      <c r="K75" s="209" t="s">
        <v>1776</v>
      </c>
      <c r="L75" s="209" t="s">
        <v>1129</v>
      </c>
      <c r="T75" s="217">
        <v>0</v>
      </c>
      <c r="U75" s="217">
        <v>88847</v>
      </c>
      <c r="V75" s="217">
        <v>2665</v>
      </c>
      <c r="W75" s="217">
        <v>91512</v>
      </c>
      <c r="Y75" s="212" t="b">
        <f t="shared" si="3"/>
        <v>0</v>
      </c>
      <c r="AA75" s="230" t="str">
        <f>HYPERLINK("#일위대가_호표!A396","PP10-1-1/2 →")</f>
        <v>PP10-1-1/2 →</v>
      </c>
    </row>
    <row r="76" spans="1:27" ht="24" customHeight="1">
      <c r="A76" s="218" t="s">
        <v>1777</v>
      </c>
      <c r="B76" s="218" t="s">
        <v>1264</v>
      </c>
      <c r="C76" s="213">
        <v>1</v>
      </c>
      <c r="D76" s="213" t="s">
        <v>9</v>
      </c>
      <c r="E76" s="217">
        <f>호표!F401</f>
        <v>0</v>
      </c>
      <c r="F76" s="217">
        <f>호표!H401</f>
        <v>0</v>
      </c>
      <c r="G76" s="217">
        <f>호표!J401</f>
        <v>0</v>
      </c>
      <c r="H76" s="217">
        <f t="shared" si="2"/>
        <v>0</v>
      </c>
      <c r="I76" s="215" t="s">
        <v>1778</v>
      </c>
      <c r="J76" s="209" t="s">
        <v>68</v>
      </c>
      <c r="K76" s="209" t="s">
        <v>1265</v>
      </c>
      <c r="L76" s="209" t="s">
        <v>1129</v>
      </c>
      <c r="T76" s="217">
        <v>0</v>
      </c>
      <c r="U76" s="217">
        <v>1414</v>
      </c>
      <c r="V76" s="217">
        <v>0</v>
      </c>
      <c r="W76" s="217">
        <v>1414</v>
      </c>
      <c r="Y76" s="212" t="b">
        <f t="shared" si="3"/>
        <v>0</v>
      </c>
      <c r="AA76" s="230" t="str">
        <f>HYPERLINK("#일위대가_호표!A401","P4-1-1/4 →")</f>
        <v>P4-1-1/4 →</v>
      </c>
    </row>
    <row r="77" spans="1:27" ht="24" customHeight="1">
      <c r="A77" s="218" t="s">
        <v>1779</v>
      </c>
      <c r="B77" s="218" t="s">
        <v>1266</v>
      </c>
      <c r="C77" s="213">
        <v>1</v>
      </c>
      <c r="D77" s="213" t="s">
        <v>9</v>
      </c>
      <c r="E77" s="217">
        <f>호표!F404</f>
        <v>0</v>
      </c>
      <c r="F77" s="217">
        <f>호표!H404</f>
        <v>0</v>
      </c>
      <c r="G77" s="217">
        <f>호표!J404</f>
        <v>0</v>
      </c>
      <c r="H77" s="217">
        <f t="shared" si="2"/>
        <v>0</v>
      </c>
      <c r="I77" s="215" t="s">
        <v>1780</v>
      </c>
      <c r="J77" s="209" t="s">
        <v>68</v>
      </c>
      <c r="K77" s="209" t="s">
        <v>1267</v>
      </c>
      <c r="L77" s="209" t="s">
        <v>1129</v>
      </c>
      <c r="T77" s="217">
        <v>0</v>
      </c>
      <c r="U77" s="217">
        <v>6907</v>
      </c>
      <c r="V77" s="217">
        <v>0</v>
      </c>
      <c r="W77" s="217">
        <v>6907</v>
      </c>
      <c r="Y77" s="212" t="b">
        <f t="shared" si="3"/>
        <v>0</v>
      </c>
      <c r="AA77" s="230" t="str">
        <f>HYPERLINK("#일위대가_호표!A404","R2-11-2/7 →")</f>
        <v>R2-11-2/7 →</v>
      </c>
    </row>
    <row r="78" spans="1:27" ht="24" customHeight="1">
      <c r="A78" s="218" t="s">
        <v>1781</v>
      </c>
      <c r="B78" s="218" t="s">
        <v>1268</v>
      </c>
      <c r="C78" s="213">
        <v>1</v>
      </c>
      <c r="D78" s="213" t="s">
        <v>9</v>
      </c>
      <c r="E78" s="217">
        <f>호표!F407</f>
        <v>0</v>
      </c>
      <c r="F78" s="217">
        <f>호표!H407</f>
        <v>0</v>
      </c>
      <c r="G78" s="217">
        <f>호표!J407</f>
        <v>0</v>
      </c>
      <c r="H78" s="217">
        <f t="shared" si="2"/>
        <v>0</v>
      </c>
      <c r="I78" s="215" t="s">
        <v>1782</v>
      </c>
      <c r="J78" s="209" t="s">
        <v>68</v>
      </c>
      <c r="K78" s="209" t="s">
        <v>1269</v>
      </c>
      <c r="L78" s="209" t="s">
        <v>1129</v>
      </c>
      <c r="T78" s="217">
        <v>740</v>
      </c>
      <c r="U78" s="217">
        <v>518</v>
      </c>
      <c r="V78" s="217">
        <v>0</v>
      </c>
      <c r="W78" s="217">
        <v>1258</v>
      </c>
      <c r="Y78" s="212" t="b">
        <f t="shared" si="3"/>
        <v>0</v>
      </c>
      <c r="AA78" s="230" t="str">
        <f>HYPERLINK("#일위대가_호표!A407","R2-11-1/0 →")</f>
        <v>R2-11-1/0 →</v>
      </c>
    </row>
    <row r="79" spans="1:27" ht="24" customHeight="1">
      <c r="A79" s="218" t="s">
        <v>1783</v>
      </c>
      <c r="B79" s="218" t="s">
        <v>1270</v>
      </c>
      <c r="C79" s="213">
        <v>1</v>
      </c>
      <c r="D79" s="213" t="s">
        <v>9</v>
      </c>
      <c r="E79" s="217">
        <f>호표!F411</f>
        <v>0</v>
      </c>
      <c r="F79" s="217">
        <f>호표!H411</f>
        <v>0</v>
      </c>
      <c r="G79" s="217">
        <f>호표!J411</f>
        <v>0</v>
      </c>
      <c r="H79" s="217">
        <f t="shared" si="2"/>
        <v>0</v>
      </c>
      <c r="I79" s="215" t="s">
        <v>1784</v>
      </c>
      <c r="J79" s="209" t="s">
        <v>68</v>
      </c>
      <c r="K79" s="209" t="s">
        <v>1271</v>
      </c>
      <c r="L79" s="209" t="s">
        <v>1129</v>
      </c>
      <c r="T79" s="217">
        <v>0</v>
      </c>
      <c r="U79" s="217">
        <v>3453</v>
      </c>
      <c r="V79" s="217">
        <v>0</v>
      </c>
      <c r="W79" s="217">
        <v>3453</v>
      </c>
      <c r="Y79" s="212" t="b">
        <f t="shared" si="3"/>
        <v>0</v>
      </c>
      <c r="AA79" s="230" t="str">
        <f>HYPERLINK("#일위대가_호표!A411","R2-11-3/1 →")</f>
        <v>R2-11-3/1 →</v>
      </c>
    </row>
    <row r="80" spans="1:27" ht="24" customHeight="1">
      <c r="A80" s="218" t="s">
        <v>1785</v>
      </c>
      <c r="B80" s="218" t="s">
        <v>1273</v>
      </c>
      <c r="C80" s="213">
        <v>1</v>
      </c>
      <c r="D80" s="213" t="s">
        <v>149</v>
      </c>
      <c r="E80" s="217">
        <f>호표!F414</f>
        <v>0</v>
      </c>
      <c r="F80" s="217">
        <f>호표!H414</f>
        <v>0</v>
      </c>
      <c r="G80" s="217">
        <f>호표!J414</f>
        <v>0</v>
      </c>
      <c r="H80" s="217">
        <f t="shared" si="2"/>
        <v>0</v>
      </c>
      <c r="I80" s="215" t="s">
        <v>1786</v>
      </c>
      <c r="J80" s="209" t="s">
        <v>68</v>
      </c>
      <c r="K80" s="209" t="s">
        <v>1274</v>
      </c>
      <c r="L80" s="209" t="s">
        <v>1129</v>
      </c>
      <c r="T80" s="217">
        <v>27900</v>
      </c>
      <c r="U80" s="217">
        <v>95287</v>
      </c>
      <c r="V80" s="217">
        <v>0</v>
      </c>
      <c r="W80" s="217">
        <v>123187</v>
      </c>
      <c r="Y80" s="212" t="b">
        <f t="shared" si="3"/>
        <v>0</v>
      </c>
      <c r="AA80" s="230" t="str">
        <f>HYPERLINK("#일위대가_호표!A414","R2-11-23 →")</f>
        <v>R2-11-23 →</v>
      </c>
    </row>
    <row r="81" spans="1:27" ht="24" customHeight="1">
      <c r="A81" s="218" t="s">
        <v>1787</v>
      </c>
      <c r="B81" s="218" t="s">
        <v>1276</v>
      </c>
      <c r="C81" s="213">
        <v>1</v>
      </c>
      <c r="D81" s="213" t="s">
        <v>1033</v>
      </c>
      <c r="E81" s="217">
        <f>호표!F425</f>
        <v>0</v>
      </c>
      <c r="F81" s="217">
        <f>호표!H425</f>
        <v>0</v>
      </c>
      <c r="G81" s="217">
        <f>호표!J425</f>
        <v>0</v>
      </c>
      <c r="H81" s="217">
        <f t="shared" si="2"/>
        <v>0</v>
      </c>
      <c r="I81" s="215" t="s">
        <v>1788</v>
      </c>
      <c r="J81" s="209" t="s">
        <v>68</v>
      </c>
      <c r="K81" s="209" t="s">
        <v>1277</v>
      </c>
      <c r="L81" s="209" t="s">
        <v>1129</v>
      </c>
      <c r="T81" s="217">
        <v>472</v>
      </c>
      <c r="U81" s="217">
        <v>2952</v>
      </c>
      <c r="V81" s="217">
        <v>91</v>
      </c>
      <c r="W81" s="217">
        <v>3515</v>
      </c>
      <c r="Y81" s="212" t="b">
        <f t="shared" si="3"/>
        <v>0</v>
      </c>
      <c r="AA81" s="230" t="str">
        <f>HYPERLINK("#일위대가_호표!A425","SE0039-4 →")</f>
        <v>SE0039-4 →</v>
      </c>
    </row>
    <row r="82" spans="1:27" ht="24" customHeight="1">
      <c r="A82" s="218" t="s">
        <v>1789</v>
      </c>
      <c r="B82" s="218" t="s">
        <v>1279</v>
      </c>
      <c r="C82" s="213">
        <v>1</v>
      </c>
      <c r="D82" s="213" t="s">
        <v>15</v>
      </c>
      <c r="E82" s="217">
        <f>호표!F433</f>
        <v>0</v>
      </c>
      <c r="F82" s="217">
        <f>호표!H433</f>
        <v>0</v>
      </c>
      <c r="G82" s="217">
        <f>호표!J433</f>
        <v>0</v>
      </c>
      <c r="H82" s="217">
        <f t="shared" si="2"/>
        <v>0</v>
      </c>
      <c r="I82" s="215" t="s">
        <v>1790</v>
      </c>
      <c r="J82" s="209" t="s">
        <v>68</v>
      </c>
      <c r="K82" s="209" t="s">
        <v>1280</v>
      </c>
      <c r="L82" s="209" t="s">
        <v>1129</v>
      </c>
      <c r="T82" s="217">
        <v>2693</v>
      </c>
      <c r="U82" s="217">
        <v>269347</v>
      </c>
      <c r="V82" s="217">
        <v>2386</v>
      </c>
      <c r="W82" s="217">
        <v>274426</v>
      </c>
      <c r="Y82" s="212" t="b">
        <f t="shared" si="3"/>
        <v>0</v>
      </c>
      <c r="AA82" s="230" t="str">
        <f>HYPERLINK("#일위대가_호표!A433","PP12-1-1-2 →")</f>
        <v>PP12-1-1-2 →</v>
      </c>
    </row>
    <row r="83" spans="1:27" ht="24" customHeight="1">
      <c r="A83" s="218" t="s">
        <v>1791</v>
      </c>
      <c r="B83" s="218" t="s">
        <v>1169</v>
      </c>
      <c r="C83" s="213">
        <v>1</v>
      </c>
      <c r="D83" s="213" t="s">
        <v>9</v>
      </c>
      <c r="E83" s="217">
        <f>호표!F439</f>
        <v>0</v>
      </c>
      <c r="F83" s="217">
        <f>호표!H439</f>
        <v>0</v>
      </c>
      <c r="G83" s="217">
        <f>호표!J439</f>
        <v>0</v>
      </c>
      <c r="H83" s="217">
        <f t="shared" si="2"/>
        <v>0</v>
      </c>
      <c r="I83" s="215" t="s">
        <v>1792</v>
      </c>
      <c r="J83" s="209" t="s">
        <v>68</v>
      </c>
      <c r="K83" s="209" t="s">
        <v>1281</v>
      </c>
      <c r="L83" s="209" t="s">
        <v>1129</v>
      </c>
      <c r="T83" s="217">
        <v>0</v>
      </c>
      <c r="U83" s="217">
        <v>5350</v>
      </c>
      <c r="V83" s="217">
        <v>107</v>
      </c>
      <c r="W83" s="217">
        <v>5457</v>
      </c>
      <c r="Y83" s="212" t="b">
        <f t="shared" si="3"/>
        <v>0</v>
      </c>
      <c r="AA83" s="230" t="str">
        <f>HYPERLINK("#일위대가_호표!A439","PP12-2-6/1 →")</f>
        <v>PP12-2-6/1 →</v>
      </c>
    </row>
    <row r="84" spans="1:27" ht="24" customHeight="1">
      <c r="A84" s="218" t="s">
        <v>1793</v>
      </c>
      <c r="B84" s="218" t="s">
        <v>68</v>
      </c>
      <c r="C84" s="213">
        <v>1</v>
      </c>
      <c r="D84" s="213" t="s">
        <v>9</v>
      </c>
      <c r="E84" s="217">
        <f>호표!F444</f>
        <v>0</v>
      </c>
      <c r="F84" s="217">
        <f>호표!H444</f>
        <v>0</v>
      </c>
      <c r="G84" s="217">
        <f>호표!J444</f>
        <v>0</v>
      </c>
      <c r="H84" s="217">
        <f t="shared" si="2"/>
        <v>0</v>
      </c>
      <c r="I84" s="215" t="s">
        <v>1794</v>
      </c>
      <c r="J84" s="209" t="s">
        <v>68</v>
      </c>
      <c r="K84" s="209" t="s">
        <v>1283</v>
      </c>
      <c r="L84" s="209" t="s">
        <v>1129</v>
      </c>
      <c r="T84" s="217">
        <v>0</v>
      </c>
      <c r="U84" s="217">
        <v>6041</v>
      </c>
      <c r="V84" s="217">
        <v>120</v>
      </c>
      <c r="W84" s="217">
        <v>6161</v>
      </c>
      <c r="Y84" s="212" t="b">
        <f t="shared" si="3"/>
        <v>0</v>
      </c>
      <c r="AA84" s="230" t="str">
        <f>HYPERLINK("#일위대가_호표!A444","PP12-2-5/1 →")</f>
        <v>PP12-2-5/1 →</v>
      </c>
    </row>
    <row r="85" spans="1:27" ht="24" customHeight="1">
      <c r="A85" s="218" t="s">
        <v>1795</v>
      </c>
      <c r="B85" s="218" t="s">
        <v>1285</v>
      </c>
      <c r="C85" s="213">
        <v>1</v>
      </c>
      <c r="D85" s="213" t="s">
        <v>1286</v>
      </c>
      <c r="E85" s="217">
        <f>호표!F449</f>
        <v>0</v>
      </c>
      <c r="F85" s="217">
        <f>호표!H449</f>
        <v>0</v>
      </c>
      <c r="G85" s="217">
        <f>호표!J449</f>
        <v>0</v>
      </c>
      <c r="H85" s="217">
        <f t="shared" si="2"/>
        <v>0</v>
      </c>
      <c r="I85" s="215" t="s">
        <v>68</v>
      </c>
      <c r="J85" s="209" t="s">
        <v>68</v>
      </c>
      <c r="K85" s="209" t="s">
        <v>1287</v>
      </c>
      <c r="L85" s="209" t="s">
        <v>1129</v>
      </c>
      <c r="T85" s="217">
        <v>0</v>
      </c>
      <c r="U85" s="217">
        <v>261108</v>
      </c>
      <c r="V85" s="217">
        <v>0</v>
      </c>
      <c r="W85" s="217">
        <v>261108</v>
      </c>
      <c r="Y85" s="212" t="b">
        <f t="shared" si="3"/>
        <v>0</v>
      </c>
      <c r="AA85" s="230" t="str">
        <f>HYPERLINK("#일위대가_호표!A449","R2-11-26 →")</f>
        <v>R2-11-26 →</v>
      </c>
    </row>
    <row r="86" spans="1:27" ht="24" customHeight="1">
      <c r="A86" s="218" t="s">
        <v>1796</v>
      </c>
      <c r="B86" s="218" t="s">
        <v>1288</v>
      </c>
      <c r="C86" s="213">
        <v>1</v>
      </c>
      <c r="D86" s="213" t="s">
        <v>1286</v>
      </c>
      <c r="E86" s="217">
        <f>호표!F452</f>
        <v>0</v>
      </c>
      <c r="F86" s="217">
        <f>호표!H452</f>
        <v>0</v>
      </c>
      <c r="G86" s="217">
        <f>호표!J452</f>
        <v>0</v>
      </c>
      <c r="H86" s="217">
        <f t="shared" si="2"/>
        <v>0</v>
      </c>
      <c r="I86" s="215" t="s">
        <v>68</v>
      </c>
      <c r="J86" s="209" t="s">
        <v>68</v>
      </c>
      <c r="K86" s="209" t="s">
        <v>1289</v>
      </c>
      <c r="L86" s="209" t="s">
        <v>1129</v>
      </c>
      <c r="T86" s="217">
        <v>0</v>
      </c>
      <c r="U86" s="217">
        <v>172698</v>
      </c>
      <c r="V86" s="217">
        <v>0</v>
      </c>
      <c r="W86" s="217">
        <v>172698</v>
      </c>
      <c r="Y86" s="212" t="b">
        <f t="shared" si="3"/>
        <v>0</v>
      </c>
      <c r="AA86" s="230" t="str">
        <f>HYPERLINK("#일위대가_호표!A452","R2-11-25 →")</f>
        <v>R2-11-25 →</v>
      </c>
    </row>
    <row r="87" spans="1:27" ht="24" customHeight="1">
      <c r="A87" s="218" t="s">
        <v>1797</v>
      </c>
      <c r="B87" s="218" t="s">
        <v>1295</v>
      </c>
      <c r="C87" s="213">
        <v>1</v>
      </c>
      <c r="D87" s="213" t="s">
        <v>9</v>
      </c>
      <c r="E87" s="217">
        <f>호표!F455</f>
        <v>0</v>
      </c>
      <c r="F87" s="217">
        <f>호표!H455</f>
        <v>0</v>
      </c>
      <c r="G87" s="217">
        <f>호표!J455</f>
        <v>0</v>
      </c>
      <c r="H87" s="217">
        <f t="shared" si="2"/>
        <v>0</v>
      </c>
      <c r="I87" s="215" t="s">
        <v>1798</v>
      </c>
      <c r="J87" s="209" t="s">
        <v>68</v>
      </c>
      <c r="K87" s="209" t="s">
        <v>1296</v>
      </c>
      <c r="L87" s="209" t="s">
        <v>1129</v>
      </c>
      <c r="T87" s="217">
        <v>0</v>
      </c>
      <c r="U87" s="217">
        <v>3075</v>
      </c>
      <c r="V87" s="217">
        <v>92</v>
      </c>
      <c r="W87" s="217">
        <v>3167</v>
      </c>
      <c r="Y87" s="212" t="b">
        <f t="shared" si="3"/>
        <v>0</v>
      </c>
      <c r="AA87" s="230" t="str">
        <f>HYPERLINK("#일위대가_호표!A455","PP12-3-1/1 →")</f>
        <v>PP12-3-1/1 →</v>
      </c>
    </row>
    <row r="88" spans="1:27" ht="24" customHeight="1">
      <c r="A88" s="218" t="s">
        <v>1799</v>
      </c>
      <c r="B88" s="218" t="s">
        <v>1800</v>
      </c>
      <c r="C88" s="213">
        <v>1</v>
      </c>
      <c r="D88" s="213" t="s">
        <v>9</v>
      </c>
      <c r="E88" s="217">
        <f>호표!F460</f>
        <v>0</v>
      </c>
      <c r="F88" s="217">
        <f>호표!H460</f>
        <v>0</v>
      </c>
      <c r="G88" s="217">
        <f>호표!J460</f>
        <v>0</v>
      </c>
      <c r="H88" s="217">
        <f t="shared" si="2"/>
        <v>0</v>
      </c>
      <c r="I88" s="215" t="s">
        <v>1801</v>
      </c>
      <c r="J88" s="209" t="s">
        <v>68</v>
      </c>
      <c r="K88" s="209" t="s">
        <v>1299</v>
      </c>
      <c r="L88" s="209" t="s">
        <v>1129</v>
      </c>
      <c r="T88" s="217">
        <v>11500</v>
      </c>
      <c r="U88" s="217">
        <v>16919</v>
      </c>
      <c r="V88" s="217">
        <v>338</v>
      </c>
      <c r="W88" s="217">
        <v>28757</v>
      </c>
      <c r="Y88" s="212" t="b">
        <f t="shared" si="3"/>
        <v>0</v>
      </c>
      <c r="AA88" s="230" t="str">
        <f>HYPERLINK("#일위대가_호표!A460","PP11-3-1/1 →")</f>
        <v>PP11-3-1/1 →</v>
      </c>
    </row>
    <row r="89" spans="1:27" ht="24" customHeight="1">
      <c r="A89" s="218" t="s">
        <v>1802</v>
      </c>
      <c r="B89" s="218" t="s">
        <v>1301</v>
      </c>
      <c r="C89" s="213">
        <v>1</v>
      </c>
      <c r="D89" s="213" t="s">
        <v>9</v>
      </c>
      <c r="E89" s="217">
        <f>호표!F466</f>
        <v>0</v>
      </c>
      <c r="F89" s="217">
        <f>호표!H466</f>
        <v>0</v>
      </c>
      <c r="G89" s="217">
        <f>호표!J466</f>
        <v>0</v>
      </c>
      <c r="H89" s="217">
        <f t="shared" si="2"/>
        <v>0</v>
      </c>
      <c r="I89" s="215" t="s">
        <v>1803</v>
      </c>
      <c r="J89" s="209" t="s">
        <v>68</v>
      </c>
      <c r="K89" s="209" t="s">
        <v>1302</v>
      </c>
      <c r="L89" s="209" t="s">
        <v>1129</v>
      </c>
      <c r="T89" s="217">
        <v>1660</v>
      </c>
      <c r="U89" s="217">
        <v>7127</v>
      </c>
      <c r="V89" s="217">
        <v>142</v>
      </c>
      <c r="W89" s="217">
        <v>8929</v>
      </c>
      <c r="Y89" s="212" t="b">
        <f t="shared" si="3"/>
        <v>0</v>
      </c>
      <c r="AA89" s="230" t="str">
        <f>HYPERLINK("#일위대가_호표!A466","PP11-2-2/1 →")</f>
        <v>PP11-2-2/1 →</v>
      </c>
    </row>
    <row r="90" spans="1:27" ht="24" customHeight="1">
      <c r="A90" s="218" t="s">
        <v>1804</v>
      </c>
      <c r="B90" s="218" t="s">
        <v>1304</v>
      </c>
      <c r="C90" s="213">
        <v>1</v>
      </c>
      <c r="D90" s="213" t="s">
        <v>9</v>
      </c>
      <c r="E90" s="217">
        <f>호표!F472</f>
        <v>0</v>
      </c>
      <c r="F90" s="217">
        <f>호표!H472</f>
        <v>0</v>
      </c>
      <c r="G90" s="217">
        <f>호표!J472</f>
        <v>0</v>
      </c>
      <c r="H90" s="217">
        <f t="shared" si="2"/>
        <v>0</v>
      </c>
      <c r="I90" s="215" t="s">
        <v>1805</v>
      </c>
      <c r="J90" s="209" t="s">
        <v>68</v>
      </c>
      <c r="K90" s="209" t="s">
        <v>1305</v>
      </c>
      <c r="L90" s="209" t="s">
        <v>1129</v>
      </c>
      <c r="T90" s="217">
        <v>5120</v>
      </c>
      <c r="U90" s="217">
        <v>11841</v>
      </c>
      <c r="V90" s="217">
        <v>236</v>
      </c>
      <c r="W90" s="217">
        <v>17197</v>
      </c>
      <c r="Y90" s="212" t="b">
        <f t="shared" si="3"/>
        <v>0</v>
      </c>
      <c r="AA90" s="230" t="str">
        <f>HYPERLINK("#일위대가_호표!A472","PP11-2-8/1 →")</f>
        <v>PP11-2-8/1 →</v>
      </c>
    </row>
    <row r="91" spans="1:27" ht="24" customHeight="1">
      <c r="A91" s="218" t="s">
        <v>1806</v>
      </c>
      <c r="B91" s="218" t="s">
        <v>1313</v>
      </c>
      <c r="C91" s="213">
        <v>1</v>
      </c>
      <c r="D91" s="213" t="s">
        <v>9</v>
      </c>
      <c r="E91" s="217">
        <f>호표!F479</f>
        <v>0</v>
      </c>
      <c r="F91" s="217">
        <f>호표!H479</f>
        <v>0</v>
      </c>
      <c r="G91" s="217">
        <f>호표!J479</f>
        <v>0</v>
      </c>
      <c r="H91" s="217">
        <f t="shared" si="2"/>
        <v>0</v>
      </c>
      <c r="I91" s="215" t="s">
        <v>68</v>
      </c>
      <c r="J91" s="209" t="s">
        <v>68</v>
      </c>
      <c r="K91" s="209" t="s">
        <v>1314</v>
      </c>
      <c r="L91" s="209" t="s">
        <v>1129</v>
      </c>
      <c r="T91" s="217">
        <v>36007</v>
      </c>
      <c r="U91" s="217">
        <v>79526</v>
      </c>
      <c r="V91" s="217">
        <v>2079</v>
      </c>
      <c r="W91" s="217">
        <v>117612</v>
      </c>
      <c r="Y91" s="212" t="b">
        <f t="shared" si="3"/>
        <v>0</v>
      </c>
      <c r="AA91" s="230" t="str">
        <f>HYPERLINK("#일위대가_호표!A479","_0051 →")</f>
        <v>_0051 →</v>
      </c>
    </row>
    <row r="92" spans="1:27" ht="24" customHeight="1">
      <c r="A92" s="218" t="s">
        <v>1807</v>
      </c>
      <c r="B92" s="218" t="s">
        <v>1315</v>
      </c>
      <c r="C92" s="213">
        <v>1</v>
      </c>
      <c r="D92" s="213" t="s">
        <v>9</v>
      </c>
      <c r="E92" s="217">
        <f>호표!F485</f>
        <v>0</v>
      </c>
      <c r="F92" s="217">
        <f>호표!H485</f>
        <v>0</v>
      </c>
      <c r="G92" s="217">
        <f>호표!J485</f>
        <v>0</v>
      </c>
      <c r="H92" s="217">
        <f t="shared" si="2"/>
        <v>0</v>
      </c>
      <c r="I92" s="215" t="s">
        <v>68</v>
      </c>
      <c r="J92" s="209" t="s">
        <v>68</v>
      </c>
      <c r="K92" s="209" t="s">
        <v>1316</v>
      </c>
      <c r="L92" s="209" t="s">
        <v>1129</v>
      </c>
      <c r="T92" s="217">
        <v>36007</v>
      </c>
      <c r="U92" s="217">
        <v>79526</v>
      </c>
      <c r="V92" s="217">
        <v>2079</v>
      </c>
      <c r="W92" s="217">
        <v>117612</v>
      </c>
      <c r="Y92" s="212" t="b">
        <f t="shared" si="3"/>
        <v>0</v>
      </c>
      <c r="AA92" s="230" t="str">
        <f>HYPERLINK("#일위대가_호표!A485","_0052 →")</f>
        <v>_0052 →</v>
      </c>
    </row>
    <row r="93" spans="1:27" ht="24" customHeight="1">
      <c r="A93" s="218" t="s">
        <v>1808</v>
      </c>
      <c r="B93" s="218" t="s">
        <v>1318</v>
      </c>
      <c r="C93" s="213">
        <v>1</v>
      </c>
      <c r="D93" s="213" t="s">
        <v>1033</v>
      </c>
      <c r="E93" s="217">
        <f>호표!F491</f>
        <v>0</v>
      </c>
      <c r="F93" s="217">
        <f>호표!H491</f>
        <v>0</v>
      </c>
      <c r="G93" s="217">
        <f>호표!J491</f>
        <v>0</v>
      </c>
      <c r="H93" s="217">
        <f t="shared" si="2"/>
        <v>0</v>
      </c>
      <c r="I93" s="215" t="s">
        <v>1809</v>
      </c>
      <c r="J93" s="209" t="s">
        <v>68</v>
      </c>
      <c r="K93" s="209" t="s">
        <v>1319</v>
      </c>
      <c r="L93" s="209" t="s">
        <v>1129</v>
      </c>
      <c r="T93" s="217">
        <v>80000</v>
      </c>
      <c r="U93" s="217">
        <v>11160</v>
      </c>
      <c r="V93" s="217">
        <v>223</v>
      </c>
      <c r="W93" s="217">
        <v>91383</v>
      </c>
      <c r="Y93" s="212" t="b">
        <f t="shared" si="3"/>
        <v>0</v>
      </c>
      <c r="AA93" s="230" t="str">
        <f>HYPERLINK("#일위대가_호표!A491","P4-2-5/1 →")</f>
        <v>P4-2-5/1 →</v>
      </c>
    </row>
    <row r="94" spans="1:27" ht="24" customHeight="1">
      <c r="A94" s="218" t="s">
        <v>1810</v>
      </c>
      <c r="B94" s="218" t="s">
        <v>1321</v>
      </c>
      <c r="C94" s="213">
        <v>1</v>
      </c>
      <c r="D94" s="213" t="s">
        <v>437</v>
      </c>
      <c r="E94" s="217">
        <f>호표!F497</f>
        <v>0</v>
      </c>
      <c r="F94" s="217">
        <f>호표!H497</f>
        <v>0</v>
      </c>
      <c r="G94" s="217">
        <f>호표!J497</f>
        <v>0</v>
      </c>
      <c r="H94" s="217">
        <f t="shared" si="2"/>
        <v>0</v>
      </c>
      <c r="I94" s="215" t="s">
        <v>68</v>
      </c>
      <c r="J94" s="209" t="s">
        <v>68</v>
      </c>
      <c r="K94" s="209" t="s">
        <v>1322</v>
      </c>
      <c r="L94" s="209" t="s">
        <v>1129</v>
      </c>
      <c r="T94" s="217">
        <v>544400</v>
      </c>
      <c r="U94" s="217">
        <v>96551</v>
      </c>
      <c r="V94" s="217">
        <v>2973</v>
      </c>
      <c r="W94" s="217">
        <v>643924</v>
      </c>
      <c r="Y94" s="212" t="b">
        <f t="shared" si="3"/>
        <v>0</v>
      </c>
      <c r="AA94" s="230" t="str">
        <f>HYPERLINK("#일위대가_호표!A497","_0061 →")</f>
        <v>_0061 →</v>
      </c>
    </row>
    <row r="95" spans="1:27" ht="24" customHeight="1">
      <c r="A95" s="218" t="s">
        <v>1811</v>
      </c>
      <c r="B95" s="218" t="s">
        <v>1324</v>
      </c>
      <c r="C95" s="213">
        <v>1</v>
      </c>
      <c r="D95" s="213" t="s">
        <v>437</v>
      </c>
      <c r="E95" s="217">
        <f>호표!F504</f>
        <v>0</v>
      </c>
      <c r="F95" s="217">
        <f>호표!H504</f>
        <v>0</v>
      </c>
      <c r="G95" s="217">
        <f>호표!J504</f>
        <v>0</v>
      </c>
      <c r="H95" s="217">
        <f t="shared" si="2"/>
        <v>0</v>
      </c>
      <c r="I95" s="215" t="s">
        <v>68</v>
      </c>
      <c r="J95" s="209" t="s">
        <v>68</v>
      </c>
      <c r="K95" s="209" t="s">
        <v>1325</v>
      </c>
      <c r="L95" s="209" t="s">
        <v>1129</v>
      </c>
      <c r="T95" s="217">
        <v>729400</v>
      </c>
      <c r="U95" s="217">
        <v>96551</v>
      </c>
      <c r="V95" s="217">
        <v>2973</v>
      </c>
      <c r="W95" s="217">
        <v>828924</v>
      </c>
      <c r="Y95" s="212" t="b">
        <f t="shared" si="3"/>
        <v>0</v>
      </c>
      <c r="AA95" s="230" t="str">
        <f>HYPERLINK("#일위대가_호표!A504","_0062 →")</f>
        <v>_0062 →</v>
      </c>
    </row>
    <row r="96" spans="1:27" ht="24" customHeight="1">
      <c r="A96" s="218" t="s">
        <v>1812</v>
      </c>
      <c r="B96" s="218" t="s">
        <v>1326</v>
      </c>
      <c r="C96" s="213">
        <v>1</v>
      </c>
      <c r="D96" s="213" t="s">
        <v>437</v>
      </c>
      <c r="E96" s="217">
        <f>호표!F511</f>
        <v>0</v>
      </c>
      <c r="F96" s="217">
        <f>호표!H511</f>
        <v>0</v>
      </c>
      <c r="G96" s="217">
        <f>호표!J511</f>
        <v>0</v>
      </c>
      <c r="H96" s="217">
        <f t="shared" si="2"/>
        <v>0</v>
      </c>
      <c r="I96" s="215" t="s">
        <v>68</v>
      </c>
      <c r="J96" s="209" t="s">
        <v>68</v>
      </c>
      <c r="K96" s="209" t="s">
        <v>1327</v>
      </c>
      <c r="L96" s="209" t="s">
        <v>1129</v>
      </c>
      <c r="T96" s="217">
        <v>549400</v>
      </c>
      <c r="U96" s="217">
        <v>96551</v>
      </c>
      <c r="V96" s="217">
        <v>2973</v>
      </c>
      <c r="W96" s="217">
        <v>648924</v>
      </c>
      <c r="Y96" s="212" t="b">
        <f t="shared" si="3"/>
        <v>0</v>
      </c>
      <c r="AA96" s="230" t="str">
        <f>HYPERLINK("#일위대가_호표!A511","_0063 →")</f>
        <v>_0063 →</v>
      </c>
    </row>
    <row r="97" spans="1:27" ht="24" customHeight="1">
      <c r="A97" s="218" t="s">
        <v>1813</v>
      </c>
      <c r="B97" s="218" t="s">
        <v>1020</v>
      </c>
      <c r="C97" s="213">
        <v>1</v>
      </c>
      <c r="D97" s="213" t="s">
        <v>437</v>
      </c>
      <c r="E97" s="217">
        <f>호표!F518</f>
        <v>0</v>
      </c>
      <c r="F97" s="217">
        <f>호표!H518</f>
        <v>0</v>
      </c>
      <c r="G97" s="217">
        <f>호표!J518</f>
        <v>0</v>
      </c>
      <c r="H97" s="217">
        <f t="shared" si="2"/>
        <v>0</v>
      </c>
      <c r="I97" s="215" t="s">
        <v>68</v>
      </c>
      <c r="J97" s="209" t="s">
        <v>68</v>
      </c>
      <c r="K97" s="209" t="s">
        <v>1328</v>
      </c>
      <c r="L97" s="209" t="s">
        <v>1129</v>
      </c>
      <c r="T97" s="217">
        <v>599400</v>
      </c>
      <c r="U97" s="217">
        <v>96551</v>
      </c>
      <c r="V97" s="217">
        <v>2973</v>
      </c>
      <c r="W97" s="217">
        <v>698924</v>
      </c>
      <c r="Y97" s="212" t="b">
        <f t="shared" si="3"/>
        <v>0</v>
      </c>
      <c r="AA97" s="230" t="str">
        <f>HYPERLINK("#일위대가_호표!A518","_0064 →")</f>
        <v>_0064 →</v>
      </c>
    </row>
    <row r="98" spans="1:27" ht="24" customHeight="1">
      <c r="A98" s="218" t="s">
        <v>1814</v>
      </c>
      <c r="B98" s="218" t="s">
        <v>1330</v>
      </c>
      <c r="C98" s="213">
        <v>1</v>
      </c>
      <c r="D98" s="213" t="s">
        <v>378</v>
      </c>
      <c r="E98" s="217">
        <f>호표!F525</f>
        <v>0</v>
      </c>
      <c r="F98" s="217">
        <f>호표!H525</f>
        <v>0</v>
      </c>
      <c r="G98" s="217">
        <f>호표!J525</f>
        <v>0</v>
      </c>
      <c r="H98" s="217">
        <f t="shared" si="2"/>
        <v>0</v>
      </c>
      <c r="I98" s="215" t="s">
        <v>68</v>
      </c>
      <c r="J98" s="209" t="s">
        <v>68</v>
      </c>
      <c r="K98" s="209" t="s">
        <v>1331</v>
      </c>
      <c r="L98" s="209" t="s">
        <v>1129</v>
      </c>
      <c r="T98" s="217">
        <v>59322</v>
      </c>
      <c r="U98" s="217">
        <v>245869</v>
      </c>
      <c r="V98" s="217">
        <v>9834</v>
      </c>
      <c r="W98" s="217">
        <v>315025</v>
      </c>
      <c r="Y98" s="212" t="b">
        <f t="shared" si="3"/>
        <v>0</v>
      </c>
      <c r="AA98" s="230" t="str">
        <f>HYPERLINK("#일위대가_호표!A525","_0071 →")</f>
        <v>_0071 →</v>
      </c>
    </row>
    <row r="99" spans="1:27" ht="24" customHeight="1">
      <c r="A99" s="218" t="s">
        <v>1815</v>
      </c>
      <c r="B99" s="218" t="s">
        <v>1332</v>
      </c>
      <c r="C99" s="213">
        <v>1</v>
      </c>
      <c r="D99" s="213" t="s">
        <v>378</v>
      </c>
      <c r="E99" s="217">
        <f>호표!F529</f>
        <v>0</v>
      </c>
      <c r="F99" s="217">
        <f>호표!H529</f>
        <v>0</v>
      </c>
      <c r="G99" s="217">
        <f>호표!J529</f>
        <v>0</v>
      </c>
      <c r="H99" s="217">
        <f t="shared" si="2"/>
        <v>0</v>
      </c>
      <c r="I99" s="215" t="s">
        <v>68</v>
      </c>
      <c r="J99" s="209" t="s">
        <v>68</v>
      </c>
      <c r="K99" s="209" t="s">
        <v>1333</v>
      </c>
      <c r="L99" s="209" t="s">
        <v>1129</v>
      </c>
      <c r="T99" s="217">
        <v>67479</v>
      </c>
      <c r="U99" s="217">
        <v>280994</v>
      </c>
      <c r="V99" s="217">
        <v>11239</v>
      </c>
      <c r="W99" s="217">
        <v>359712</v>
      </c>
      <c r="Y99" s="212" t="b">
        <f t="shared" si="3"/>
        <v>0</v>
      </c>
      <c r="AA99" s="230" t="str">
        <f>HYPERLINK("#일위대가_호표!A529","_0072 →")</f>
        <v>_0072 →</v>
      </c>
    </row>
    <row r="100" spans="1:27" ht="24" customHeight="1">
      <c r="A100" s="218" t="s">
        <v>1816</v>
      </c>
      <c r="B100" s="218" t="s">
        <v>1334</v>
      </c>
      <c r="C100" s="213">
        <v>1</v>
      </c>
      <c r="D100" s="213" t="s">
        <v>378</v>
      </c>
      <c r="E100" s="217">
        <f>호표!F533</f>
        <v>0</v>
      </c>
      <c r="F100" s="217">
        <f>호표!H533</f>
        <v>0</v>
      </c>
      <c r="G100" s="217">
        <f>호표!J533</f>
        <v>0</v>
      </c>
      <c r="H100" s="217">
        <f t="shared" si="2"/>
        <v>0</v>
      </c>
      <c r="I100" s="215" t="s">
        <v>68</v>
      </c>
      <c r="J100" s="209" t="s">
        <v>68</v>
      </c>
      <c r="K100" s="209" t="s">
        <v>1335</v>
      </c>
      <c r="L100" s="209" t="s">
        <v>1129</v>
      </c>
      <c r="T100" s="217">
        <v>54144</v>
      </c>
      <c r="U100" s="217">
        <v>224795</v>
      </c>
      <c r="V100" s="217">
        <v>8991</v>
      </c>
      <c r="W100" s="217">
        <v>287930</v>
      </c>
      <c r="Y100" s="212" t="b">
        <f t="shared" si="3"/>
        <v>0</v>
      </c>
      <c r="AA100" s="230" t="str">
        <f>HYPERLINK("#일위대가_호표!A533","_0073 →")</f>
        <v>_0073 →</v>
      </c>
    </row>
    <row r="101" spans="1:27" ht="24" customHeight="1">
      <c r="A101" s="218" t="s">
        <v>1817</v>
      </c>
      <c r="B101" s="218" t="s">
        <v>1337</v>
      </c>
      <c r="C101" s="213">
        <v>1</v>
      </c>
      <c r="D101" s="213" t="s">
        <v>437</v>
      </c>
      <c r="E101" s="217">
        <f>호표!F537</f>
        <v>0</v>
      </c>
      <c r="F101" s="217">
        <f>호표!H537</f>
        <v>0</v>
      </c>
      <c r="G101" s="217">
        <f>호표!J537</f>
        <v>0</v>
      </c>
      <c r="H101" s="217">
        <f t="shared" si="2"/>
        <v>0</v>
      </c>
      <c r="I101" s="215" t="s">
        <v>68</v>
      </c>
      <c r="J101" s="209" t="s">
        <v>68</v>
      </c>
      <c r="K101" s="209" t="s">
        <v>1338</v>
      </c>
      <c r="L101" s="209" t="s">
        <v>1129</v>
      </c>
      <c r="T101" s="217">
        <v>290255</v>
      </c>
      <c r="U101" s="217">
        <v>365292</v>
      </c>
      <c r="V101" s="217">
        <v>14611</v>
      </c>
      <c r="W101" s="217">
        <v>670158</v>
      </c>
      <c r="Y101" s="212" t="b">
        <f t="shared" si="3"/>
        <v>0</v>
      </c>
      <c r="AA101" s="230" t="str">
        <f>HYPERLINK("#일위대가_호표!A537","_0076 →")</f>
        <v>_0076 →</v>
      </c>
    </row>
    <row r="102" spans="1:27" ht="24" customHeight="1">
      <c r="A102" s="218" t="s">
        <v>1818</v>
      </c>
      <c r="B102" s="218" t="s">
        <v>1340</v>
      </c>
      <c r="C102" s="213">
        <v>1</v>
      </c>
      <c r="D102" s="213" t="s">
        <v>437</v>
      </c>
      <c r="E102" s="217">
        <f>호표!F542</f>
        <v>0</v>
      </c>
      <c r="F102" s="217">
        <f>호표!H542</f>
        <v>0</v>
      </c>
      <c r="G102" s="217">
        <f>호표!J542</f>
        <v>0</v>
      </c>
      <c r="H102" s="217">
        <f t="shared" si="2"/>
        <v>0</v>
      </c>
      <c r="I102" s="215" t="s">
        <v>68</v>
      </c>
      <c r="J102" s="209" t="s">
        <v>68</v>
      </c>
      <c r="K102" s="209" t="s">
        <v>1342</v>
      </c>
      <c r="L102" s="209" t="s">
        <v>1129</v>
      </c>
      <c r="T102" s="217">
        <v>155233</v>
      </c>
      <c r="U102" s="217">
        <v>196695</v>
      </c>
      <c r="V102" s="217">
        <v>7867</v>
      </c>
      <c r="W102" s="217">
        <v>359795</v>
      </c>
      <c r="Y102" s="212" t="b">
        <f t="shared" si="3"/>
        <v>0</v>
      </c>
      <c r="AA102" s="230" t="str">
        <f>HYPERLINK("#일위대가_호표!A542","_0077 →")</f>
        <v>_0077 →</v>
      </c>
    </row>
    <row r="103" spans="1:27" ht="24" customHeight="1">
      <c r="A103" s="218" t="s">
        <v>1819</v>
      </c>
      <c r="B103" s="218" t="s">
        <v>1295</v>
      </c>
      <c r="C103" s="213">
        <v>1</v>
      </c>
      <c r="D103" s="213" t="s">
        <v>9</v>
      </c>
      <c r="E103" s="217">
        <f>호표!F547</f>
        <v>0</v>
      </c>
      <c r="F103" s="217">
        <f>호표!H547</f>
        <v>0</v>
      </c>
      <c r="G103" s="217">
        <f>호표!J547</f>
        <v>0</v>
      </c>
      <c r="H103" s="217">
        <f t="shared" si="2"/>
        <v>0</v>
      </c>
      <c r="I103" s="215" t="s">
        <v>1798</v>
      </c>
      <c r="J103" s="209" t="s">
        <v>68</v>
      </c>
      <c r="K103" s="209" t="s">
        <v>1348</v>
      </c>
      <c r="L103" s="209" t="s">
        <v>1129</v>
      </c>
      <c r="T103" s="217">
        <v>0</v>
      </c>
      <c r="U103" s="217">
        <v>3690</v>
      </c>
      <c r="V103" s="217">
        <v>92</v>
      </c>
      <c r="W103" s="217">
        <v>3782</v>
      </c>
      <c r="Y103" s="212" t="b">
        <f t="shared" si="3"/>
        <v>0</v>
      </c>
      <c r="AA103" s="230" t="str">
        <f>HYPERLINK("#일위대가_호표!A547","PP12-3-1/2 →")</f>
        <v>PP12-3-1/2 →</v>
      </c>
    </row>
    <row r="104" spans="1:27" ht="24" customHeight="1">
      <c r="A104" s="218" t="s">
        <v>1820</v>
      </c>
      <c r="B104" s="218" t="s">
        <v>1349</v>
      </c>
      <c r="C104" s="213">
        <v>1</v>
      </c>
      <c r="D104" s="213" t="s">
        <v>9</v>
      </c>
      <c r="E104" s="217">
        <f>호표!F553</f>
        <v>0</v>
      </c>
      <c r="F104" s="217">
        <f>호표!H553</f>
        <v>0</v>
      </c>
      <c r="G104" s="217">
        <f>호표!J553</f>
        <v>0</v>
      </c>
      <c r="H104" s="217">
        <f t="shared" si="2"/>
        <v>0</v>
      </c>
      <c r="I104" s="215" t="s">
        <v>1803</v>
      </c>
      <c r="J104" s="209" t="s">
        <v>68</v>
      </c>
      <c r="K104" s="209" t="s">
        <v>1351</v>
      </c>
      <c r="L104" s="209" t="s">
        <v>1129</v>
      </c>
      <c r="T104" s="217">
        <v>1660</v>
      </c>
      <c r="U104" s="217">
        <v>8552</v>
      </c>
      <c r="V104" s="217">
        <v>142</v>
      </c>
      <c r="W104" s="217">
        <v>10354</v>
      </c>
      <c r="Y104" s="212" t="b">
        <f t="shared" si="3"/>
        <v>0</v>
      </c>
      <c r="AA104" s="230" t="str">
        <f>HYPERLINK("#일위대가_호표!A553","PP11-2-2/2 →")</f>
        <v>PP11-2-2/2 →</v>
      </c>
    </row>
    <row r="105" spans="1:27" ht="24" customHeight="1">
      <c r="A105" s="218" t="s">
        <v>1821</v>
      </c>
      <c r="B105" s="218" t="s">
        <v>1353</v>
      </c>
      <c r="C105" s="213">
        <v>1</v>
      </c>
      <c r="D105" s="213" t="s">
        <v>9</v>
      </c>
      <c r="E105" s="217">
        <f>호표!F560</f>
        <v>0</v>
      </c>
      <c r="F105" s="217">
        <f>호표!H560</f>
        <v>0</v>
      </c>
      <c r="G105" s="217">
        <f>호표!J560</f>
        <v>0</v>
      </c>
      <c r="H105" s="217">
        <f t="shared" si="2"/>
        <v>0</v>
      </c>
      <c r="I105" s="215" t="s">
        <v>1822</v>
      </c>
      <c r="J105" s="209" t="s">
        <v>68</v>
      </c>
      <c r="K105" s="209" t="s">
        <v>1355</v>
      </c>
      <c r="L105" s="209" t="s">
        <v>1129</v>
      </c>
      <c r="T105" s="217">
        <v>12444</v>
      </c>
      <c r="U105" s="217">
        <v>10874</v>
      </c>
      <c r="V105" s="217">
        <v>0</v>
      </c>
      <c r="W105" s="217">
        <v>23318</v>
      </c>
      <c r="Y105" s="212" t="b">
        <f t="shared" si="3"/>
        <v>0</v>
      </c>
      <c r="AA105" s="230" t="str">
        <f>HYPERLINK("#일위대가_호표!A560","P8-2-4/51 →")</f>
        <v>P8-2-4/51 →</v>
      </c>
    </row>
    <row r="106" spans="1:27" ht="24" customHeight="1">
      <c r="A106" s="218" t="s">
        <v>1823</v>
      </c>
      <c r="B106" s="218" t="s">
        <v>1357</v>
      </c>
      <c r="C106" s="213">
        <v>1</v>
      </c>
      <c r="D106" s="213" t="s">
        <v>9</v>
      </c>
      <c r="E106" s="217">
        <f>호표!F576</f>
        <v>0</v>
      </c>
      <c r="F106" s="217">
        <f>호표!H576</f>
        <v>0</v>
      </c>
      <c r="G106" s="217">
        <f>호표!J576</f>
        <v>0</v>
      </c>
      <c r="H106" s="217">
        <f t="shared" si="2"/>
        <v>0</v>
      </c>
      <c r="I106" s="215" t="s">
        <v>1824</v>
      </c>
      <c r="J106" s="209" t="s">
        <v>68</v>
      </c>
      <c r="K106" s="209" t="s">
        <v>1359</v>
      </c>
      <c r="L106" s="209" t="s">
        <v>1129</v>
      </c>
      <c r="T106" s="217">
        <v>197</v>
      </c>
      <c r="U106" s="217">
        <v>19765</v>
      </c>
      <c r="V106" s="217">
        <v>0</v>
      </c>
      <c r="W106" s="217">
        <v>19962</v>
      </c>
      <c r="Y106" s="212" t="b">
        <f t="shared" si="3"/>
        <v>0</v>
      </c>
      <c r="AA106" s="230" t="str">
        <f>HYPERLINK("#일위대가_호표!A576","P5-2-3/2 →")</f>
        <v>P5-2-3/2 →</v>
      </c>
    </row>
    <row r="107" spans="1:27" ht="24" customHeight="1">
      <c r="A107" s="218" t="s">
        <v>1825</v>
      </c>
      <c r="B107" s="218" t="s">
        <v>1361</v>
      </c>
      <c r="C107" s="213">
        <v>1</v>
      </c>
      <c r="D107" s="213" t="s">
        <v>9</v>
      </c>
      <c r="E107" s="217">
        <f>호표!F581</f>
        <v>0</v>
      </c>
      <c r="F107" s="217">
        <f>호표!H581</f>
        <v>0</v>
      </c>
      <c r="G107" s="217">
        <f>호표!J581</f>
        <v>0</v>
      </c>
      <c r="H107" s="217">
        <f t="shared" si="2"/>
        <v>0</v>
      </c>
      <c r="I107" s="215" t="s">
        <v>1826</v>
      </c>
      <c r="J107" s="209" t="s">
        <v>68</v>
      </c>
      <c r="K107" s="209" t="s">
        <v>1363</v>
      </c>
      <c r="L107" s="209" t="s">
        <v>1129</v>
      </c>
      <c r="T107" s="217">
        <v>5452</v>
      </c>
      <c r="U107" s="217">
        <v>22159</v>
      </c>
      <c r="V107" s="217">
        <v>369</v>
      </c>
      <c r="W107" s="217">
        <v>27980</v>
      </c>
      <c r="Y107" s="212" t="b">
        <f t="shared" si="3"/>
        <v>0</v>
      </c>
      <c r="AA107" s="230" t="str">
        <f>HYPERLINK("#일위대가_호표!A581","P4-2-3/0 →")</f>
        <v>P4-2-3/0 →</v>
      </c>
    </row>
    <row r="108" spans="1:27" ht="24" customHeight="1">
      <c r="A108" s="218" t="s">
        <v>1827</v>
      </c>
      <c r="B108" s="218" t="s">
        <v>1364</v>
      </c>
      <c r="C108" s="213">
        <v>1</v>
      </c>
      <c r="D108" s="213" t="s">
        <v>9</v>
      </c>
      <c r="E108" s="217">
        <f>호표!F588</f>
        <v>0</v>
      </c>
      <c r="F108" s="217">
        <f>호표!H588</f>
        <v>0</v>
      </c>
      <c r="G108" s="217">
        <f>호표!J588</f>
        <v>0</v>
      </c>
      <c r="H108" s="217">
        <f t="shared" si="2"/>
        <v>0</v>
      </c>
      <c r="I108" s="215" t="s">
        <v>1828</v>
      </c>
      <c r="J108" s="209" t="s">
        <v>68</v>
      </c>
      <c r="K108" s="209" t="s">
        <v>1366</v>
      </c>
      <c r="L108" s="209" t="s">
        <v>1129</v>
      </c>
      <c r="T108" s="217">
        <v>360</v>
      </c>
      <c r="U108" s="217">
        <v>5240</v>
      </c>
      <c r="V108" s="217">
        <v>131</v>
      </c>
      <c r="W108" s="217">
        <v>5731</v>
      </c>
      <c r="Y108" s="212" t="b">
        <f t="shared" si="3"/>
        <v>0</v>
      </c>
      <c r="AA108" s="230" t="str">
        <f>HYPERLINK("#일위대가_호표!A588","PP11-1-4/2 →")</f>
        <v>PP11-1-4/2 →</v>
      </c>
    </row>
    <row r="109" spans="1:27" ht="24" customHeight="1">
      <c r="A109" s="218" t="s">
        <v>1829</v>
      </c>
      <c r="B109" s="218" t="s">
        <v>1368</v>
      </c>
      <c r="C109" s="213">
        <v>1</v>
      </c>
      <c r="D109" s="213" t="s">
        <v>9</v>
      </c>
      <c r="E109" s="217">
        <f>호표!F600</f>
        <v>0</v>
      </c>
      <c r="F109" s="217">
        <f>호표!H600</f>
        <v>0</v>
      </c>
      <c r="G109" s="217">
        <f>호표!J600</f>
        <v>0</v>
      </c>
      <c r="H109" s="217">
        <f t="shared" si="2"/>
        <v>0</v>
      </c>
      <c r="I109" s="215" t="s">
        <v>1830</v>
      </c>
      <c r="J109" s="209" t="s">
        <v>68</v>
      </c>
      <c r="K109" s="209" t="s">
        <v>1370</v>
      </c>
      <c r="L109" s="209" t="s">
        <v>1129</v>
      </c>
      <c r="T109" s="217">
        <v>3653</v>
      </c>
      <c r="U109" s="217">
        <v>13473</v>
      </c>
      <c r="V109" s="217">
        <v>224</v>
      </c>
      <c r="W109" s="217">
        <v>17350</v>
      </c>
      <c r="Y109" s="212" t="b">
        <f t="shared" si="3"/>
        <v>0</v>
      </c>
      <c r="AA109" s="230" t="str">
        <f>HYPERLINK("#일위대가_호표!A600","PP11-2-7/2 →")</f>
        <v>PP11-2-7/2 →</v>
      </c>
    </row>
    <row r="110" spans="1:27" ht="24" customHeight="1">
      <c r="A110" s="218" t="s">
        <v>1831</v>
      </c>
      <c r="B110" s="218" t="s">
        <v>1372</v>
      </c>
      <c r="C110" s="213">
        <v>1</v>
      </c>
      <c r="D110" s="213" t="s">
        <v>1033</v>
      </c>
      <c r="E110" s="217">
        <f>호표!F607</f>
        <v>0</v>
      </c>
      <c r="F110" s="217">
        <f>호표!H607</f>
        <v>0</v>
      </c>
      <c r="G110" s="217">
        <f>호표!J607</f>
        <v>0</v>
      </c>
      <c r="H110" s="217">
        <f t="shared" si="2"/>
        <v>0</v>
      </c>
      <c r="I110" s="215" t="s">
        <v>1832</v>
      </c>
      <c r="J110" s="209" t="s">
        <v>68</v>
      </c>
      <c r="K110" s="209" t="s">
        <v>1374</v>
      </c>
      <c r="L110" s="209" t="s">
        <v>1129</v>
      </c>
      <c r="T110" s="217">
        <v>10763</v>
      </c>
      <c r="U110" s="217">
        <v>14861</v>
      </c>
      <c r="V110" s="217">
        <v>471</v>
      </c>
      <c r="W110" s="217">
        <v>26095</v>
      </c>
      <c r="Y110" s="212" t="b">
        <f t="shared" si="3"/>
        <v>0</v>
      </c>
      <c r="AA110" s="230" t="str">
        <f>HYPERLINK("#일위대가_호표!A607","P8-1-5/3 →")</f>
        <v>P8-1-5/3 →</v>
      </c>
    </row>
    <row r="111" spans="1:27" ht="24" customHeight="1">
      <c r="A111" s="218" t="s">
        <v>1833</v>
      </c>
      <c r="B111" s="218" t="s">
        <v>1375</v>
      </c>
      <c r="C111" s="213">
        <v>1</v>
      </c>
      <c r="D111" s="213" t="s">
        <v>1033</v>
      </c>
      <c r="E111" s="217">
        <f>호표!F614</f>
        <v>0</v>
      </c>
      <c r="F111" s="217">
        <f>호표!H614</f>
        <v>0</v>
      </c>
      <c r="G111" s="217">
        <f>호표!J614</f>
        <v>0</v>
      </c>
      <c r="H111" s="217">
        <f t="shared" si="2"/>
        <v>0</v>
      </c>
      <c r="I111" s="215" t="s">
        <v>1832</v>
      </c>
      <c r="J111" s="209" t="s">
        <v>68</v>
      </c>
      <c r="K111" s="209" t="s">
        <v>1377</v>
      </c>
      <c r="L111" s="209" t="s">
        <v>1129</v>
      </c>
      <c r="T111" s="217">
        <v>3577</v>
      </c>
      <c r="U111" s="217">
        <v>12429</v>
      </c>
      <c r="V111" s="217">
        <v>425</v>
      </c>
      <c r="W111" s="217">
        <v>16431</v>
      </c>
      <c r="Y111" s="212" t="b">
        <f t="shared" si="3"/>
        <v>0</v>
      </c>
      <c r="AA111" s="230" t="str">
        <f>HYPERLINK("#일위대가_호표!A614","P8-1-5/4 →")</f>
        <v>P8-1-5/4 →</v>
      </c>
    </row>
    <row r="112" spans="1:27" ht="24" customHeight="1">
      <c r="A112" s="218" t="s">
        <v>1834</v>
      </c>
      <c r="B112" s="218" t="s">
        <v>1379</v>
      </c>
      <c r="C112" s="213">
        <v>1</v>
      </c>
      <c r="D112" s="213" t="s">
        <v>378</v>
      </c>
      <c r="E112" s="217">
        <f>호표!F621</f>
        <v>0</v>
      </c>
      <c r="F112" s="217">
        <f>호표!H621</f>
        <v>0</v>
      </c>
      <c r="G112" s="217">
        <f>호표!J621</f>
        <v>0</v>
      </c>
      <c r="H112" s="217">
        <f t="shared" si="2"/>
        <v>0</v>
      </c>
      <c r="I112" s="215" t="s">
        <v>1835</v>
      </c>
      <c r="J112" s="209" t="s">
        <v>68</v>
      </c>
      <c r="K112" s="209" t="s">
        <v>1381</v>
      </c>
      <c r="L112" s="209" t="s">
        <v>1129</v>
      </c>
      <c r="T112" s="217">
        <v>18500</v>
      </c>
      <c r="U112" s="217">
        <v>89585</v>
      </c>
      <c r="V112" s="217">
        <v>2687</v>
      </c>
      <c r="W112" s="217">
        <v>110772</v>
      </c>
      <c r="Y112" s="212" t="b">
        <f t="shared" si="3"/>
        <v>0</v>
      </c>
      <c r="AA112" s="230" t="str">
        <f>HYPERLINK("#일위대가_호표!A621","P8-1-6/1 →")</f>
        <v>P8-1-6/1 →</v>
      </c>
    </row>
    <row r="113" spans="1:27" ht="24" customHeight="1">
      <c r="A113" s="218" t="s">
        <v>1836</v>
      </c>
      <c r="B113" s="218" t="s">
        <v>1386</v>
      </c>
      <c r="C113" s="213">
        <v>1</v>
      </c>
      <c r="D113" s="213" t="s">
        <v>378</v>
      </c>
      <c r="E113" s="217">
        <f>호표!F627</f>
        <v>0</v>
      </c>
      <c r="F113" s="217">
        <f>호표!H627</f>
        <v>0</v>
      </c>
      <c r="G113" s="217">
        <f>호표!J627</f>
        <v>0</v>
      </c>
      <c r="H113" s="217">
        <f t="shared" si="2"/>
        <v>0</v>
      </c>
      <c r="I113" s="215" t="s">
        <v>68</v>
      </c>
      <c r="J113" s="209" t="s">
        <v>68</v>
      </c>
      <c r="K113" s="209" t="s">
        <v>1388</v>
      </c>
      <c r="L113" s="209" t="s">
        <v>1129</v>
      </c>
      <c r="T113" s="217">
        <v>317266</v>
      </c>
      <c r="U113" s="217">
        <v>724077</v>
      </c>
      <c r="V113" s="217">
        <v>27615</v>
      </c>
      <c r="W113" s="217">
        <v>1068958</v>
      </c>
      <c r="Y113" s="212" t="b">
        <f t="shared" si="3"/>
        <v>0</v>
      </c>
      <c r="AA113" s="230" t="str">
        <f>HYPERLINK("#일위대가_호표!A627","_0080 →")</f>
        <v>_0080 →</v>
      </c>
    </row>
    <row r="114" spans="1:27" ht="24" customHeight="1">
      <c r="A114" s="218" t="s">
        <v>1837</v>
      </c>
      <c r="B114" s="218" t="s">
        <v>1391</v>
      </c>
      <c r="C114" s="213">
        <v>1</v>
      </c>
      <c r="D114" s="213" t="s">
        <v>149</v>
      </c>
      <c r="E114" s="217">
        <f>호표!F635</f>
        <v>0</v>
      </c>
      <c r="F114" s="217">
        <f>호표!H635</f>
        <v>0</v>
      </c>
      <c r="G114" s="217">
        <f>호표!J635</f>
        <v>0</v>
      </c>
      <c r="H114" s="217">
        <f t="shared" si="2"/>
        <v>0</v>
      </c>
      <c r="I114" s="215" t="s">
        <v>1838</v>
      </c>
      <c r="J114" s="209" t="s">
        <v>68</v>
      </c>
      <c r="K114" s="209" t="s">
        <v>1392</v>
      </c>
      <c r="L114" s="209" t="s">
        <v>1129</v>
      </c>
      <c r="T114" s="217">
        <v>2000000</v>
      </c>
      <c r="U114" s="217">
        <v>585611</v>
      </c>
      <c r="V114" s="217">
        <v>11712</v>
      </c>
      <c r="W114" s="217">
        <v>2597323</v>
      </c>
      <c r="Y114" s="212" t="b">
        <f t="shared" si="3"/>
        <v>0</v>
      </c>
      <c r="AA114" s="230" t="str">
        <f>HYPERLINK("#일위대가_호표!A635","S8-2-4/2 →")</f>
        <v>S8-2-4/2 →</v>
      </c>
    </row>
    <row r="115" spans="1:27" ht="24" customHeight="1">
      <c r="A115" s="218" t="s">
        <v>1839</v>
      </c>
      <c r="B115" s="218" t="s">
        <v>1393</v>
      </c>
      <c r="C115" s="213">
        <v>1</v>
      </c>
      <c r="D115" s="213" t="s">
        <v>149</v>
      </c>
      <c r="E115" s="217">
        <f>호표!F646</f>
        <v>0</v>
      </c>
      <c r="F115" s="217">
        <f>호표!H646</f>
        <v>0</v>
      </c>
      <c r="G115" s="217">
        <f>호표!J646</f>
        <v>0</v>
      </c>
      <c r="H115" s="217">
        <f t="shared" si="2"/>
        <v>0</v>
      </c>
      <c r="I115" s="215" t="s">
        <v>1838</v>
      </c>
      <c r="J115" s="209" t="s">
        <v>68</v>
      </c>
      <c r="K115" s="209" t="s">
        <v>1394</v>
      </c>
      <c r="L115" s="209" t="s">
        <v>1129</v>
      </c>
      <c r="T115" s="217">
        <v>1400000</v>
      </c>
      <c r="U115" s="217">
        <v>585611</v>
      </c>
      <c r="V115" s="217">
        <v>11712</v>
      </c>
      <c r="W115" s="217">
        <v>1997323</v>
      </c>
      <c r="Y115" s="212" t="b">
        <f t="shared" si="3"/>
        <v>0</v>
      </c>
      <c r="AA115" s="230" t="str">
        <f>HYPERLINK("#일위대가_호표!A646","S8-2-4/3 →")</f>
        <v>S8-2-4/3 →</v>
      </c>
    </row>
    <row r="116" spans="1:27" ht="24" customHeight="1">
      <c r="A116" s="218" t="s">
        <v>1840</v>
      </c>
      <c r="B116" s="218" t="s">
        <v>1396</v>
      </c>
      <c r="C116" s="213">
        <v>1</v>
      </c>
      <c r="D116" s="213" t="s">
        <v>149</v>
      </c>
      <c r="E116" s="217">
        <f>호표!F657</f>
        <v>0</v>
      </c>
      <c r="F116" s="217">
        <f>호표!H657</f>
        <v>0</v>
      </c>
      <c r="G116" s="217">
        <f>호표!J657</f>
        <v>0</v>
      </c>
      <c r="H116" s="217">
        <f t="shared" si="2"/>
        <v>0</v>
      </c>
      <c r="I116" s="215" t="s">
        <v>1838</v>
      </c>
      <c r="J116" s="209" t="s">
        <v>68</v>
      </c>
      <c r="K116" s="209" t="s">
        <v>1397</v>
      </c>
      <c r="L116" s="209" t="s">
        <v>1129</v>
      </c>
      <c r="T116" s="217">
        <v>1420000</v>
      </c>
      <c r="U116" s="217">
        <v>585611</v>
      </c>
      <c r="V116" s="217">
        <v>11712</v>
      </c>
      <c r="W116" s="217">
        <v>2017323</v>
      </c>
      <c r="Y116" s="212" t="b">
        <f t="shared" si="3"/>
        <v>0</v>
      </c>
      <c r="AA116" s="230" t="str">
        <f>HYPERLINK("#일위대가_호표!A657","S8-2-4/5 →")</f>
        <v>S8-2-4/5 →</v>
      </c>
    </row>
    <row r="117" spans="1:27" ht="24" customHeight="1">
      <c r="A117" s="218" t="s">
        <v>1841</v>
      </c>
      <c r="B117" s="218" t="s">
        <v>1408</v>
      </c>
      <c r="C117" s="213">
        <v>1</v>
      </c>
      <c r="D117" s="213" t="s">
        <v>378</v>
      </c>
      <c r="E117" s="217">
        <f>호표!F668</f>
        <v>0</v>
      </c>
      <c r="F117" s="217">
        <f>호표!H668</f>
        <v>0</v>
      </c>
      <c r="G117" s="217">
        <f>호표!J668</f>
        <v>0</v>
      </c>
      <c r="H117" s="217">
        <f t="shared" si="2"/>
        <v>0</v>
      </c>
      <c r="I117" s="215" t="s">
        <v>1842</v>
      </c>
      <c r="J117" s="209" t="s">
        <v>68</v>
      </c>
      <c r="K117" s="209" t="s">
        <v>1409</v>
      </c>
      <c r="L117" s="209" t="s">
        <v>1129</v>
      </c>
      <c r="T117" s="217">
        <v>0</v>
      </c>
      <c r="U117" s="217">
        <v>8589</v>
      </c>
      <c r="V117" s="217">
        <v>171</v>
      </c>
      <c r="W117" s="217">
        <v>8760</v>
      </c>
      <c r="Y117" s="212" t="b">
        <f t="shared" si="3"/>
        <v>0</v>
      </c>
      <c r="AA117" s="230" t="str">
        <f>HYPERLINK("#일위대가_호표!A668","S1-2-1/4 →")</f>
        <v>S1-2-1/4 →</v>
      </c>
    </row>
    <row r="118" spans="1:27" ht="24" customHeight="1">
      <c r="A118" s="218" t="s">
        <v>1843</v>
      </c>
      <c r="B118" s="218" t="s">
        <v>1411</v>
      </c>
      <c r="C118" s="213">
        <v>1</v>
      </c>
      <c r="D118" s="213" t="s">
        <v>1412</v>
      </c>
      <c r="E118" s="217">
        <f>호표!F672</f>
        <v>0</v>
      </c>
      <c r="F118" s="217">
        <f>호표!H672</f>
        <v>0</v>
      </c>
      <c r="G118" s="217">
        <f>호표!J672</f>
        <v>0</v>
      </c>
      <c r="H118" s="217">
        <f t="shared" si="2"/>
        <v>0</v>
      </c>
      <c r="I118" s="215" t="s">
        <v>1844</v>
      </c>
      <c r="J118" s="209" t="s">
        <v>68</v>
      </c>
      <c r="K118" s="209" t="s">
        <v>1413</v>
      </c>
      <c r="L118" s="209" t="s">
        <v>1129</v>
      </c>
      <c r="T118" s="217">
        <v>42000</v>
      </c>
      <c r="U118" s="217">
        <v>72794</v>
      </c>
      <c r="V118" s="217">
        <v>0</v>
      </c>
      <c r="W118" s="217">
        <v>114794</v>
      </c>
      <c r="Y118" s="212" t="b">
        <f t="shared" si="3"/>
        <v>0</v>
      </c>
      <c r="AA118" s="230" t="str">
        <f>HYPERLINK("#일위대가_호표!A672","S4-2-2/1 →")</f>
        <v>S4-2-2/1 →</v>
      </c>
    </row>
    <row r="119" spans="1:27" ht="24" customHeight="1">
      <c r="A119" s="218" t="s">
        <v>1845</v>
      </c>
      <c r="B119" s="218" t="s">
        <v>1414</v>
      </c>
      <c r="C119" s="213">
        <v>1</v>
      </c>
      <c r="D119" s="213" t="s">
        <v>1412</v>
      </c>
      <c r="E119" s="217">
        <f>호표!F676</f>
        <v>0</v>
      </c>
      <c r="F119" s="217">
        <f>호표!H676</f>
        <v>0</v>
      </c>
      <c r="G119" s="217">
        <f>호표!J676</f>
        <v>0</v>
      </c>
      <c r="H119" s="217">
        <f t="shared" si="2"/>
        <v>0</v>
      </c>
      <c r="I119" s="215" t="s">
        <v>1844</v>
      </c>
      <c r="J119" s="209" t="s">
        <v>68</v>
      </c>
      <c r="K119" s="209" t="s">
        <v>1415</v>
      </c>
      <c r="L119" s="209" t="s">
        <v>1129</v>
      </c>
      <c r="T119" s="217">
        <v>499000</v>
      </c>
      <c r="U119" s="217">
        <v>121323</v>
      </c>
      <c r="V119" s="217">
        <v>0</v>
      </c>
      <c r="W119" s="217">
        <v>620323</v>
      </c>
      <c r="Y119" s="212" t="b">
        <f t="shared" si="3"/>
        <v>0</v>
      </c>
      <c r="AA119" s="230" t="str">
        <f>HYPERLINK("#일위대가_호표!A676","S4-2-2/3 →")</f>
        <v>S4-2-2/3 →</v>
      </c>
    </row>
    <row r="120" spans="1:27" ht="24" customHeight="1">
      <c r="A120" s="218" t="s">
        <v>1846</v>
      </c>
      <c r="B120" s="218" t="s">
        <v>1426</v>
      </c>
      <c r="C120" s="213">
        <v>1</v>
      </c>
      <c r="D120" s="213" t="s">
        <v>1033</v>
      </c>
      <c r="E120" s="217">
        <f>호표!F680</f>
        <v>0</v>
      </c>
      <c r="F120" s="217">
        <f>호표!H680</f>
        <v>0</v>
      </c>
      <c r="G120" s="217">
        <f>호표!J680</f>
        <v>0</v>
      </c>
      <c r="H120" s="217">
        <f t="shared" si="2"/>
        <v>0</v>
      </c>
      <c r="I120" s="215" t="s">
        <v>1847</v>
      </c>
      <c r="J120" s="209" t="s">
        <v>68</v>
      </c>
      <c r="K120" s="209" t="s">
        <v>1427</v>
      </c>
      <c r="L120" s="209" t="s">
        <v>1129</v>
      </c>
      <c r="T120" s="217">
        <v>0</v>
      </c>
      <c r="U120" s="217">
        <v>8643</v>
      </c>
      <c r="V120" s="217">
        <v>172</v>
      </c>
      <c r="W120" s="217">
        <v>8815</v>
      </c>
      <c r="Y120" s="212" t="b">
        <f t="shared" si="3"/>
        <v>0</v>
      </c>
      <c r="AA120" s="230" t="str">
        <f>HYPERLINK("#일위대가_호표!A680","S1-5-2/05 →")</f>
        <v>S1-5-2/05 →</v>
      </c>
    </row>
    <row r="121" spans="1:27" ht="24" customHeight="1">
      <c r="A121" s="218" t="s">
        <v>1848</v>
      </c>
      <c r="B121" s="218" t="s">
        <v>635</v>
      </c>
      <c r="C121" s="213">
        <v>1</v>
      </c>
      <c r="D121" s="213" t="s">
        <v>1033</v>
      </c>
      <c r="E121" s="217">
        <f>호표!F685</f>
        <v>0</v>
      </c>
      <c r="F121" s="217">
        <f>호표!H685</f>
        <v>0</v>
      </c>
      <c r="G121" s="217">
        <f>호표!J685</f>
        <v>0</v>
      </c>
      <c r="H121" s="217">
        <f t="shared" si="2"/>
        <v>0</v>
      </c>
      <c r="I121" s="215" t="s">
        <v>1847</v>
      </c>
      <c r="J121" s="209" t="s">
        <v>68</v>
      </c>
      <c r="K121" s="209" t="s">
        <v>1435</v>
      </c>
      <c r="L121" s="209" t="s">
        <v>1129</v>
      </c>
      <c r="T121" s="217">
        <v>0</v>
      </c>
      <c r="U121" s="217">
        <v>11576</v>
      </c>
      <c r="V121" s="217">
        <v>231</v>
      </c>
      <c r="W121" s="217">
        <v>11807</v>
      </c>
      <c r="Y121" s="212" t="b">
        <f t="shared" si="3"/>
        <v>0</v>
      </c>
      <c r="AA121" s="230" t="str">
        <f>HYPERLINK("#일위대가_호표!A685","S1-5-2/09 →")</f>
        <v>S1-5-2/09 →</v>
      </c>
    </row>
    <row r="122" spans="1:27" ht="24" customHeight="1">
      <c r="A122" s="218" t="s">
        <v>1849</v>
      </c>
      <c r="B122" s="218" t="s">
        <v>1437</v>
      </c>
      <c r="C122" s="213">
        <v>1</v>
      </c>
      <c r="D122" s="213" t="s">
        <v>149</v>
      </c>
      <c r="E122" s="217">
        <f>호표!F690</f>
        <v>0</v>
      </c>
      <c r="F122" s="217">
        <f>호표!H690</f>
        <v>0</v>
      </c>
      <c r="G122" s="217">
        <f>호표!J690</f>
        <v>0</v>
      </c>
      <c r="H122" s="217">
        <f t="shared" si="2"/>
        <v>0</v>
      </c>
      <c r="I122" s="215" t="s">
        <v>1850</v>
      </c>
      <c r="J122" s="209" t="s">
        <v>68</v>
      </c>
      <c r="K122" s="209" t="s">
        <v>1438</v>
      </c>
      <c r="L122" s="209" t="s">
        <v>1129</v>
      </c>
      <c r="T122" s="217">
        <v>267000</v>
      </c>
      <c r="U122" s="217">
        <v>52997</v>
      </c>
      <c r="V122" s="217">
        <v>1059</v>
      </c>
      <c r="W122" s="217">
        <v>321056</v>
      </c>
      <c r="Y122" s="212" t="b">
        <f t="shared" si="3"/>
        <v>0</v>
      </c>
      <c r="AA122" s="230" t="str">
        <f>HYPERLINK("#일위대가_호표!A690","S8-4-2/1 →")</f>
        <v>S8-4-2/1 →</v>
      </c>
    </row>
    <row r="123" spans="1:27" ht="24" customHeight="1">
      <c r="A123" s="218" t="s">
        <v>1851</v>
      </c>
      <c r="B123" s="218" t="s">
        <v>1439</v>
      </c>
      <c r="C123" s="213">
        <v>1</v>
      </c>
      <c r="D123" s="213" t="s">
        <v>149</v>
      </c>
      <c r="E123" s="217">
        <f>호표!F696</f>
        <v>0</v>
      </c>
      <c r="F123" s="217">
        <f>호표!H696</f>
        <v>0</v>
      </c>
      <c r="G123" s="217">
        <f>호표!J696</f>
        <v>0</v>
      </c>
      <c r="H123" s="217">
        <f t="shared" si="2"/>
        <v>0</v>
      </c>
      <c r="I123" s="215" t="s">
        <v>1850</v>
      </c>
      <c r="J123" s="209" t="s">
        <v>68</v>
      </c>
      <c r="K123" s="209" t="s">
        <v>1440</v>
      </c>
      <c r="L123" s="209" t="s">
        <v>1129</v>
      </c>
      <c r="T123" s="217">
        <v>805000</v>
      </c>
      <c r="U123" s="217">
        <v>70890</v>
      </c>
      <c r="V123" s="217">
        <v>1417</v>
      </c>
      <c r="W123" s="217">
        <v>877307</v>
      </c>
      <c r="Y123" s="212" t="b">
        <f t="shared" si="3"/>
        <v>0</v>
      </c>
      <c r="AA123" s="230" t="str">
        <f>HYPERLINK("#일위대가_호표!A696","S8-4-2/3 →")</f>
        <v>S8-4-2/3 →</v>
      </c>
    </row>
    <row r="124" spans="1:27" ht="24" customHeight="1">
      <c r="A124" s="218" t="s">
        <v>1852</v>
      </c>
      <c r="B124" s="218" t="s">
        <v>1442</v>
      </c>
      <c r="C124" s="213">
        <v>1</v>
      </c>
      <c r="D124" s="213" t="s">
        <v>1412</v>
      </c>
      <c r="E124" s="217">
        <f>호표!F702</f>
        <v>0</v>
      </c>
      <c r="F124" s="217">
        <f>호표!H702</f>
        <v>0</v>
      </c>
      <c r="G124" s="217">
        <f>호표!J702</f>
        <v>0</v>
      </c>
      <c r="H124" s="217">
        <f t="shared" si="2"/>
        <v>0</v>
      </c>
      <c r="I124" s="215" t="s">
        <v>1853</v>
      </c>
      <c r="J124" s="209" t="s">
        <v>68</v>
      </c>
      <c r="K124" s="209" t="s">
        <v>1443</v>
      </c>
      <c r="L124" s="209" t="s">
        <v>1129</v>
      </c>
      <c r="T124" s="217">
        <v>165000</v>
      </c>
      <c r="U124" s="217">
        <v>69377</v>
      </c>
      <c r="V124" s="217">
        <v>1387</v>
      </c>
      <c r="W124" s="217">
        <v>235764</v>
      </c>
      <c r="Y124" s="212" t="b">
        <f t="shared" si="3"/>
        <v>0</v>
      </c>
      <c r="AA124" s="230" t="str">
        <f>HYPERLINK("#일위대가_호표!A702","S7-1-4/8 →")</f>
        <v>S7-1-4/8 →</v>
      </c>
    </row>
    <row r="125" spans="1:27" ht="24" customHeight="1">
      <c r="A125" s="218" t="s">
        <v>1854</v>
      </c>
      <c r="B125" s="218" t="s">
        <v>1445</v>
      </c>
      <c r="C125" s="213">
        <v>1</v>
      </c>
      <c r="D125" s="213" t="s">
        <v>1412</v>
      </c>
      <c r="E125" s="217">
        <f>호표!F708</f>
        <v>0</v>
      </c>
      <c r="F125" s="217">
        <f>호표!H708</f>
        <v>0</v>
      </c>
      <c r="G125" s="217">
        <f>호표!J708</f>
        <v>0</v>
      </c>
      <c r="H125" s="217">
        <f t="shared" si="2"/>
        <v>0</v>
      </c>
      <c r="I125" s="215" t="s">
        <v>1855</v>
      </c>
      <c r="J125" s="209" t="s">
        <v>68</v>
      </c>
      <c r="K125" s="209" t="s">
        <v>1446</v>
      </c>
      <c r="L125" s="209" t="s">
        <v>1129</v>
      </c>
      <c r="T125" s="217">
        <v>280000</v>
      </c>
      <c r="U125" s="217">
        <v>42014</v>
      </c>
      <c r="V125" s="217">
        <v>840</v>
      </c>
      <c r="W125" s="217">
        <v>322854</v>
      </c>
      <c r="Y125" s="212" t="b">
        <f t="shared" si="3"/>
        <v>0</v>
      </c>
      <c r="AA125" s="230" t="str">
        <f>HYPERLINK("#일위대가_호표!A708","S7-2-4/1 →")</f>
        <v>S7-2-4/1 →</v>
      </c>
    </row>
    <row r="126" spans="1:27" ht="24" customHeight="1">
      <c r="A126" s="218" t="s">
        <v>1856</v>
      </c>
      <c r="B126" s="218" t="s">
        <v>1448</v>
      </c>
      <c r="C126" s="213">
        <v>1</v>
      </c>
      <c r="D126" s="213" t="s">
        <v>1412</v>
      </c>
      <c r="E126" s="217">
        <f>호표!F714</f>
        <v>0</v>
      </c>
      <c r="F126" s="217">
        <f>호표!H714</f>
        <v>0</v>
      </c>
      <c r="G126" s="217">
        <f>호표!J714</f>
        <v>0</v>
      </c>
      <c r="H126" s="217">
        <f t="shared" si="2"/>
        <v>0</v>
      </c>
      <c r="I126" s="215" t="s">
        <v>1853</v>
      </c>
      <c r="J126" s="209" t="s">
        <v>68</v>
      </c>
      <c r="K126" s="209" t="s">
        <v>1449</v>
      </c>
      <c r="L126" s="209" t="s">
        <v>1129</v>
      </c>
      <c r="T126" s="217">
        <v>60200</v>
      </c>
      <c r="U126" s="217">
        <v>69377</v>
      </c>
      <c r="V126" s="217">
        <v>1387</v>
      </c>
      <c r="W126" s="217">
        <v>130964</v>
      </c>
      <c r="Y126" s="212" t="b">
        <f t="shared" si="3"/>
        <v>0</v>
      </c>
      <c r="AA126" s="230" t="str">
        <f>HYPERLINK("#일위대가_호표!A714","S7-1-4/1 →")</f>
        <v>S7-1-4/1 →</v>
      </c>
    </row>
    <row r="127" spans="1:27" ht="24" customHeight="1">
      <c r="A127" s="218" t="s">
        <v>1857</v>
      </c>
      <c r="B127" s="218" t="s">
        <v>1451</v>
      </c>
      <c r="C127" s="213">
        <v>1</v>
      </c>
      <c r="D127" s="213" t="s">
        <v>1412</v>
      </c>
      <c r="E127" s="217">
        <f>호표!F720</f>
        <v>0</v>
      </c>
      <c r="F127" s="217">
        <f>호표!H720</f>
        <v>0</v>
      </c>
      <c r="G127" s="217">
        <f>호표!J720</f>
        <v>0</v>
      </c>
      <c r="H127" s="217">
        <f t="shared" si="2"/>
        <v>0</v>
      </c>
      <c r="I127" s="215" t="s">
        <v>1858</v>
      </c>
      <c r="J127" s="209" t="s">
        <v>68</v>
      </c>
      <c r="K127" s="209" t="s">
        <v>1452</v>
      </c>
      <c r="L127" s="209" t="s">
        <v>1129</v>
      </c>
      <c r="T127" s="217">
        <v>156000</v>
      </c>
      <c r="U127" s="217">
        <v>35614</v>
      </c>
      <c r="V127" s="217">
        <v>712</v>
      </c>
      <c r="W127" s="217">
        <v>192326</v>
      </c>
      <c r="Y127" s="212" t="b">
        <f t="shared" si="3"/>
        <v>0</v>
      </c>
      <c r="AA127" s="230" t="str">
        <f>HYPERLINK("#일위대가_호표!A720","S7-2-3/2 →")</f>
        <v>S7-2-3/2 →</v>
      </c>
    </row>
    <row r="128" spans="1:27" ht="24" customHeight="1">
      <c r="A128" s="218" t="s">
        <v>1859</v>
      </c>
      <c r="B128" s="218" t="s">
        <v>1453</v>
      </c>
      <c r="C128" s="213">
        <v>1</v>
      </c>
      <c r="D128" s="213" t="s">
        <v>1412</v>
      </c>
      <c r="E128" s="217">
        <f>호표!F726</f>
        <v>0</v>
      </c>
      <c r="F128" s="217">
        <f>호표!H726</f>
        <v>0</v>
      </c>
      <c r="G128" s="217">
        <f>호표!J726</f>
        <v>0</v>
      </c>
      <c r="H128" s="217">
        <f t="shared" si="2"/>
        <v>0</v>
      </c>
      <c r="I128" s="215" t="s">
        <v>1860</v>
      </c>
      <c r="J128" s="209" t="s">
        <v>68</v>
      </c>
      <c r="K128" s="209" t="s">
        <v>1454</v>
      </c>
      <c r="L128" s="209" t="s">
        <v>1129</v>
      </c>
      <c r="T128" s="217">
        <v>285000</v>
      </c>
      <c r="U128" s="217">
        <v>72119</v>
      </c>
      <c r="V128" s="217">
        <v>1442</v>
      </c>
      <c r="W128" s="217">
        <v>358561</v>
      </c>
      <c r="Y128" s="212" t="b">
        <f t="shared" si="3"/>
        <v>0</v>
      </c>
      <c r="AA128" s="230" t="str">
        <f>HYPERLINK("#일위대가_호표!A726","S7-1-3/1 →")</f>
        <v>S7-1-3/1 →</v>
      </c>
    </row>
    <row r="129" spans="1:27" ht="24" customHeight="1">
      <c r="A129" s="218" t="s">
        <v>1861</v>
      </c>
      <c r="B129" s="218" t="s">
        <v>1455</v>
      </c>
      <c r="C129" s="213">
        <v>1</v>
      </c>
      <c r="D129" s="213" t="s">
        <v>1412</v>
      </c>
      <c r="E129" s="217">
        <f>호표!F732</f>
        <v>0</v>
      </c>
      <c r="F129" s="217">
        <f>호표!H732</f>
        <v>0</v>
      </c>
      <c r="G129" s="217">
        <f>호표!J732</f>
        <v>0</v>
      </c>
      <c r="H129" s="217">
        <f t="shared" si="2"/>
        <v>0</v>
      </c>
      <c r="I129" s="215" t="s">
        <v>1858</v>
      </c>
      <c r="J129" s="209" t="s">
        <v>68</v>
      </c>
      <c r="K129" s="209" t="s">
        <v>1456</v>
      </c>
      <c r="L129" s="209" t="s">
        <v>1129</v>
      </c>
      <c r="T129" s="217">
        <v>156000</v>
      </c>
      <c r="U129" s="217">
        <v>35614</v>
      </c>
      <c r="V129" s="217">
        <v>712</v>
      </c>
      <c r="W129" s="217">
        <v>192326</v>
      </c>
      <c r="Y129" s="212" t="b">
        <f t="shared" si="3"/>
        <v>0</v>
      </c>
      <c r="AA129" s="230" t="str">
        <f>HYPERLINK("#일위대가_호표!A732","S7-2-3/1 →")</f>
        <v>S7-2-3/1 →</v>
      </c>
    </row>
    <row r="130" spans="1:27" ht="24" customHeight="1">
      <c r="A130" s="218" t="s">
        <v>1862</v>
      </c>
      <c r="B130" s="218" t="s">
        <v>1458</v>
      </c>
      <c r="C130" s="213">
        <v>1</v>
      </c>
      <c r="D130" s="213" t="s">
        <v>1412</v>
      </c>
      <c r="E130" s="217">
        <f>호표!F738</f>
        <v>0</v>
      </c>
      <c r="F130" s="217">
        <f>호표!H738</f>
        <v>0</v>
      </c>
      <c r="G130" s="217">
        <f>호표!J738</f>
        <v>0</v>
      </c>
      <c r="H130" s="217">
        <f t="shared" si="2"/>
        <v>0</v>
      </c>
      <c r="I130" s="215" t="s">
        <v>1863</v>
      </c>
      <c r="J130" s="209" t="s">
        <v>68</v>
      </c>
      <c r="K130" s="209" t="s">
        <v>1460</v>
      </c>
      <c r="L130" s="209" t="s">
        <v>1129</v>
      </c>
      <c r="T130" s="217">
        <v>16900</v>
      </c>
      <c r="U130" s="217">
        <v>22199</v>
      </c>
      <c r="V130" s="217">
        <v>443</v>
      </c>
      <c r="W130" s="217">
        <v>39542</v>
      </c>
      <c r="Y130" s="212" t="b">
        <f t="shared" si="3"/>
        <v>0</v>
      </c>
      <c r="AA130" s="230" t="str">
        <f>HYPERLINK("#일위대가_호표!A738","S7-2-5/1 →")</f>
        <v>S7-2-5/1 →</v>
      </c>
    </row>
    <row r="131" spans="1:27" ht="24" customHeight="1">
      <c r="A131" s="218" t="s">
        <v>1864</v>
      </c>
      <c r="B131" s="218" t="s">
        <v>1462</v>
      </c>
      <c r="C131" s="213">
        <v>1</v>
      </c>
      <c r="D131" s="213" t="s">
        <v>1412</v>
      </c>
      <c r="E131" s="217">
        <f>호표!F744</f>
        <v>0</v>
      </c>
      <c r="F131" s="217">
        <f>호표!H744</f>
        <v>0</v>
      </c>
      <c r="G131" s="217">
        <f>호표!J744</f>
        <v>0</v>
      </c>
      <c r="H131" s="217">
        <f t="shared" ref="H131:H157" si="4">E131+F131+G131</f>
        <v>0</v>
      </c>
      <c r="I131" s="215" t="s">
        <v>1865</v>
      </c>
      <c r="J131" s="209" t="s">
        <v>68</v>
      </c>
      <c r="K131" s="209" t="s">
        <v>1463</v>
      </c>
      <c r="L131" s="209" t="s">
        <v>1129</v>
      </c>
      <c r="T131" s="217">
        <v>30000</v>
      </c>
      <c r="U131" s="217">
        <v>50345</v>
      </c>
      <c r="V131" s="217">
        <v>1006</v>
      </c>
      <c r="W131" s="217">
        <v>81351</v>
      </c>
      <c r="Y131" s="212" t="b">
        <f t="shared" ref="Y131:Y157" si="5">EXACT($H131,$W131)</f>
        <v>0</v>
      </c>
      <c r="AA131" s="230" t="str">
        <f>HYPERLINK("#일위대가_호표!A744","S7-3-3/3 →")</f>
        <v>S7-3-3/3 →</v>
      </c>
    </row>
    <row r="132" spans="1:27" ht="24" customHeight="1">
      <c r="A132" s="218" t="s">
        <v>1866</v>
      </c>
      <c r="B132" s="218" t="s">
        <v>1465</v>
      </c>
      <c r="C132" s="213">
        <v>1</v>
      </c>
      <c r="D132" s="213" t="s">
        <v>1412</v>
      </c>
      <c r="E132" s="217">
        <f>호표!F750</f>
        <v>0</v>
      </c>
      <c r="F132" s="217">
        <f>호표!H750</f>
        <v>0</v>
      </c>
      <c r="G132" s="217">
        <f>호표!J750</f>
        <v>0</v>
      </c>
      <c r="H132" s="217">
        <f t="shared" si="4"/>
        <v>0</v>
      </c>
      <c r="I132" s="215" t="s">
        <v>1867</v>
      </c>
      <c r="J132" s="209" t="s">
        <v>68</v>
      </c>
      <c r="K132" s="209" t="s">
        <v>1466</v>
      </c>
      <c r="L132" s="209" t="s">
        <v>1129</v>
      </c>
      <c r="T132" s="217">
        <v>730000</v>
      </c>
      <c r="U132" s="217">
        <v>188214</v>
      </c>
      <c r="V132" s="217">
        <v>3764</v>
      </c>
      <c r="W132" s="217">
        <v>921978</v>
      </c>
      <c r="Y132" s="212" t="b">
        <f t="shared" si="5"/>
        <v>0</v>
      </c>
      <c r="AA132" s="230" t="str">
        <f>HYPERLINK("#일위대가_호표!A750","S7-1-2/2 →")</f>
        <v>S7-1-2/2 →</v>
      </c>
    </row>
    <row r="133" spans="1:27" ht="24" customHeight="1">
      <c r="A133" s="218" t="s">
        <v>1868</v>
      </c>
      <c r="B133" s="218" t="s">
        <v>1869</v>
      </c>
      <c r="C133" s="213">
        <v>1</v>
      </c>
      <c r="D133" s="213" t="s">
        <v>1412</v>
      </c>
      <c r="E133" s="217">
        <f>호표!F756</f>
        <v>0</v>
      </c>
      <c r="F133" s="217">
        <f>호표!H756</f>
        <v>0</v>
      </c>
      <c r="G133" s="217">
        <f>호표!J756</f>
        <v>0</v>
      </c>
      <c r="H133" s="217">
        <f t="shared" si="4"/>
        <v>0</v>
      </c>
      <c r="I133" s="215" t="s">
        <v>1870</v>
      </c>
      <c r="J133" s="209" t="s">
        <v>68</v>
      </c>
      <c r="K133" s="209" t="s">
        <v>1468</v>
      </c>
      <c r="L133" s="209" t="s">
        <v>1129</v>
      </c>
      <c r="T133" s="217">
        <v>27000</v>
      </c>
      <c r="U133" s="217">
        <v>15721</v>
      </c>
      <c r="V133" s="217">
        <v>314</v>
      </c>
      <c r="W133" s="217">
        <v>43035</v>
      </c>
      <c r="Y133" s="212" t="b">
        <f t="shared" si="5"/>
        <v>0</v>
      </c>
      <c r="AA133" s="230" t="str">
        <f>HYPERLINK("#일위대가_호표!A756","S7-3-2/3 →")</f>
        <v>S7-3-2/3 →</v>
      </c>
    </row>
    <row r="134" spans="1:27" ht="24" customHeight="1">
      <c r="A134" s="218" t="s">
        <v>1871</v>
      </c>
      <c r="B134" s="218" t="s">
        <v>1474</v>
      </c>
      <c r="C134" s="213">
        <v>1</v>
      </c>
      <c r="D134" s="213" t="s">
        <v>9</v>
      </c>
      <c r="E134" s="217">
        <f>호표!F761</f>
        <v>0</v>
      </c>
      <c r="F134" s="217">
        <f>호표!H761</f>
        <v>0</v>
      </c>
      <c r="G134" s="217">
        <f>호표!J761</f>
        <v>0</v>
      </c>
      <c r="H134" s="217">
        <f t="shared" si="4"/>
        <v>0</v>
      </c>
      <c r="I134" s="215" t="s">
        <v>1872</v>
      </c>
      <c r="J134" s="209" t="s">
        <v>68</v>
      </c>
      <c r="K134" s="209" t="s">
        <v>1475</v>
      </c>
      <c r="L134" s="209" t="s">
        <v>1129</v>
      </c>
      <c r="T134" s="217">
        <v>31957</v>
      </c>
      <c r="U134" s="217">
        <v>72465</v>
      </c>
      <c r="V134" s="217">
        <v>1449</v>
      </c>
      <c r="W134" s="217">
        <v>105871</v>
      </c>
      <c r="Y134" s="212" t="b">
        <f t="shared" si="5"/>
        <v>0</v>
      </c>
      <c r="AA134" s="230" t="str">
        <f>HYPERLINK("#일위대가_호표!A761","S2-1-3-04 →")</f>
        <v>S2-1-3-04 →</v>
      </c>
    </row>
    <row r="135" spans="1:27" ht="24" customHeight="1">
      <c r="A135" s="218" t="s">
        <v>1873</v>
      </c>
      <c r="B135" s="218" t="s">
        <v>1476</v>
      </c>
      <c r="C135" s="213">
        <v>1</v>
      </c>
      <c r="D135" s="213" t="s">
        <v>1033</v>
      </c>
      <c r="E135" s="217">
        <f>호표!F768</f>
        <v>0</v>
      </c>
      <c r="F135" s="217">
        <f>호표!H768</f>
        <v>0</v>
      </c>
      <c r="G135" s="217">
        <f>호표!J768</f>
        <v>0</v>
      </c>
      <c r="H135" s="217">
        <f t="shared" si="4"/>
        <v>0</v>
      </c>
      <c r="I135" s="215" t="s">
        <v>1874</v>
      </c>
      <c r="J135" s="209" t="s">
        <v>68</v>
      </c>
      <c r="K135" s="209" t="s">
        <v>1477</v>
      </c>
      <c r="L135" s="209" t="s">
        <v>1129</v>
      </c>
      <c r="T135" s="217">
        <v>16000</v>
      </c>
      <c r="U135" s="217">
        <v>36232</v>
      </c>
      <c r="V135" s="217">
        <v>724</v>
      </c>
      <c r="W135" s="217">
        <v>52956</v>
      </c>
      <c r="Y135" s="212" t="b">
        <f t="shared" si="5"/>
        <v>0</v>
      </c>
      <c r="AA135" s="230" t="str">
        <f>HYPERLINK("#일위대가_호표!A768","S2-1-1/1 →")</f>
        <v>S2-1-1/1 →</v>
      </c>
    </row>
    <row r="136" spans="1:27" ht="24" customHeight="1">
      <c r="A136" s="218" t="s">
        <v>1875</v>
      </c>
      <c r="B136" s="218" t="s">
        <v>1523</v>
      </c>
      <c r="C136" s="213">
        <v>1</v>
      </c>
      <c r="D136" s="213" t="s">
        <v>378</v>
      </c>
      <c r="E136" s="217">
        <f>호표!F775</f>
        <v>0</v>
      </c>
      <c r="F136" s="217">
        <f>호표!H775</f>
        <v>0</v>
      </c>
      <c r="G136" s="217">
        <f>호표!J775</f>
        <v>0</v>
      </c>
      <c r="H136" s="217">
        <f t="shared" si="4"/>
        <v>0</v>
      </c>
      <c r="I136" s="215" t="s">
        <v>1682</v>
      </c>
      <c r="J136" s="209" t="s">
        <v>68</v>
      </c>
      <c r="K136" s="209" t="s">
        <v>1524</v>
      </c>
      <c r="L136" s="209" t="s">
        <v>1129</v>
      </c>
      <c r="T136" s="217">
        <v>0</v>
      </c>
      <c r="U136" s="217">
        <v>0</v>
      </c>
      <c r="V136" s="217">
        <v>26654</v>
      </c>
      <c r="W136" s="217">
        <v>26654</v>
      </c>
      <c r="Y136" s="212" t="b">
        <f t="shared" si="5"/>
        <v>0</v>
      </c>
      <c r="AA136" s="230" t="str">
        <f>HYPERLINK("#일위대가_호표!A775","PP10-1-1/20 →")</f>
        <v>PP10-1-1/20 →</v>
      </c>
    </row>
    <row r="137" spans="1:27" ht="24" customHeight="1">
      <c r="A137" s="218" t="s">
        <v>1876</v>
      </c>
      <c r="B137" s="218" t="s">
        <v>1529</v>
      </c>
      <c r="C137" s="213">
        <v>1</v>
      </c>
      <c r="D137" s="213" t="s">
        <v>9</v>
      </c>
      <c r="E137" s="217">
        <f>호표!F780</f>
        <v>0</v>
      </c>
      <c r="F137" s="217">
        <f>호표!H780</f>
        <v>0</v>
      </c>
      <c r="G137" s="217">
        <f>호표!J780</f>
        <v>0</v>
      </c>
      <c r="H137" s="217">
        <f t="shared" si="4"/>
        <v>0</v>
      </c>
      <c r="I137" s="215" t="s">
        <v>1877</v>
      </c>
      <c r="J137" s="209" t="s">
        <v>68</v>
      </c>
      <c r="K137" s="209" t="s">
        <v>1530</v>
      </c>
      <c r="L137" s="209" t="s">
        <v>1129</v>
      </c>
      <c r="T137" s="217">
        <v>29650</v>
      </c>
      <c r="U137" s="217">
        <v>36933</v>
      </c>
      <c r="V137" s="217">
        <v>1107</v>
      </c>
      <c r="W137" s="217">
        <v>67690</v>
      </c>
      <c r="Y137" s="212" t="b">
        <f t="shared" si="5"/>
        <v>0</v>
      </c>
      <c r="AA137" s="230" t="str">
        <f>HYPERLINK("#일위대가_호표!A780","P4-2-2/1 →")</f>
        <v>P4-2-2/1 →</v>
      </c>
    </row>
    <row r="138" spans="1:27" ht="24" customHeight="1">
      <c r="A138" s="218" t="s">
        <v>1878</v>
      </c>
      <c r="B138" s="218" t="s">
        <v>1531</v>
      </c>
      <c r="C138" s="213">
        <v>1</v>
      </c>
      <c r="D138" s="213" t="s">
        <v>9</v>
      </c>
      <c r="E138" s="217">
        <f>호표!F787</f>
        <v>0</v>
      </c>
      <c r="F138" s="217">
        <f>호표!H787</f>
        <v>0</v>
      </c>
      <c r="G138" s="217">
        <f>호표!J787</f>
        <v>0</v>
      </c>
      <c r="H138" s="217">
        <f t="shared" si="4"/>
        <v>0</v>
      </c>
      <c r="I138" s="215" t="s">
        <v>1826</v>
      </c>
      <c r="J138" s="209" t="s">
        <v>68</v>
      </c>
      <c r="K138" s="209" t="s">
        <v>1532</v>
      </c>
      <c r="L138" s="209" t="s">
        <v>1129</v>
      </c>
      <c r="T138" s="217">
        <v>5452</v>
      </c>
      <c r="U138" s="217">
        <v>18466</v>
      </c>
      <c r="V138" s="217">
        <v>369</v>
      </c>
      <c r="W138" s="217">
        <v>24287</v>
      </c>
      <c r="Y138" s="212" t="b">
        <f t="shared" si="5"/>
        <v>0</v>
      </c>
      <c r="AA138" s="230" t="str">
        <f>HYPERLINK("#일위대가_호표!A787","P4-2-3/1 →")</f>
        <v>P4-2-3/1 →</v>
      </c>
    </row>
    <row r="139" spans="1:27" ht="24" customHeight="1">
      <c r="A139" s="218" t="s">
        <v>1879</v>
      </c>
      <c r="B139" s="218" t="s">
        <v>1537</v>
      </c>
      <c r="C139" s="213">
        <v>1</v>
      </c>
      <c r="D139" s="213" t="s">
        <v>9</v>
      </c>
      <c r="E139" s="217">
        <f>호표!F793</f>
        <v>0</v>
      </c>
      <c r="F139" s="217">
        <f>호표!H793</f>
        <v>0</v>
      </c>
      <c r="G139" s="217">
        <f>호표!J793</f>
        <v>0</v>
      </c>
      <c r="H139" s="217">
        <f t="shared" si="4"/>
        <v>0</v>
      </c>
      <c r="I139" s="215" t="s">
        <v>1880</v>
      </c>
      <c r="J139" s="209" t="s">
        <v>68</v>
      </c>
      <c r="K139" s="209" t="s">
        <v>1539</v>
      </c>
      <c r="L139" s="209" t="s">
        <v>1129</v>
      </c>
      <c r="T139" s="217">
        <v>17294</v>
      </c>
      <c r="U139" s="217">
        <v>13654</v>
      </c>
      <c r="V139" s="217">
        <v>409</v>
      </c>
      <c r="W139" s="217">
        <v>31357</v>
      </c>
      <c r="Y139" s="212" t="b">
        <f t="shared" si="5"/>
        <v>0</v>
      </c>
      <c r="AA139" s="230" t="str">
        <f>HYPERLINK("#일위대가_호표!A793","PP10-4-2/3 →")</f>
        <v>PP10-4-2/3 →</v>
      </c>
    </row>
    <row r="140" spans="1:27" ht="24" customHeight="1">
      <c r="A140" s="218" t="s">
        <v>1881</v>
      </c>
      <c r="B140" s="218" t="s">
        <v>1543</v>
      </c>
      <c r="C140" s="213">
        <v>1</v>
      </c>
      <c r="D140" s="213" t="s">
        <v>9</v>
      </c>
      <c r="E140" s="217">
        <f>호표!F799</f>
        <v>0</v>
      </c>
      <c r="F140" s="217">
        <f>호표!H799</f>
        <v>0</v>
      </c>
      <c r="G140" s="217">
        <f>호표!J799</f>
        <v>0</v>
      </c>
      <c r="H140" s="217">
        <f t="shared" si="4"/>
        <v>0</v>
      </c>
      <c r="I140" s="215" t="s">
        <v>1882</v>
      </c>
      <c r="J140" s="209" t="s">
        <v>68</v>
      </c>
      <c r="K140" s="209" t="s">
        <v>1544</v>
      </c>
      <c r="L140" s="209" t="s">
        <v>1129</v>
      </c>
      <c r="T140" s="217">
        <v>35000</v>
      </c>
      <c r="U140" s="217">
        <v>58631</v>
      </c>
      <c r="V140" s="217">
        <v>1758</v>
      </c>
      <c r="W140" s="217">
        <v>95389</v>
      </c>
      <c r="Y140" s="212" t="b">
        <f t="shared" si="5"/>
        <v>0</v>
      </c>
      <c r="AA140" s="230" t="str">
        <f>HYPERLINK("#일위대가_호표!A799","P3-1-1/13 →")</f>
        <v>P3-1-1/13 →</v>
      </c>
    </row>
    <row r="141" spans="1:27" ht="24" customHeight="1">
      <c r="A141" s="218" t="s">
        <v>1883</v>
      </c>
      <c r="B141" s="218" t="s">
        <v>1545</v>
      </c>
      <c r="C141" s="213">
        <v>1</v>
      </c>
      <c r="D141" s="213" t="s">
        <v>437</v>
      </c>
      <c r="E141" s="217">
        <f>호표!F805</f>
        <v>0</v>
      </c>
      <c r="F141" s="217">
        <f>호표!H805</f>
        <v>0</v>
      </c>
      <c r="G141" s="217">
        <f>호표!J805</f>
        <v>0</v>
      </c>
      <c r="H141" s="217">
        <f t="shared" si="4"/>
        <v>0</v>
      </c>
      <c r="I141" s="215" t="s">
        <v>68</v>
      </c>
      <c r="J141" s="209" t="s">
        <v>68</v>
      </c>
      <c r="K141" s="209" t="s">
        <v>1546</v>
      </c>
      <c r="L141" s="209" t="s">
        <v>1129</v>
      </c>
      <c r="T141" s="217">
        <v>599400</v>
      </c>
      <c r="U141" s="217">
        <v>96551</v>
      </c>
      <c r="V141" s="217">
        <v>2973</v>
      </c>
      <c r="W141" s="217">
        <v>698924</v>
      </c>
      <c r="Y141" s="212" t="b">
        <f t="shared" si="5"/>
        <v>0</v>
      </c>
      <c r="AA141" s="230" t="str">
        <f>HYPERLINK("#일위대가_호표!A805","_0065 →")</f>
        <v>_0065 →</v>
      </c>
    </row>
    <row r="142" spans="1:27" ht="24" customHeight="1">
      <c r="A142" s="218" t="s">
        <v>1884</v>
      </c>
      <c r="B142" s="218" t="s">
        <v>1548</v>
      </c>
      <c r="C142" s="213">
        <v>1</v>
      </c>
      <c r="D142" s="213" t="s">
        <v>437</v>
      </c>
      <c r="E142" s="217">
        <f>호표!F812</f>
        <v>0</v>
      </c>
      <c r="F142" s="217">
        <f>호표!H812</f>
        <v>0</v>
      </c>
      <c r="G142" s="217">
        <f>호표!J812</f>
        <v>0</v>
      </c>
      <c r="H142" s="217">
        <f t="shared" si="4"/>
        <v>0</v>
      </c>
      <c r="I142" s="215" t="s">
        <v>68</v>
      </c>
      <c r="J142" s="209" t="s">
        <v>68</v>
      </c>
      <c r="K142" s="209" t="s">
        <v>1549</v>
      </c>
      <c r="L142" s="209" t="s">
        <v>1129</v>
      </c>
      <c r="T142" s="217">
        <v>756900</v>
      </c>
      <c r="U142" s="217">
        <v>125159</v>
      </c>
      <c r="V142" s="217">
        <v>3754</v>
      </c>
      <c r="W142" s="217">
        <v>885813</v>
      </c>
      <c r="Y142" s="212" t="b">
        <f t="shared" si="5"/>
        <v>0</v>
      </c>
      <c r="AA142" s="230" t="str">
        <f>HYPERLINK("#일위대가_호표!A812","_0066 →")</f>
        <v>_0066 →</v>
      </c>
    </row>
    <row r="143" spans="1:27" ht="24" customHeight="1">
      <c r="A143" s="218" t="s">
        <v>1885</v>
      </c>
      <c r="B143" s="218" t="s">
        <v>1551</v>
      </c>
      <c r="C143" s="213">
        <v>1</v>
      </c>
      <c r="D143" s="213" t="s">
        <v>149</v>
      </c>
      <c r="E143" s="217">
        <f>호표!F817</f>
        <v>0</v>
      </c>
      <c r="F143" s="217">
        <f>호표!H817</f>
        <v>0</v>
      </c>
      <c r="G143" s="217">
        <f>호표!J817</f>
        <v>0</v>
      </c>
      <c r="H143" s="217">
        <f t="shared" si="4"/>
        <v>0</v>
      </c>
      <c r="I143" s="215" t="s">
        <v>1886</v>
      </c>
      <c r="J143" s="209" t="s">
        <v>68</v>
      </c>
      <c r="K143" s="209" t="s">
        <v>1552</v>
      </c>
      <c r="L143" s="209" t="s">
        <v>1129</v>
      </c>
      <c r="T143" s="217">
        <v>4600000</v>
      </c>
      <c r="U143" s="217">
        <v>413939</v>
      </c>
      <c r="V143" s="217">
        <v>0</v>
      </c>
      <c r="W143" s="217">
        <v>5013939</v>
      </c>
      <c r="Y143" s="212" t="b">
        <f t="shared" si="5"/>
        <v>0</v>
      </c>
      <c r="AA143" s="230" t="str">
        <f>HYPERLINK("#일위대가_호표!A817","Z08-07-11-20 →")</f>
        <v>Z08-07-11-20 →</v>
      </c>
    </row>
    <row r="144" spans="1:27" ht="24" customHeight="1">
      <c r="A144" s="218" t="s">
        <v>1887</v>
      </c>
      <c r="B144" s="218" t="s">
        <v>1888</v>
      </c>
      <c r="C144" s="213">
        <v>1</v>
      </c>
      <c r="D144" s="213" t="s">
        <v>9</v>
      </c>
      <c r="E144" s="217">
        <f>호표!F829</f>
        <v>0</v>
      </c>
      <c r="F144" s="217">
        <f>호표!H829</f>
        <v>0</v>
      </c>
      <c r="G144" s="217">
        <f>호표!J829</f>
        <v>0</v>
      </c>
      <c r="H144" s="217">
        <f t="shared" si="4"/>
        <v>0</v>
      </c>
      <c r="I144" s="215" t="s">
        <v>1889</v>
      </c>
      <c r="J144" s="209" t="s">
        <v>68</v>
      </c>
      <c r="K144" s="209" t="s">
        <v>1559</v>
      </c>
      <c r="L144" s="209" t="s">
        <v>1129</v>
      </c>
      <c r="T144" s="217">
        <v>14119</v>
      </c>
      <c r="U144" s="217">
        <v>11397</v>
      </c>
      <c r="V144" s="217">
        <v>455</v>
      </c>
      <c r="W144" s="217">
        <v>25971</v>
      </c>
      <c r="Y144" s="212" t="b">
        <f t="shared" si="5"/>
        <v>0</v>
      </c>
      <c r="AA144" s="230" t="str">
        <f>HYPERLINK("#일위대가_호표!A829","P4-1-2/1 →")</f>
        <v>P4-1-2/1 →</v>
      </c>
    </row>
    <row r="145" spans="1:27" ht="24" customHeight="1">
      <c r="A145" s="218" t="s">
        <v>1890</v>
      </c>
      <c r="B145" s="218" t="s">
        <v>1561</v>
      </c>
      <c r="C145" s="213">
        <v>1</v>
      </c>
      <c r="D145" s="213" t="s">
        <v>9</v>
      </c>
      <c r="E145" s="217">
        <f>호표!F835</f>
        <v>0</v>
      </c>
      <c r="F145" s="217">
        <f>호표!H835</f>
        <v>0</v>
      </c>
      <c r="G145" s="217">
        <f>호표!J835</f>
        <v>0</v>
      </c>
      <c r="H145" s="217">
        <f t="shared" si="4"/>
        <v>0</v>
      </c>
      <c r="I145" s="215" t="s">
        <v>1891</v>
      </c>
      <c r="J145" s="209" t="s">
        <v>68</v>
      </c>
      <c r="K145" s="209" t="s">
        <v>1562</v>
      </c>
      <c r="L145" s="209" t="s">
        <v>1129</v>
      </c>
      <c r="T145" s="217">
        <v>11348</v>
      </c>
      <c r="U145" s="217">
        <v>8393</v>
      </c>
      <c r="V145" s="217">
        <v>335</v>
      </c>
      <c r="W145" s="217">
        <v>20076</v>
      </c>
      <c r="Y145" s="212" t="b">
        <f t="shared" si="5"/>
        <v>0</v>
      </c>
      <c r="AA145" s="230" t="str">
        <f>HYPERLINK("#일위대가_호표!A835","P4-1-3/1 →")</f>
        <v>P4-1-3/1 →</v>
      </c>
    </row>
    <row r="146" spans="1:27" ht="24" customHeight="1">
      <c r="A146" s="218" t="s">
        <v>1892</v>
      </c>
      <c r="B146" s="218" t="s">
        <v>1563</v>
      </c>
      <c r="C146" s="213">
        <v>1</v>
      </c>
      <c r="D146" s="213" t="s">
        <v>149</v>
      </c>
      <c r="E146" s="217">
        <f>호표!F841</f>
        <v>0</v>
      </c>
      <c r="F146" s="217">
        <f>호표!H841</f>
        <v>0</v>
      </c>
      <c r="G146" s="217">
        <f>호표!J841</f>
        <v>0</v>
      </c>
      <c r="H146" s="217">
        <f t="shared" si="4"/>
        <v>0</v>
      </c>
      <c r="I146" s="215" t="s">
        <v>1838</v>
      </c>
      <c r="J146" s="209" t="s">
        <v>68</v>
      </c>
      <c r="K146" s="209" t="s">
        <v>1564</v>
      </c>
      <c r="L146" s="209" t="s">
        <v>1129</v>
      </c>
      <c r="T146" s="217">
        <v>1820000</v>
      </c>
      <c r="U146" s="217">
        <v>585611</v>
      </c>
      <c r="V146" s="217">
        <v>11712</v>
      </c>
      <c r="W146" s="217">
        <v>2417323</v>
      </c>
      <c r="Y146" s="212" t="b">
        <f t="shared" si="5"/>
        <v>0</v>
      </c>
      <c r="AA146" s="230" t="str">
        <f>HYPERLINK("#일위대가_호표!A841","S8-2-4/1 →")</f>
        <v>S8-2-4/1 →</v>
      </c>
    </row>
    <row r="147" spans="1:27" ht="24" customHeight="1">
      <c r="A147" s="218" t="s">
        <v>1893</v>
      </c>
      <c r="B147" s="218" t="s">
        <v>1565</v>
      </c>
      <c r="C147" s="213">
        <v>1</v>
      </c>
      <c r="D147" s="213" t="s">
        <v>1412</v>
      </c>
      <c r="E147" s="217">
        <f>호표!F852</f>
        <v>0</v>
      </c>
      <c r="F147" s="217">
        <f>호표!H852</f>
        <v>0</v>
      </c>
      <c r="G147" s="217">
        <f>호표!J852</f>
        <v>0</v>
      </c>
      <c r="H147" s="217">
        <f t="shared" si="4"/>
        <v>0</v>
      </c>
      <c r="I147" s="215" t="s">
        <v>1860</v>
      </c>
      <c r="J147" s="209" t="s">
        <v>68</v>
      </c>
      <c r="K147" s="209" t="s">
        <v>1566</v>
      </c>
      <c r="L147" s="209" t="s">
        <v>1129</v>
      </c>
      <c r="T147" s="217">
        <v>188000</v>
      </c>
      <c r="U147" s="217">
        <v>72119</v>
      </c>
      <c r="V147" s="217">
        <v>1442</v>
      </c>
      <c r="W147" s="217">
        <v>261561</v>
      </c>
      <c r="Y147" s="212" t="b">
        <f t="shared" si="5"/>
        <v>0</v>
      </c>
      <c r="AA147" s="230" t="str">
        <f>HYPERLINK("#일위대가_호표!A852","S7-1-3/2 →")</f>
        <v>S7-1-3/2 →</v>
      </c>
    </row>
    <row r="148" spans="1:27" ht="24" customHeight="1">
      <c r="A148" s="218" t="s">
        <v>1894</v>
      </c>
      <c r="B148" s="218" t="s">
        <v>1895</v>
      </c>
      <c r="C148" s="213">
        <v>1</v>
      </c>
      <c r="D148" s="213" t="s">
        <v>9</v>
      </c>
      <c r="E148" s="217">
        <f>호표!F858</f>
        <v>0</v>
      </c>
      <c r="F148" s="217">
        <f>호표!H858</f>
        <v>0</v>
      </c>
      <c r="G148" s="217">
        <f>호표!J858</f>
        <v>0</v>
      </c>
      <c r="H148" s="217">
        <f t="shared" si="4"/>
        <v>0</v>
      </c>
      <c r="I148" s="215" t="s">
        <v>1896</v>
      </c>
      <c r="J148" s="209" t="s">
        <v>68</v>
      </c>
      <c r="K148" s="209" t="s">
        <v>1897</v>
      </c>
      <c r="L148" s="209" t="s">
        <v>1129</v>
      </c>
      <c r="T148" s="217">
        <v>0</v>
      </c>
      <c r="U148" s="217">
        <v>16079</v>
      </c>
      <c r="V148" s="217">
        <v>321</v>
      </c>
      <c r="W148" s="217">
        <v>16400</v>
      </c>
      <c r="Y148" s="212" t="b">
        <f t="shared" si="5"/>
        <v>0</v>
      </c>
      <c r="AA148" s="230" t="str">
        <f>HYPERLINK("#일위대가_호표!A858","P3-1-1/10 →")</f>
        <v>P3-1-1/10 →</v>
      </c>
    </row>
    <row r="149" spans="1:27" ht="24" customHeight="1">
      <c r="A149" s="218" t="s">
        <v>1898</v>
      </c>
      <c r="B149" s="218" t="s">
        <v>1313</v>
      </c>
      <c r="C149" s="213">
        <v>1</v>
      </c>
      <c r="D149" s="213" t="s">
        <v>9</v>
      </c>
      <c r="E149" s="217">
        <f>호표!F863</f>
        <v>0</v>
      </c>
      <c r="F149" s="217">
        <f>호표!H863</f>
        <v>0</v>
      </c>
      <c r="G149" s="217">
        <f>호표!J863</f>
        <v>0</v>
      </c>
      <c r="H149" s="217">
        <f t="shared" si="4"/>
        <v>0</v>
      </c>
      <c r="I149" s="215" t="s">
        <v>1882</v>
      </c>
      <c r="J149" s="209" t="s">
        <v>68</v>
      </c>
      <c r="K149" s="209" t="s">
        <v>1899</v>
      </c>
      <c r="L149" s="209" t="s">
        <v>1129</v>
      </c>
      <c r="T149" s="217">
        <v>35000</v>
      </c>
      <c r="U149" s="217">
        <v>58631</v>
      </c>
      <c r="V149" s="217">
        <v>1758</v>
      </c>
      <c r="W149" s="217">
        <v>95389</v>
      </c>
      <c r="Y149" s="212" t="b">
        <f t="shared" si="5"/>
        <v>0</v>
      </c>
      <c r="AA149" s="230" t="str">
        <f>HYPERLINK("#일위대가_호표!A863","P3-1-1/11 →")</f>
        <v>P3-1-1/11 →</v>
      </c>
    </row>
    <row r="150" spans="1:27" ht="24" customHeight="1">
      <c r="A150" s="218" t="s">
        <v>1900</v>
      </c>
      <c r="B150" s="218" t="s">
        <v>1901</v>
      </c>
      <c r="C150" s="213">
        <v>1</v>
      </c>
      <c r="D150" s="213" t="s">
        <v>9</v>
      </c>
      <c r="E150" s="217">
        <f>호표!F869</f>
        <v>0</v>
      </c>
      <c r="F150" s="217">
        <f>호표!H869</f>
        <v>0</v>
      </c>
      <c r="G150" s="217">
        <f>호표!J869</f>
        <v>0</v>
      </c>
      <c r="H150" s="217">
        <f t="shared" si="4"/>
        <v>0</v>
      </c>
      <c r="I150" s="215" t="s">
        <v>1902</v>
      </c>
      <c r="J150" s="209" t="s">
        <v>68</v>
      </c>
      <c r="K150" s="209" t="s">
        <v>1903</v>
      </c>
      <c r="L150" s="209" t="s">
        <v>1129</v>
      </c>
      <c r="T150" s="217">
        <v>1007</v>
      </c>
      <c r="U150" s="217">
        <v>569</v>
      </c>
      <c r="V150" s="217">
        <v>0</v>
      </c>
      <c r="W150" s="217">
        <v>1576</v>
      </c>
      <c r="Y150" s="212" t="b">
        <f t="shared" si="5"/>
        <v>0</v>
      </c>
      <c r="AA150" s="230" t="str">
        <f>HYPERLINK("#일위대가_호표!A869","P3-1-1/15 →")</f>
        <v>P3-1-1/15 →</v>
      </c>
    </row>
    <row r="151" spans="1:27" ht="24" customHeight="1">
      <c r="A151" s="218" t="s">
        <v>1904</v>
      </c>
      <c r="B151" s="218" t="s">
        <v>1905</v>
      </c>
      <c r="C151" s="213">
        <v>1</v>
      </c>
      <c r="D151" s="213" t="s">
        <v>9</v>
      </c>
      <c r="E151" s="217">
        <f>호표!F872</f>
        <v>0</v>
      </c>
      <c r="F151" s="217">
        <f>호표!H872</f>
        <v>0</v>
      </c>
      <c r="G151" s="217">
        <f>호표!J872</f>
        <v>0</v>
      </c>
      <c r="H151" s="217">
        <f t="shared" si="4"/>
        <v>0</v>
      </c>
      <c r="I151" s="215" t="s">
        <v>1902</v>
      </c>
      <c r="J151" s="209" t="s">
        <v>68</v>
      </c>
      <c r="K151" s="209" t="s">
        <v>1906</v>
      </c>
      <c r="L151" s="209" t="s">
        <v>1129</v>
      </c>
      <c r="T151" s="217">
        <v>0</v>
      </c>
      <c r="U151" s="217">
        <v>4247</v>
      </c>
      <c r="V151" s="217">
        <v>0</v>
      </c>
      <c r="W151" s="217">
        <v>4247</v>
      </c>
      <c r="Y151" s="212" t="b">
        <f t="shared" si="5"/>
        <v>0</v>
      </c>
      <c r="AA151" s="230" t="str">
        <f>HYPERLINK("#일위대가_호표!A872","P3-1-1/16 →")</f>
        <v>P3-1-1/16 →</v>
      </c>
    </row>
    <row r="152" spans="1:27" ht="24" customHeight="1">
      <c r="A152" s="218" t="s">
        <v>1907</v>
      </c>
      <c r="B152" s="218" t="s">
        <v>1315</v>
      </c>
      <c r="C152" s="213">
        <v>1</v>
      </c>
      <c r="D152" s="213" t="s">
        <v>9</v>
      </c>
      <c r="E152" s="217">
        <f>호표!F875</f>
        <v>0</v>
      </c>
      <c r="F152" s="217">
        <f>호표!H875</f>
        <v>0</v>
      </c>
      <c r="G152" s="217">
        <f>호표!J875</f>
        <v>0</v>
      </c>
      <c r="H152" s="217">
        <f t="shared" si="4"/>
        <v>0</v>
      </c>
      <c r="I152" s="215" t="s">
        <v>1882</v>
      </c>
      <c r="J152" s="209" t="s">
        <v>68</v>
      </c>
      <c r="K152" s="209" t="s">
        <v>1908</v>
      </c>
      <c r="L152" s="209" t="s">
        <v>1129</v>
      </c>
      <c r="T152" s="217">
        <v>35000</v>
      </c>
      <c r="U152" s="217">
        <v>58631</v>
      </c>
      <c r="V152" s="217">
        <v>1758</v>
      </c>
      <c r="W152" s="217">
        <v>95389</v>
      </c>
      <c r="Y152" s="212" t="b">
        <f t="shared" si="5"/>
        <v>0</v>
      </c>
      <c r="AA152" s="230" t="str">
        <f>HYPERLINK("#일위대가_호표!A875","P3-1-1/12 →")</f>
        <v>P3-1-1/12 →</v>
      </c>
    </row>
    <row r="153" spans="1:27" ht="24" customHeight="1">
      <c r="A153" s="218" t="s">
        <v>1909</v>
      </c>
      <c r="B153" s="218" t="s">
        <v>1910</v>
      </c>
      <c r="C153" s="213">
        <v>1</v>
      </c>
      <c r="D153" s="213" t="s">
        <v>378</v>
      </c>
      <c r="E153" s="217">
        <f>호표!F881</f>
        <v>0</v>
      </c>
      <c r="F153" s="217">
        <f>호표!H881</f>
        <v>0</v>
      </c>
      <c r="G153" s="217">
        <f>호표!J881</f>
        <v>0</v>
      </c>
      <c r="H153" s="217">
        <f t="shared" si="4"/>
        <v>0</v>
      </c>
      <c r="I153" s="215" t="s">
        <v>1770</v>
      </c>
      <c r="J153" s="209" t="s">
        <v>68</v>
      </c>
      <c r="K153" s="209" t="s">
        <v>1911</v>
      </c>
      <c r="L153" s="209" t="s">
        <v>1129</v>
      </c>
      <c r="T153" s="217">
        <v>0</v>
      </c>
      <c r="U153" s="217">
        <v>7704</v>
      </c>
      <c r="V153" s="217">
        <v>308</v>
      </c>
      <c r="W153" s="217">
        <v>8012</v>
      </c>
      <c r="Y153" s="212" t="b">
        <f t="shared" si="5"/>
        <v>0</v>
      </c>
      <c r="AA153" s="230" t="str">
        <f>HYPERLINK("#일위대가_호표!A881","PP10-2-3/1 →")</f>
        <v>PP10-2-3/1 →</v>
      </c>
    </row>
    <row r="154" spans="1:27" ht="24" customHeight="1">
      <c r="A154" s="218" t="s">
        <v>1912</v>
      </c>
      <c r="B154" s="218" t="s">
        <v>1913</v>
      </c>
      <c r="C154" s="213">
        <v>1</v>
      </c>
      <c r="D154" s="213" t="s">
        <v>9</v>
      </c>
      <c r="E154" s="217">
        <f>호표!F885</f>
        <v>0</v>
      </c>
      <c r="F154" s="217">
        <f>호표!H885</f>
        <v>0</v>
      </c>
      <c r="G154" s="217">
        <f>호표!J885</f>
        <v>0</v>
      </c>
      <c r="H154" s="217">
        <f t="shared" si="4"/>
        <v>0</v>
      </c>
      <c r="I154" s="215" t="s">
        <v>1828</v>
      </c>
      <c r="J154" s="209" t="s">
        <v>68</v>
      </c>
      <c r="K154" s="209" t="s">
        <v>1914</v>
      </c>
      <c r="L154" s="209" t="s">
        <v>1129</v>
      </c>
      <c r="T154" s="217">
        <v>360</v>
      </c>
      <c r="U154" s="217">
        <v>4367</v>
      </c>
      <c r="V154" s="217">
        <v>131</v>
      </c>
      <c r="W154" s="217">
        <v>4858</v>
      </c>
      <c r="Y154" s="212" t="b">
        <f t="shared" si="5"/>
        <v>0</v>
      </c>
      <c r="AA154" s="230" t="str">
        <f>HYPERLINK("#일위대가_호표!A885","PP11-1-4/6 →")</f>
        <v>PP11-1-4/6 →</v>
      </c>
    </row>
    <row r="155" spans="1:27" ht="24" customHeight="1">
      <c r="A155" s="218" t="s">
        <v>1915</v>
      </c>
      <c r="B155" s="218" t="s">
        <v>1916</v>
      </c>
      <c r="C155" s="213">
        <v>1</v>
      </c>
      <c r="D155" s="213" t="s">
        <v>9</v>
      </c>
      <c r="E155" s="217">
        <f>호표!F896</f>
        <v>0</v>
      </c>
      <c r="F155" s="217">
        <f>호표!H896</f>
        <v>0</v>
      </c>
      <c r="G155" s="217">
        <f>호표!J896</f>
        <v>0</v>
      </c>
      <c r="H155" s="217">
        <f t="shared" si="4"/>
        <v>0</v>
      </c>
      <c r="I155" s="215" t="s">
        <v>1830</v>
      </c>
      <c r="J155" s="209" t="s">
        <v>68</v>
      </c>
      <c r="K155" s="209" t="s">
        <v>1917</v>
      </c>
      <c r="L155" s="209" t="s">
        <v>1129</v>
      </c>
      <c r="T155" s="217">
        <v>3653</v>
      </c>
      <c r="U155" s="217">
        <v>11228</v>
      </c>
      <c r="V155" s="217">
        <v>224</v>
      </c>
      <c r="W155" s="217">
        <v>15105</v>
      </c>
      <c r="Y155" s="212" t="b">
        <f t="shared" si="5"/>
        <v>0</v>
      </c>
      <c r="AA155" s="230" t="str">
        <f>HYPERLINK("#일위대가_호표!A896","PP11-2-7/1 →")</f>
        <v>PP11-2-7/1 →</v>
      </c>
    </row>
    <row r="156" spans="1:27" ht="24" customHeight="1">
      <c r="A156" s="218" t="s">
        <v>1918</v>
      </c>
      <c r="B156" s="218" t="s">
        <v>1727</v>
      </c>
      <c r="C156" s="213">
        <v>1</v>
      </c>
      <c r="D156" s="213" t="s">
        <v>378</v>
      </c>
      <c r="E156" s="217">
        <f>호표!F902</f>
        <v>0</v>
      </c>
      <c r="F156" s="217">
        <f>호표!H902</f>
        <v>0</v>
      </c>
      <c r="G156" s="217">
        <f>호표!J902</f>
        <v>0</v>
      </c>
      <c r="H156" s="217">
        <f t="shared" si="4"/>
        <v>0</v>
      </c>
      <c r="I156" s="215" t="s">
        <v>1712</v>
      </c>
      <c r="J156" s="209" t="s">
        <v>68</v>
      </c>
      <c r="K156" s="209" t="s">
        <v>1919</v>
      </c>
      <c r="L156" s="209" t="s">
        <v>1129</v>
      </c>
      <c r="T156" s="217">
        <v>0</v>
      </c>
      <c r="U156" s="217">
        <v>125159</v>
      </c>
      <c r="V156" s="217">
        <v>3754</v>
      </c>
      <c r="W156" s="217">
        <v>128913</v>
      </c>
      <c r="Y156" s="212" t="b">
        <f t="shared" si="5"/>
        <v>0</v>
      </c>
      <c r="AA156" s="230" t="str">
        <f>HYPERLINK("#일위대가_호표!A902","PP10-1-2/2 →")</f>
        <v>PP10-1-2/2 →</v>
      </c>
    </row>
    <row r="157" spans="1:27" ht="24" customHeight="1">
      <c r="A157" s="218" t="s">
        <v>1920</v>
      </c>
      <c r="B157" s="218" t="s">
        <v>1921</v>
      </c>
      <c r="C157" s="213">
        <v>1</v>
      </c>
      <c r="D157" s="213" t="s">
        <v>15</v>
      </c>
      <c r="E157" s="217">
        <f>호표!F907</f>
        <v>0</v>
      </c>
      <c r="F157" s="217">
        <f>호표!H907</f>
        <v>0</v>
      </c>
      <c r="G157" s="217">
        <f>호표!J907</f>
        <v>0</v>
      </c>
      <c r="H157" s="217">
        <f t="shared" si="4"/>
        <v>0</v>
      </c>
      <c r="I157" s="215" t="s">
        <v>1922</v>
      </c>
      <c r="J157" s="209" t="s">
        <v>68</v>
      </c>
      <c r="K157" s="209" t="s">
        <v>1923</v>
      </c>
      <c r="L157" s="209" t="s">
        <v>1129</v>
      </c>
      <c r="T157" s="217">
        <v>201534</v>
      </c>
      <c r="U157" s="217">
        <v>113980</v>
      </c>
      <c r="V157" s="217">
        <v>0</v>
      </c>
      <c r="W157" s="217">
        <v>315514</v>
      </c>
      <c r="Y157" s="212" t="b">
        <f t="shared" si="5"/>
        <v>0</v>
      </c>
      <c r="AA157" s="230" t="str">
        <f>HYPERLINK("#일위대가_호표!A907","P9-1-1/1 →")</f>
        <v>P9-1-1/1 →</v>
      </c>
    </row>
  </sheetData>
  <autoFilter ref="A2:I157"/>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127</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913"/>
  <sheetViews>
    <sheetView workbookViewId="0">
      <pane ySplit="3" topLeftCell="A16" activePane="bottomLeft" state="frozen"/>
      <selection activeCell="DJ113" sqref="DJ113:FG116"/>
      <selection pane="bottomLeft" activeCell="DJ113" sqref="DJ113:FG116"/>
    </sheetView>
  </sheetViews>
  <sheetFormatPr defaultRowHeight="24" customHeight="1"/>
  <cols>
    <col min="1" max="1" width="22.5" style="226" customWidth="1"/>
    <col min="2" max="2" width="18.75" style="226" customWidth="1"/>
    <col min="3" max="3" width="6" style="227" customWidth="1"/>
    <col min="4" max="4" width="3.75" style="208" customWidth="1"/>
    <col min="5" max="5" width="8.25" style="209" customWidth="1"/>
    <col min="6" max="6" width="9" style="209" customWidth="1"/>
    <col min="7" max="7" width="8.25" style="209" customWidth="1"/>
    <col min="8" max="8" width="9" style="209" customWidth="1"/>
    <col min="9" max="9" width="8.25" style="209" customWidth="1"/>
    <col min="10" max="11" width="9" style="209" customWidth="1"/>
    <col min="12" max="12" width="9.75" style="209" customWidth="1"/>
    <col min="13" max="13" width="7.5" style="208" customWidth="1"/>
    <col min="14" max="61" width="0" style="209" hidden="1" customWidth="1"/>
    <col min="62" max="256" width="9" style="209"/>
    <col min="257" max="257" width="22.5" style="209" customWidth="1"/>
    <col min="258" max="258" width="18.75" style="209" customWidth="1"/>
    <col min="259" max="259" width="6" style="209" customWidth="1"/>
    <col min="260" max="260" width="3.75" style="209" customWidth="1"/>
    <col min="261" max="261" width="8.25" style="209" customWidth="1"/>
    <col min="262" max="262" width="9" style="209"/>
    <col min="263" max="263" width="8.25" style="209" customWidth="1"/>
    <col min="264" max="264" width="9" style="209"/>
    <col min="265" max="265" width="8.25" style="209" customWidth="1"/>
    <col min="266" max="267" width="9" style="209"/>
    <col min="268" max="268" width="9.75" style="209" customWidth="1"/>
    <col min="269" max="269" width="7.5" style="209" customWidth="1"/>
    <col min="270" max="317" width="0" style="209" hidden="1" customWidth="1"/>
    <col min="318" max="512" width="9" style="209"/>
    <col min="513" max="513" width="22.5" style="209" customWidth="1"/>
    <col min="514" max="514" width="18.75" style="209" customWidth="1"/>
    <col min="515" max="515" width="6" style="209" customWidth="1"/>
    <col min="516" max="516" width="3.75" style="209" customWidth="1"/>
    <col min="517" max="517" width="8.25" style="209" customWidth="1"/>
    <col min="518" max="518" width="9" style="209"/>
    <col min="519" max="519" width="8.25" style="209" customWidth="1"/>
    <col min="520" max="520" width="9" style="209"/>
    <col min="521" max="521" width="8.25" style="209" customWidth="1"/>
    <col min="522" max="523" width="9" style="209"/>
    <col min="524" max="524" width="9.75" style="209" customWidth="1"/>
    <col min="525" max="525" width="7.5" style="209" customWidth="1"/>
    <col min="526" max="573" width="0" style="209" hidden="1" customWidth="1"/>
    <col min="574" max="768" width="9" style="209"/>
    <col min="769" max="769" width="22.5" style="209" customWidth="1"/>
    <col min="770" max="770" width="18.75" style="209" customWidth="1"/>
    <col min="771" max="771" width="6" style="209" customWidth="1"/>
    <col min="772" max="772" width="3.75" style="209" customWidth="1"/>
    <col min="773" max="773" width="8.25" style="209" customWidth="1"/>
    <col min="774" max="774" width="9" style="209"/>
    <col min="775" max="775" width="8.25" style="209" customWidth="1"/>
    <col min="776" max="776" width="9" style="209"/>
    <col min="777" max="777" width="8.25" style="209" customWidth="1"/>
    <col min="778" max="779" width="9" style="209"/>
    <col min="780" max="780" width="9.75" style="209" customWidth="1"/>
    <col min="781" max="781" width="7.5" style="209" customWidth="1"/>
    <col min="782" max="829" width="0" style="209" hidden="1" customWidth="1"/>
    <col min="830" max="1024" width="9" style="209"/>
    <col min="1025" max="1025" width="22.5" style="209" customWidth="1"/>
    <col min="1026" max="1026" width="18.75" style="209" customWidth="1"/>
    <col min="1027" max="1027" width="6" style="209" customWidth="1"/>
    <col min="1028" max="1028" width="3.75" style="209" customWidth="1"/>
    <col min="1029" max="1029" width="8.25" style="209" customWidth="1"/>
    <col min="1030" max="1030" width="9" style="209"/>
    <col min="1031" max="1031" width="8.25" style="209" customWidth="1"/>
    <col min="1032" max="1032" width="9" style="209"/>
    <col min="1033" max="1033" width="8.25" style="209" customWidth="1"/>
    <col min="1034" max="1035" width="9" style="209"/>
    <col min="1036" max="1036" width="9.75" style="209" customWidth="1"/>
    <col min="1037" max="1037" width="7.5" style="209" customWidth="1"/>
    <col min="1038" max="1085" width="0" style="209" hidden="1" customWidth="1"/>
    <col min="1086" max="1280" width="9" style="209"/>
    <col min="1281" max="1281" width="22.5" style="209" customWidth="1"/>
    <col min="1282" max="1282" width="18.75" style="209" customWidth="1"/>
    <col min="1283" max="1283" width="6" style="209" customWidth="1"/>
    <col min="1284" max="1284" width="3.75" style="209" customWidth="1"/>
    <col min="1285" max="1285" width="8.25" style="209" customWidth="1"/>
    <col min="1286" max="1286" width="9" style="209"/>
    <col min="1287" max="1287" width="8.25" style="209" customWidth="1"/>
    <col min="1288" max="1288" width="9" style="209"/>
    <col min="1289" max="1289" width="8.25" style="209" customWidth="1"/>
    <col min="1290" max="1291" width="9" style="209"/>
    <col min="1292" max="1292" width="9.75" style="209" customWidth="1"/>
    <col min="1293" max="1293" width="7.5" style="209" customWidth="1"/>
    <col min="1294" max="1341" width="0" style="209" hidden="1" customWidth="1"/>
    <col min="1342" max="1536" width="9" style="209"/>
    <col min="1537" max="1537" width="22.5" style="209" customWidth="1"/>
    <col min="1538" max="1538" width="18.75" style="209" customWidth="1"/>
    <col min="1539" max="1539" width="6" style="209" customWidth="1"/>
    <col min="1540" max="1540" width="3.75" style="209" customWidth="1"/>
    <col min="1541" max="1541" width="8.25" style="209" customWidth="1"/>
    <col min="1542" max="1542" width="9" style="209"/>
    <col min="1543" max="1543" width="8.25" style="209" customWidth="1"/>
    <col min="1544" max="1544" width="9" style="209"/>
    <col min="1545" max="1545" width="8.25" style="209" customWidth="1"/>
    <col min="1546" max="1547" width="9" style="209"/>
    <col min="1548" max="1548" width="9.75" style="209" customWidth="1"/>
    <col min="1549" max="1549" width="7.5" style="209" customWidth="1"/>
    <col min="1550" max="1597" width="0" style="209" hidden="1" customWidth="1"/>
    <col min="1598" max="1792" width="9" style="209"/>
    <col min="1793" max="1793" width="22.5" style="209" customWidth="1"/>
    <col min="1794" max="1794" width="18.75" style="209" customWidth="1"/>
    <col min="1795" max="1795" width="6" style="209" customWidth="1"/>
    <col min="1796" max="1796" width="3.75" style="209" customWidth="1"/>
    <col min="1797" max="1797" width="8.25" style="209" customWidth="1"/>
    <col min="1798" max="1798" width="9" style="209"/>
    <col min="1799" max="1799" width="8.25" style="209" customWidth="1"/>
    <col min="1800" max="1800" width="9" style="209"/>
    <col min="1801" max="1801" width="8.25" style="209" customWidth="1"/>
    <col min="1802" max="1803" width="9" style="209"/>
    <col min="1804" max="1804" width="9.75" style="209" customWidth="1"/>
    <col min="1805" max="1805" width="7.5" style="209" customWidth="1"/>
    <col min="1806" max="1853" width="0" style="209" hidden="1" customWidth="1"/>
    <col min="1854" max="2048" width="9" style="209"/>
    <col min="2049" max="2049" width="22.5" style="209" customWidth="1"/>
    <col min="2050" max="2050" width="18.75" style="209" customWidth="1"/>
    <col min="2051" max="2051" width="6" style="209" customWidth="1"/>
    <col min="2052" max="2052" width="3.75" style="209" customWidth="1"/>
    <col min="2053" max="2053" width="8.25" style="209" customWidth="1"/>
    <col min="2054" max="2054" width="9" style="209"/>
    <col min="2055" max="2055" width="8.25" style="209" customWidth="1"/>
    <col min="2056" max="2056" width="9" style="209"/>
    <col min="2057" max="2057" width="8.25" style="209" customWidth="1"/>
    <col min="2058" max="2059" width="9" style="209"/>
    <col min="2060" max="2060" width="9.75" style="209" customWidth="1"/>
    <col min="2061" max="2061" width="7.5" style="209" customWidth="1"/>
    <col min="2062" max="2109" width="0" style="209" hidden="1" customWidth="1"/>
    <col min="2110" max="2304" width="9" style="209"/>
    <col min="2305" max="2305" width="22.5" style="209" customWidth="1"/>
    <col min="2306" max="2306" width="18.75" style="209" customWidth="1"/>
    <col min="2307" max="2307" width="6" style="209" customWidth="1"/>
    <col min="2308" max="2308" width="3.75" style="209" customWidth="1"/>
    <col min="2309" max="2309" width="8.25" style="209" customWidth="1"/>
    <col min="2310" max="2310" width="9" style="209"/>
    <col min="2311" max="2311" width="8.25" style="209" customWidth="1"/>
    <col min="2312" max="2312" width="9" style="209"/>
    <col min="2313" max="2313" width="8.25" style="209" customWidth="1"/>
    <col min="2314" max="2315" width="9" style="209"/>
    <col min="2316" max="2316" width="9.75" style="209" customWidth="1"/>
    <col min="2317" max="2317" width="7.5" style="209" customWidth="1"/>
    <col min="2318" max="2365" width="0" style="209" hidden="1" customWidth="1"/>
    <col min="2366" max="2560" width="9" style="209"/>
    <col min="2561" max="2561" width="22.5" style="209" customWidth="1"/>
    <col min="2562" max="2562" width="18.75" style="209" customWidth="1"/>
    <col min="2563" max="2563" width="6" style="209" customWidth="1"/>
    <col min="2564" max="2564" width="3.75" style="209" customWidth="1"/>
    <col min="2565" max="2565" width="8.25" style="209" customWidth="1"/>
    <col min="2566" max="2566" width="9" style="209"/>
    <col min="2567" max="2567" width="8.25" style="209" customWidth="1"/>
    <col min="2568" max="2568" width="9" style="209"/>
    <col min="2569" max="2569" width="8.25" style="209" customWidth="1"/>
    <col min="2570" max="2571" width="9" style="209"/>
    <col min="2572" max="2572" width="9.75" style="209" customWidth="1"/>
    <col min="2573" max="2573" width="7.5" style="209" customWidth="1"/>
    <col min="2574" max="2621" width="0" style="209" hidden="1" customWidth="1"/>
    <col min="2622" max="2816" width="9" style="209"/>
    <col min="2817" max="2817" width="22.5" style="209" customWidth="1"/>
    <col min="2818" max="2818" width="18.75" style="209" customWidth="1"/>
    <col min="2819" max="2819" width="6" style="209" customWidth="1"/>
    <col min="2820" max="2820" width="3.75" style="209" customWidth="1"/>
    <col min="2821" max="2821" width="8.25" style="209" customWidth="1"/>
    <col min="2822" max="2822" width="9" style="209"/>
    <col min="2823" max="2823" width="8.25" style="209" customWidth="1"/>
    <col min="2824" max="2824" width="9" style="209"/>
    <col min="2825" max="2825" width="8.25" style="209" customWidth="1"/>
    <col min="2826" max="2827" width="9" style="209"/>
    <col min="2828" max="2828" width="9.75" style="209" customWidth="1"/>
    <col min="2829" max="2829" width="7.5" style="209" customWidth="1"/>
    <col min="2830" max="2877" width="0" style="209" hidden="1" customWidth="1"/>
    <col min="2878" max="3072" width="9" style="209"/>
    <col min="3073" max="3073" width="22.5" style="209" customWidth="1"/>
    <col min="3074" max="3074" width="18.75" style="209" customWidth="1"/>
    <col min="3075" max="3075" width="6" style="209" customWidth="1"/>
    <col min="3076" max="3076" width="3.75" style="209" customWidth="1"/>
    <col min="3077" max="3077" width="8.25" style="209" customWidth="1"/>
    <col min="3078" max="3078" width="9" style="209"/>
    <col min="3079" max="3079" width="8.25" style="209" customWidth="1"/>
    <col min="3080" max="3080" width="9" style="209"/>
    <col min="3081" max="3081" width="8.25" style="209" customWidth="1"/>
    <col min="3082" max="3083" width="9" style="209"/>
    <col min="3084" max="3084" width="9.75" style="209" customWidth="1"/>
    <col min="3085" max="3085" width="7.5" style="209" customWidth="1"/>
    <col min="3086" max="3133" width="0" style="209" hidden="1" customWidth="1"/>
    <col min="3134" max="3328" width="9" style="209"/>
    <col min="3329" max="3329" width="22.5" style="209" customWidth="1"/>
    <col min="3330" max="3330" width="18.75" style="209" customWidth="1"/>
    <col min="3331" max="3331" width="6" style="209" customWidth="1"/>
    <col min="3332" max="3332" width="3.75" style="209" customWidth="1"/>
    <col min="3333" max="3333" width="8.25" style="209" customWidth="1"/>
    <col min="3334" max="3334" width="9" style="209"/>
    <col min="3335" max="3335" width="8.25" style="209" customWidth="1"/>
    <col min="3336" max="3336" width="9" style="209"/>
    <col min="3337" max="3337" width="8.25" style="209" customWidth="1"/>
    <col min="3338" max="3339" width="9" style="209"/>
    <col min="3340" max="3340" width="9.75" style="209" customWidth="1"/>
    <col min="3341" max="3341" width="7.5" style="209" customWidth="1"/>
    <col min="3342" max="3389" width="0" style="209" hidden="1" customWidth="1"/>
    <col min="3390" max="3584" width="9" style="209"/>
    <col min="3585" max="3585" width="22.5" style="209" customWidth="1"/>
    <col min="3586" max="3586" width="18.75" style="209" customWidth="1"/>
    <col min="3587" max="3587" width="6" style="209" customWidth="1"/>
    <col min="3588" max="3588" width="3.75" style="209" customWidth="1"/>
    <col min="3589" max="3589" width="8.25" style="209" customWidth="1"/>
    <col min="3590" max="3590" width="9" style="209"/>
    <col min="3591" max="3591" width="8.25" style="209" customWidth="1"/>
    <col min="3592" max="3592" width="9" style="209"/>
    <col min="3593" max="3593" width="8.25" style="209" customWidth="1"/>
    <col min="3594" max="3595" width="9" style="209"/>
    <col min="3596" max="3596" width="9.75" style="209" customWidth="1"/>
    <col min="3597" max="3597" width="7.5" style="209" customWidth="1"/>
    <col min="3598" max="3645" width="0" style="209" hidden="1" customWidth="1"/>
    <col min="3646" max="3840" width="9" style="209"/>
    <col min="3841" max="3841" width="22.5" style="209" customWidth="1"/>
    <col min="3842" max="3842" width="18.75" style="209" customWidth="1"/>
    <col min="3843" max="3843" width="6" style="209" customWidth="1"/>
    <col min="3844" max="3844" width="3.75" style="209" customWidth="1"/>
    <col min="3845" max="3845" width="8.25" style="209" customWidth="1"/>
    <col min="3846" max="3846" width="9" style="209"/>
    <col min="3847" max="3847" width="8.25" style="209" customWidth="1"/>
    <col min="3848" max="3848" width="9" style="209"/>
    <col min="3849" max="3849" width="8.25" style="209" customWidth="1"/>
    <col min="3850" max="3851" width="9" style="209"/>
    <col min="3852" max="3852" width="9.75" style="209" customWidth="1"/>
    <col min="3853" max="3853" width="7.5" style="209" customWidth="1"/>
    <col min="3854" max="3901" width="0" style="209" hidden="1" customWidth="1"/>
    <col min="3902" max="4096" width="9" style="209"/>
    <col min="4097" max="4097" width="22.5" style="209" customWidth="1"/>
    <col min="4098" max="4098" width="18.75" style="209" customWidth="1"/>
    <col min="4099" max="4099" width="6" style="209" customWidth="1"/>
    <col min="4100" max="4100" width="3.75" style="209" customWidth="1"/>
    <col min="4101" max="4101" width="8.25" style="209" customWidth="1"/>
    <col min="4102" max="4102" width="9" style="209"/>
    <col min="4103" max="4103" width="8.25" style="209" customWidth="1"/>
    <col min="4104" max="4104" width="9" style="209"/>
    <col min="4105" max="4105" width="8.25" style="209" customWidth="1"/>
    <col min="4106" max="4107" width="9" style="209"/>
    <col min="4108" max="4108" width="9.75" style="209" customWidth="1"/>
    <col min="4109" max="4109" width="7.5" style="209" customWidth="1"/>
    <col min="4110" max="4157" width="0" style="209" hidden="1" customWidth="1"/>
    <col min="4158" max="4352" width="9" style="209"/>
    <col min="4353" max="4353" width="22.5" style="209" customWidth="1"/>
    <col min="4354" max="4354" width="18.75" style="209" customWidth="1"/>
    <col min="4355" max="4355" width="6" style="209" customWidth="1"/>
    <col min="4356" max="4356" width="3.75" style="209" customWidth="1"/>
    <col min="4357" max="4357" width="8.25" style="209" customWidth="1"/>
    <col min="4358" max="4358" width="9" style="209"/>
    <col min="4359" max="4359" width="8.25" style="209" customWidth="1"/>
    <col min="4360" max="4360" width="9" style="209"/>
    <col min="4361" max="4361" width="8.25" style="209" customWidth="1"/>
    <col min="4362" max="4363" width="9" style="209"/>
    <col min="4364" max="4364" width="9.75" style="209" customWidth="1"/>
    <col min="4365" max="4365" width="7.5" style="209" customWidth="1"/>
    <col min="4366" max="4413" width="0" style="209" hidden="1" customWidth="1"/>
    <col min="4414" max="4608" width="9" style="209"/>
    <col min="4609" max="4609" width="22.5" style="209" customWidth="1"/>
    <col min="4610" max="4610" width="18.75" style="209" customWidth="1"/>
    <col min="4611" max="4611" width="6" style="209" customWidth="1"/>
    <col min="4612" max="4612" width="3.75" style="209" customWidth="1"/>
    <col min="4613" max="4613" width="8.25" style="209" customWidth="1"/>
    <col min="4614" max="4614" width="9" style="209"/>
    <col min="4615" max="4615" width="8.25" style="209" customWidth="1"/>
    <col min="4616" max="4616" width="9" style="209"/>
    <col min="4617" max="4617" width="8.25" style="209" customWidth="1"/>
    <col min="4618" max="4619" width="9" style="209"/>
    <col min="4620" max="4620" width="9.75" style="209" customWidth="1"/>
    <col min="4621" max="4621" width="7.5" style="209" customWidth="1"/>
    <col min="4622" max="4669" width="0" style="209" hidden="1" customWidth="1"/>
    <col min="4670" max="4864" width="9" style="209"/>
    <col min="4865" max="4865" width="22.5" style="209" customWidth="1"/>
    <col min="4866" max="4866" width="18.75" style="209" customWidth="1"/>
    <col min="4867" max="4867" width="6" style="209" customWidth="1"/>
    <col min="4868" max="4868" width="3.75" style="209" customWidth="1"/>
    <col min="4869" max="4869" width="8.25" style="209" customWidth="1"/>
    <col min="4870" max="4870" width="9" style="209"/>
    <col min="4871" max="4871" width="8.25" style="209" customWidth="1"/>
    <col min="4872" max="4872" width="9" style="209"/>
    <col min="4873" max="4873" width="8.25" style="209" customWidth="1"/>
    <col min="4874" max="4875" width="9" style="209"/>
    <col min="4876" max="4876" width="9.75" style="209" customWidth="1"/>
    <col min="4877" max="4877" width="7.5" style="209" customWidth="1"/>
    <col min="4878" max="4925" width="0" style="209" hidden="1" customWidth="1"/>
    <col min="4926" max="5120" width="9" style="209"/>
    <col min="5121" max="5121" width="22.5" style="209" customWidth="1"/>
    <col min="5122" max="5122" width="18.75" style="209" customWidth="1"/>
    <col min="5123" max="5123" width="6" style="209" customWidth="1"/>
    <col min="5124" max="5124" width="3.75" style="209" customWidth="1"/>
    <col min="5125" max="5125" width="8.25" style="209" customWidth="1"/>
    <col min="5126" max="5126" width="9" style="209"/>
    <col min="5127" max="5127" width="8.25" style="209" customWidth="1"/>
    <col min="5128" max="5128" width="9" style="209"/>
    <col min="5129" max="5129" width="8.25" style="209" customWidth="1"/>
    <col min="5130" max="5131" width="9" style="209"/>
    <col min="5132" max="5132" width="9.75" style="209" customWidth="1"/>
    <col min="5133" max="5133" width="7.5" style="209" customWidth="1"/>
    <col min="5134" max="5181" width="0" style="209" hidden="1" customWidth="1"/>
    <col min="5182" max="5376" width="9" style="209"/>
    <col min="5377" max="5377" width="22.5" style="209" customWidth="1"/>
    <col min="5378" max="5378" width="18.75" style="209" customWidth="1"/>
    <col min="5379" max="5379" width="6" style="209" customWidth="1"/>
    <col min="5380" max="5380" width="3.75" style="209" customWidth="1"/>
    <col min="5381" max="5381" width="8.25" style="209" customWidth="1"/>
    <col min="5382" max="5382" width="9" style="209"/>
    <col min="5383" max="5383" width="8.25" style="209" customWidth="1"/>
    <col min="5384" max="5384" width="9" style="209"/>
    <col min="5385" max="5385" width="8.25" style="209" customWidth="1"/>
    <col min="5386" max="5387" width="9" style="209"/>
    <col min="5388" max="5388" width="9.75" style="209" customWidth="1"/>
    <col min="5389" max="5389" width="7.5" style="209" customWidth="1"/>
    <col min="5390" max="5437" width="0" style="209" hidden="1" customWidth="1"/>
    <col min="5438" max="5632" width="9" style="209"/>
    <col min="5633" max="5633" width="22.5" style="209" customWidth="1"/>
    <col min="5634" max="5634" width="18.75" style="209" customWidth="1"/>
    <col min="5635" max="5635" width="6" style="209" customWidth="1"/>
    <col min="5636" max="5636" width="3.75" style="209" customWidth="1"/>
    <col min="5637" max="5637" width="8.25" style="209" customWidth="1"/>
    <col min="5638" max="5638" width="9" style="209"/>
    <col min="5639" max="5639" width="8.25" style="209" customWidth="1"/>
    <col min="5640" max="5640" width="9" style="209"/>
    <col min="5641" max="5641" width="8.25" style="209" customWidth="1"/>
    <col min="5642" max="5643" width="9" style="209"/>
    <col min="5644" max="5644" width="9.75" style="209" customWidth="1"/>
    <col min="5645" max="5645" width="7.5" style="209" customWidth="1"/>
    <col min="5646" max="5693" width="0" style="209" hidden="1" customWidth="1"/>
    <col min="5694" max="5888" width="9" style="209"/>
    <col min="5889" max="5889" width="22.5" style="209" customWidth="1"/>
    <col min="5890" max="5890" width="18.75" style="209" customWidth="1"/>
    <col min="5891" max="5891" width="6" style="209" customWidth="1"/>
    <col min="5892" max="5892" width="3.75" style="209" customWidth="1"/>
    <col min="5893" max="5893" width="8.25" style="209" customWidth="1"/>
    <col min="5894" max="5894" width="9" style="209"/>
    <col min="5895" max="5895" width="8.25" style="209" customWidth="1"/>
    <col min="5896" max="5896" width="9" style="209"/>
    <col min="5897" max="5897" width="8.25" style="209" customWidth="1"/>
    <col min="5898" max="5899" width="9" style="209"/>
    <col min="5900" max="5900" width="9.75" style="209" customWidth="1"/>
    <col min="5901" max="5901" width="7.5" style="209" customWidth="1"/>
    <col min="5902" max="5949" width="0" style="209" hidden="1" customWidth="1"/>
    <col min="5950" max="6144" width="9" style="209"/>
    <col min="6145" max="6145" width="22.5" style="209" customWidth="1"/>
    <col min="6146" max="6146" width="18.75" style="209" customWidth="1"/>
    <col min="6147" max="6147" width="6" style="209" customWidth="1"/>
    <col min="6148" max="6148" width="3.75" style="209" customWidth="1"/>
    <col min="6149" max="6149" width="8.25" style="209" customWidth="1"/>
    <col min="6150" max="6150" width="9" style="209"/>
    <col min="6151" max="6151" width="8.25" style="209" customWidth="1"/>
    <col min="6152" max="6152" width="9" style="209"/>
    <col min="6153" max="6153" width="8.25" style="209" customWidth="1"/>
    <col min="6154" max="6155" width="9" style="209"/>
    <col min="6156" max="6156" width="9.75" style="209" customWidth="1"/>
    <col min="6157" max="6157" width="7.5" style="209" customWidth="1"/>
    <col min="6158" max="6205" width="0" style="209" hidden="1" customWidth="1"/>
    <col min="6206" max="6400" width="9" style="209"/>
    <col min="6401" max="6401" width="22.5" style="209" customWidth="1"/>
    <col min="6402" max="6402" width="18.75" style="209" customWidth="1"/>
    <col min="6403" max="6403" width="6" style="209" customWidth="1"/>
    <col min="6404" max="6404" width="3.75" style="209" customWidth="1"/>
    <col min="6405" max="6405" width="8.25" style="209" customWidth="1"/>
    <col min="6406" max="6406" width="9" style="209"/>
    <col min="6407" max="6407" width="8.25" style="209" customWidth="1"/>
    <col min="6408" max="6408" width="9" style="209"/>
    <col min="6409" max="6409" width="8.25" style="209" customWidth="1"/>
    <col min="6410" max="6411" width="9" style="209"/>
    <col min="6412" max="6412" width="9.75" style="209" customWidth="1"/>
    <col min="6413" max="6413" width="7.5" style="209" customWidth="1"/>
    <col min="6414" max="6461" width="0" style="209" hidden="1" customWidth="1"/>
    <col min="6462" max="6656" width="9" style="209"/>
    <col min="6657" max="6657" width="22.5" style="209" customWidth="1"/>
    <col min="6658" max="6658" width="18.75" style="209" customWidth="1"/>
    <col min="6659" max="6659" width="6" style="209" customWidth="1"/>
    <col min="6660" max="6660" width="3.75" style="209" customWidth="1"/>
    <col min="6661" max="6661" width="8.25" style="209" customWidth="1"/>
    <col min="6662" max="6662" width="9" style="209"/>
    <col min="6663" max="6663" width="8.25" style="209" customWidth="1"/>
    <col min="6664" max="6664" width="9" style="209"/>
    <col min="6665" max="6665" width="8.25" style="209" customWidth="1"/>
    <col min="6666" max="6667" width="9" style="209"/>
    <col min="6668" max="6668" width="9.75" style="209" customWidth="1"/>
    <col min="6669" max="6669" width="7.5" style="209" customWidth="1"/>
    <col min="6670" max="6717" width="0" style="209" hidden="1" customWidth="1"/>
    <col min="6718" max="6912" width="9" style="209"/>
    <col min="6913" max="6913" width="22.5" style="209" customWidth="1"/>
    <col min="6914" max="6914" width="18.75" style="209" customWidth="1"/>
    <col min="6915" max="6915" width="6" style="209" customWidth="1"/>
    <col min="6916" max="6916" width="3.75" style="209" customWidth="1"/>
    <col min="6917" max="6917" width="8.25" style="209" customWidth="1"/>
    <col min="6918" max="6918" width="9" style="209"/>
    <col min="6919" max="6919" width="8.25" style="209" customWidth="1"/>
    <col min="6920" max="6920" width="9" style="209"/>
    <col min="6921" max="6921" width="8.25" style="209" customWidth="1"/>
    <col min="6922" max="6923" width="9" style="209"/>
    <col min="6924" max="6924" width="9.75" style="209" customWidth="1"/>
    <col min="6925" max="6925" width="7.5" style="209" customWidth="1"/>
    <col min="6926" max="6973" width="0" style="209" hidden="1" customWidth="1"/>
    <col min="6974" max="7168" width="9" style="209"/>
    <col min="7169" max="7169" width="22.5" style="209" customWidth="1"/>
    <col min="7170" max="7170" width="18.75" style="209" customWidth="1"/>
    <col min="7171" max="7171" width="6" style="209" customWidth="1"/>
    <col min="7172" max="7172" width="3.75" style="209" customWidth="1"/>
    <col min="7173" max="7173" width="8.25" style="209" customWidth="1"/>
    <col min="7174" max="7174" width="9" style="209"/>
    <col min="7175" max="7175" width="8.25" style="209" customWidth="1"/>
    <col min="7176" max="7176" width="9" style="209"/>
    <col min="7177" max="7177" width="8.25" style="209" customWidth="1"/>
    <col min="7178" max="7179" width="9" style="209"/>
    <col min="7180" max="7180" width="9.75" style="209" customWidth="1"/>
    <col min="7181" max="7181" width="7.5" style="209" customWidth="1"/>
    <col min="7182" max="7229" width="0" style="209" hidden="1" customWidth="1"/>
    <col min="7230" max="7424" width="9" style="209"/>
    <col min="7425" max="7425" width="22.5" style="209" customWidth="1"/>
    <col min="7426" max="7426" width="18.75" style="209" customWidth="1"/>
    <col min="7427" max="7427" width="6" style="209" customWidth="1"/>
    <col min="7428" max="7428" width="3.75" style="209" customWidth="1"/>
    <col min="7429" max="7429" width="8.25" style="209" customWidth="1"/>
    <col min="7430" max="7430" width="9" style="209"/>
    <col min="7431" max="7431" width="8.25" style="209" customWidth="1"/>
    <col min="7432" max="7432" width="9" style="209"/>
    <col min="7433" max="7433" width="8.25" style="209" customWidth="1"/>
    <col min="7434" max="7435" width="9" style="209"/>
    <col min="7436" max="7436" width="9.75" style="209" customWidth="1"/>
    <col min="7437" max="7437" width="7.5" style="209" customWidth="1"/>
    <col min="7438" max="7485" width="0" style="209" hidden="1" customWidth="1"/>
    <col min="7486" max="7680" width="9" style="209"/>
    <col min="7681" max="7681" width="22.5" style="209" customWidth="1"/>
    <col min="7682" max="7682" width="18.75" style="209" customWidth="1"/>
    <col min="7683" max="7683" width="6" style="209" customWidth="1"/>
    <col min="7684" max="7684" width="3.75" style="209" customWidth="1"/>
    <col min="7685" max="7685" width="8.25" style="209" customWidth="1"/>
    <col min="7686" max="7686" width="9" style="209"/>
    <col min="7687" max="7687" width="8.25" style="209" customWidth="1"/>
    <col min="7688" max="7688" width="9" style="209"/>
    <col min="7689" max="7689" width="8.25" style="209" customWidth="1"/>
    <col min="7690" max="7691" width="9" style="209"/>
    <col min="7692" max="7692" width="9.75" style="209" customWidth="1"/>
    <col min="7693" max="7693" width="7.5" style="209" customWidth="1"/>
    <col min="7694" max="7741" width="0" style="209" hidden="1" customWidth="1"/>
    <col min="7742" max="7936" width="9" style="209"/>
    <col min="7937" max="7937" width="22.5" style="209" customWidth="1"/>
    <col min="7938" max="7938" width="18.75" style="209" customWidth="1"/>
    <col min="7939" max="7939" width="6" style="209" customWidth="1"/>
    <col min="7940" max="7940" width="3.75" style="209" customWidth="1"/>
    <col min="7941" max="7941" width="8.25" style="209" customWidth="1"/>
    <col min="7942" max="7942" width="9" style="209"/>
    <col min="7943" max="7943" width="8.25" style="209" customWidth="1"/>
    <col min="7944" max="7944" width="9" style="209"/>
    <col min="7945" max="7945" width="8.25" style="209" customWidth="1"/>
    <col min="7946" max="7947" width="9" style="209"/>
    <col min="7948" max="7948" width="9.75" style="209" customWidth="1"/>
    <col min="7949" max="7949" width="7.5" style="209" customWidth="1"/>
    <col min="7950" max="7997" width="0" style="209" hidden="1" customWidth="1"/>
    <col min="7998" max="8192" width="9" style="209"/>
    <col min="8193" max="8193" width="22.5" style="209" customWidth="1"/>
    <col min="8194" max="8194" width="18.75" style="209" customWidth="1"/>
    <col min="8195" max="8195" width="6" style="209" customWidth="1"/>
    <col min="8196" max="8196" width="3.75" style="209" customWidth="1"/>
    <col min="8197" max="8197" width="8.25" style="209" customWidth="1"/>
    <col min="8198" max="8198" width="9" style="209"/>
    <col min="8199" max="8199" width="8.25" style="209" customWidth="1"/>
    <col min="8200" max="8200" width="9" style="209"/>
    <col min="8201" max="8201" width="8.25" style="209" customWidth="1"/>
    <col min="8202" max="8203" width="9" style="209"/>
    <col min="8204" max="8204" width="9.75" style="209" customWidth="1"/>
    <col min="8205" max="8205" width="7.5" style="209" customWidth="1"/>
    <col min="8206" max="8253" width="0" style="209" hidden="1" customWidth="1"/>
    <col min="8254" max="8448" width="9" style="209"/>
    <col min="8449" max="8449" width="22.5" style="209" customWidth="1"/>
    <col min="8450" max="8450" width="18.75" style="209" customWidth="1"/>
    <col min="8451" max="8451" width="6" style="209" customWidth="1"/>
    <col min="8452" max="8452" width="3.75" style="209" customWidth="1"/>
    <col min="8453" max="8453" width="8.25" style="209" customWidth="1"/>
    <col min="8454" max="8454" width="9" style="209"/>
    <col min="8455" max="8455" width="8.25" style="209" customWidth="1"/>
    <col min="8456" max="8456" width="9" style="209"/>
    <col min="8457" max="8457" width="8.25" style="209" customWidth="1"/>
    <col min="8458" max="8459" width="9" style="209"/>
    <col min="8460" max="8460" width="9.75" style="209" customWidth="1"/>
    <col min="8461" max="8461" width="7.5" style="209" customWidth="1"/>
    <col min="8462" max="8509" width="0" style="209" hidden="1" customWidth="1"/>
    <col min="8510" max="8704" width="9" style="209"/>
    <col min="8705" max="8705" width="22.5" style="209" customWidth="1"/>
    <col min="8706" max="8706" width="18.75" style="209" customWidth="1"/>
    <col min="8707" max="8707" width="6" style="209" customWidth="1"/>
    <col min="8708" max="8708" width="3.75" style="209" customWidth="1"/>
    <col min="8709" max="8709" width="8.25" style="209" customWidth="1"/>
    <col min="8710" max="8710" width="9" style="209"/>
    <col min="8711" max="8711" width="8.25" style="209" customWidth="1"/>
    <col min="8712" max="8712" width="9" style="209"/>
    <col min="8713" max="8713" width="8.25" style="209" customWidth="1"/>
    <col min="8714" max="8715" width="9" style="209"/>
    <col min="8716" max="8716" width="9.75" style="209" customWidth="1"/>
    <col min="8717" max="8717" width="7.5" style="209" customWidth="1"/>
    <col min="8718" max="8765" width="0" style="209" hidden="1" customWidth="1"/>
    <col min="8766" max="8960" width="9" style="209"/>
    <col min="8961" max="8961" width="22.5" style="209" customWidth="1"/>
    <col min="8962" max="8962" width="18.75" style="209" customWidth="1"/>
    <col min="8963" max="8963" width="6" style="209" customWidth="1"/>
    <col min="8964" max="8964" width="3.75" style="209" customWidth="1"/>
    <col min="8965" max="8965" width="8.25" style="209" customWidth="1"/>
    <col min="8966" max="8966" width="9" style="209"/>
    <col min="8967" max="8967" width="8.25" style="209" customWidth="1"/>
    <col min="8968" max="8968" width="9" style="209"/>
    <col min="8969" max="8969" width="8.25" style="209" customWidth="1"/>
    <col min="8970" max="8971" width="9" style="209"/>
    <col min="8972" max="8972" width="9.75" style="209" customWidth="1"/>
    <col min="8973" max="8973" width="7.5" style="209" customWidth="1"/>
    <col min="8974" max="9021" width="0" style="209" hidden="1" customWidth="1"/>
    <col min="9022" max="9216" width="9" style="209"/>
    <col min="9217" max="9217" width="22.5" style="209" customWidth="1"/>
    <col min="9218" max="9218" width="18.75" style="209" customWidth="1"/>
    <col min="9219" max="9219" width="6" style="209" customWidth="1"/>
    <col min="9220" max="9220" width="3.75" style="209" customWidth="1"/>
    <col min="9221" max="9221" width="8.25" style="209" customWidth="1"/>
    <col min="9222" max="9222" width="9" style="209"/>
    <col min="9223" max="9223" width="8.25" style="209" customWidth="1"/>
    <col min="9224" max="9224" width="9" style="209"/>
    <col min="9225" max="9225" width="8.25" style="209" customWidth="1"/>
    <col min="9226" max="9227" width="9" style="209"/>
    <col min="9228" max="9228" width="9.75" style="209" customWidth="1"/>
    <col min="9229" max="9229" width="7.5" style="209" customWidth="1"/>
    <col min="9230" max="9277" width="0" style="209" hidden="1" customWidth="1"/>
    <col min="9278" max="9472" width="9" style="209"/>
    <col min="9473" max="9473" width="22.5" style="209" customWidth="1"/>
    <col min="9474" max="9474" width="18.75" style="209" customWidth="1"/>
    <col min="9475" max="9475" width="6" style="209" customWidth="1"/>
    <col min="9476" max="9476" width="3.75" style="209" customWidth="1"/>
    <col min="9477" max="9477" width="8.25" style="209" customWidth="1"/>
    <col min="9478" max="9478" width="9" style="209"/>
    <col min="9479" max="9479" width="8.25" style="209" customWidth="1"/>
    <col min="9480" max="9480" width="9" style="209"/>
    <col min="9481" max="9481" width="8.25" style="209" customWidth="1"/>
    <col min="9482" max="9483" width="9" style="209"/>
    <col min="9484" max="9484" width="9.75" style="209" customWidth="1"/>
    <col min="9485" max="9485" width="7.5" style="209" customWidth="1"/>
    <col min="9486" max="9533" width="0" style="209" hidden="1" customWidth="1"/>
    <col min="9534" max="9728" width="9" style="209"/>
    <col min="9729" max="9729" width="22.5" style="209" customWidth="1"/>
    <col min="9730" max="9730" width="18.75" style="209" customWidth="1"/>
    <col min="9731" max="9731" width="6" style="209" customWidth="1"/>
    <col min="9732" max="9732" width="3.75" style="209" customWidth="1"/>
    <col min="9733" max="9733" width="8.25" style="209" customWidth="1"/>
    <col min="9734" max="9734" width="9" style="209"/>
    <col min="9735" max="9735" width="8.25" style="209" customWidth="1"/>
    <col min="9736" max="9736" width="9" style="209"/>
    <col min="9737" max="9737" width="8.25" style="209" customWidth="1"/>
    <col min="9738" max="9739" width="9" style="209"/>
    <col min="9740" max="9740" width="9.75" style="209" customWidth="1"/>
    <col min="9741" max="9741" width="7.5" style="209" customWidth="1"/>
    <col min="9742" max="9789" width="0" style="209" hidden="1" customWidth="1"/>
    <col min="9790" max="9984" width="9" style="209"/>
    <col min="9985" max="9985" width="22.5" style="209" customWidth="1"/>
    <col min="9986" max="9986" width="18.75" style="209" customWidth="1"/>
    <col min="9987" max="9987" width="6" style="209" customWidth="1"/>
    <col min="9988" max="9988" width="3.75" style="209" customWidth="1"/>
    <col min="9989" max="9989" width="8.25" style="209" customWidth="1"/>
    <col min="9990" max="9990" width="9" style="209"/>
    <col min="9991" max="9991" width="8.25" style="209" customWidth="1"/>
    <col min="9992" max="9992" width="9" style="209"/>
    <col min="9993" max="9993" width="8.25" style="209" customWidth="1"/>
    <col min="9994" max="9995" width="9" style="209"/>
    <col min="9996" max="9996" width="9.75" style="209" customWidth="1"/>
    <col min="9997" max="9997" width="7.5" style="209" customWidth="1"/>
    <col min="9998" max="10045" width="0" style="209" hidden="1" customWidth="1"/>
    <col min="10046" max="10240" width="9" style="209"/>
    <col min="10241" max="10241" width="22.5" style="209" customWidth="1"/>
    <col min="10242" max="10242" width="18.75" style="209" customWidth="1"/>
    <col min="10243" max="10243" width="6" style="209" customWidth="1"/>
    <col min="10244" max="10244" width="3.75" style="209" customWidth="1"/>
    <col min="10245" max="10245" width="8.25" style="209" customWidth="1"/>
    <col min="10246" max="10246" width="9" style="209"/>
    <col min="10247" max="10247" width="8.25" style="209" customWidth="1"/>
    <col min="10248" max="10248" width="9" style="209"/>
    <col min="10249" max="10249" width="8.25" style="209" customWidth="1"/>
    <col min="10250" max="10251" width="9" style="209"/>
    <col min="10252" max="10252" width="9.75" style="209" customWidth="1"/>
    <col min="10253" max="10253" width="7.5" style="209" customWidth="1"/>
    <col min="10254" max="10301" width="0" style="209" hidden="1" customWidth="1"/>
    <col min="10302" max="10496" width="9" style="209"/>
    <col min="10497" max="10497" width="22.5" style="209" customWidth="1"/>
    <col min="10498" max="10498" width="18.75" style="209" customWidth="1"/>
    <col min="10499" max="10499" width="6" style="209" customWidth="1"/>
    <col min="10500" max="10500" width="3.75" style="209" customWidth="1"/>
    <col min="10501" max="10501" width="8.25" style="209" customWidth="1"/>
    <col min="10502" max="10502" width="9" style="209"/>
    <col min="10503" max="10503" width="8.25" style="209" customWidth="1"/>
    <col min="10504" max="10504" width="9" style="209"/>
    <col min="10505" max="10505" width="8.25" style="209" customWidth="1"/>
    <col min="10506" max="10507" width="9" style="209"/>
    <col min="10508" max="10508" width="9.75" style="209" customWidth="1"/>
    <col min="10509" max="10509" width="7.5" style="209" customWidth="1"/>
    <col min="10510" max="10557" width="0" style="209" hidden="1" customWidth="1"/>
    <col min="10558" max="10752" width="9" style="209"/>
    <col min="10753" max="10753" width="22.5" style="209" customWidth="1"/>
    <col min="10754" max="10754" width="18.75" style="209" customWidth="1"/>
    <col min="10755" max="10755" width="6" style="209" customWidth="1"/>
    <col min="10756" max="10756" width="3.75" style="209" customWidth="1"/>
    <col min="10757" max="10757" width="8.25" style="209" customWidth="1"/>
    <col min="10758" max="10758" width="9" style="209"/>
    <col min="10759" max="10759" width="8.25" style="209" customWidth="1"/>
    <col min="10760" max="10760" width="9" style="209"/>
    <col min="10761" max="10761" width="8.25" style="209" customWidth="1"/>
    <col min="10762" max="10763" width="9" style="209"/>
    <col min="10764" max="10764" width="9.75" style="209" customWidth="1"/>
    <col min="10765" max="10765" width="7.5" style="209" customWidth="1"/>
    <col min="10766" max="10813" width="0" style="209" hidden="1" customWidth="1"/>
    <col min="10814" max="11008" width="9" style="209"/>
    <col min="11009" max="11009" width="22.5" style="209" customWidth="1"/>
    <col min="11010" max="11010" width="18.75" style="209" customWidth="1"/>
    <col min="11011" max="11011" width="6" style="209" customWidth="1"/>
    <col min="11012" max="11012" width="3.75" style="209" customWidth="1"/>
    <col min="11013" max="11013" width="8.25" style="209" customWidth="1"/>
    <col min="11014" max="11014" width="9" style="209"/>
    <col min="11015" max="11015" width="8.25" style="209" customWidth="1"/>
    <col min="11016" max="11016" width="9" style="209"/>
    <col min="11017" max="11017" width="8.25" style="209" customWidth="1"/>
    <col min="11018" max="11019" width="9" style="209"/>
    <col min="11020" max="11020" width="9.75" style="209" customWidth="1"/>
    <col min="11021" max="11021" width="7.5" style="209" customWidth="1"/>
    <col min="11022" max="11069" width="0" style="209" hidden="1" customWidth="1"/>
    <col min="11070" max="11264" width="9" style="209"/>
    <col min="11265" max="11265" width="22.5" style="209" customWidth="1"/>
    <col min="11266" max="11266" width="18.75" style="209" customWidth="1"/>
    <col min="11267" max="11267" width="6" style="209" customWidth="1"/>
    <col min="11268" max="11268" width="3.75" style="209" customWidth="1"/>
    <col min="11269" max="11269" width="8.25" style="209" customWidth="1"/>
    <col min="11270" max="11270" width="9" style="209"/>
    <col min="11271" max="11271" width="8.25" style="209" customWidth="1"/>
    <col min="11272" max="11272" width="9" style="209"/>
    <col min="11273" max="11273" width="8.25" style="209" customWidth="1"/>
    <col min="11274" max="11275" width="9" style="209"/>
    <col min="11276" max="11276" width="9.75" style="209" customWidth="1"/>
    <col min="11277" max="11277" width="7.5" style="209" customWidth="1"/>
    <col min="11278" max="11325" width="0" style="209" hidden="1" customWidth="1"/>
    <col min="11326" max="11520" width="9" style="209"/>
    <col min="11521" max="11521" width="22.5" style="209" customWidth="1"/>
    <col min="11522" max="11522" width="18.75" style="209" customWidth="1"/>
    <col min="11523" max="11523" width="6" style="209" customWidth="1"/>
    <col min="11524" max="11524" width="3.75" style="209" customWidth="1"/>
    <col min="11525" max="11525" width="8.25" style="209" customWidth="1"/>
    <col min="11526" max="11526" width="9" style="209"/>
    <col min="11527" max="11527" width="8.25" style="209" customWidth="1"/>
    <col min="11528" max="11528" width="9" style="209"/>
    <col min="11529" max="11529" width="8.25" style="209" customWidth="1"/>
    <col min="11530" max="11531" width="9" style="209"/>
    <col min="11532" max="11532" width="9.75" style="209" customWidth="1"/>
    <col min="11533" max="11533" width="7.5" style="209" customWidth="1"/>
    <col min="11534" max="11581" width="0" style="209" hidden="1" customWidth="1"/>
    <col min="11582" max="11776" width="9" style="209"/>
    <col min="11777" max="11777" width="22.5" style="209" customWidth="1"/>
    <col min="11778" max="11778" width="18.75" style="209" customWidth="1"/>
    <col min="11779" max="11779" width="6" style="209" customWidth="1"/>
    <col min="11780" max="11780" width="3.75" style="209" customWidth="1"/>
    <col min="11781" max="11781" width="8.25" style="209" customWidth="1"/>
    <col min="11782" max="11782" width="9" style="209"/>
    <col min="11783" max="11783" width="8.25" style="209" customWidth="1"/>
    <col min="11784" max="11784" width="9" style="209"/>
    <col min="11785" max="11785" width="8.25" style="209" customWidth="1"/>
    <col min="11786" max="11787" width="9" style="209"/>
    <col min="11788" max="11788" width="9.75" style="209" customWidth="1"/>
    <col min="11789" max="11789" width="7.5" style="209" customWidth="1"/>
    <col min="11790" max="11837" width="0" style="209" hidden="1" customWidth="1"/>
    <col min="11838" max="12032" width="9" style="209"/>
    <col min="12033" max="12033" width="22.5" style="209" customWidth="1"/>
    <col min="12034" max="12034" width="18.75" style="209" customWidth="1"/>
    <col min="12035" max="12035" width="6" style="209" customWidth="1"/>
    <col min="12036" max="12036" width="3.75" style="209" customWidth="1"/>
    <col min="12037" max="12037" width="8.25" style="209" customWidth="1"/>
    <col min="12038" max="12038" width="9" style="209"/>
    <col min="12039" max="12039" width="8.25" style="209" customWidth="1"/>
    <col min="12040" max="12040" width="9" style="209"/>
    <col min="12041" max="12041" width="8.25" style="209" customWidth="1"/>
    <col min="12042" max="12043" width="9" style="209"/>
    <col min="12044" max="12044" width="9.75" style="209" customWidth="1"/>
    <col min="12045" max="12045" width="7.5" style="209" customWidth="1"/>
    <col min="12046" max="12093" width="0" style="209" hidden="1" customWidth="1"/>
    <col min="12094" max="12288" width="9" style="209"/>
    <col min="12289" max="12289" width="22.5" style="209" customWidth="1"/>
    <col min="12290" max="12290" width="18.75" style="209" customWidth="1"/>
    <col min="12291" max="12291" width="6" style="209" customWidth="1"/>
    <col min="12292" max="12292" width="3.75" style="209" customWidth="1"/>
    <col min="12293" max="12293" width="8.25" style="209" customWidth="1"/>
    <col min="12294" max="12294" width="9" style="209"/>
    <col min="12295" max="12295" width="8.25" style="209" customWidth="1"/>
    <col min="12296" max="12296" width="9" style="209"/>
    <col min="12297" max="12297" width="8.25" style="209" customWidth="1"/>
    <col min="12298" max="12299" width="9" style="209"/>
    <col min="12300" max="12300" width="9.75" style="209" customWidth="1"/>
    <col min="12301" max="12301" width="7.5" style="209" customWidth="1"/>
    <col min="12302" max="12349" width="0" style="209" hidden="1" customWidth="1"/>
    <col min="12350" max="12544" width="9" style="209"/>
    <col min="12545" max="12545" width="22.5" style="209" customWidth="1"/>
    <col min="12546" max="12546" width="18.75" style="209" customWidth="1"/>
    <col min="12547" max="12547" width="6" style="209" customWidth="1"/>
    <col min="12548" max="12548" width="3.75" style="209" customWidth="1"/>
    <col min="12549" max="12549" width="8.25" style="209" customWidth="1"/>
    <col min="12550" max="12550" width="9" style="209"/>
    <col min="12551" max="12551" width="8.25" style="209" customWidth="1"/>
    <col min="12552" max="12552" width="9" style="209"/>
    <col min="12553" max="12553" width="8.25" style="209" customWidth="1"/>
    <col min="12554" max="12555" width="9" style="209"/>
    <col min="12556" max="12556" width="9.75" style="209" customWidth="1"/>
    <col min="12557" max="12557" width="7.5" style="209" customWidth="1"/>
    <col min="12558" max="12605" width="0" style="209" hidden="1" customWidth="1"/>
    <col min="12606" max="12800" width="9" style="209"/>
    <col min="12801" max="12801" width="22.5" style="209" customWidth="1"/>
    <col min="12802" max="12802" width="18.75" style="209" customWidth="1"/>
    <col min="12803" max="12803" width="6" style="209" customWidth="1"/>
    <col min="12804" max="12804" width="3.75" style="209" customWidth="1"/>
    <col min="12805" max="12805" width="8.25" style="209" customWidth="1"/>
    <col min="12806" max="12806" width="9" style="209"/>
    <col min="12807" max="12807" width="8.25" style="209" customWidth="1"/>
    <col min="12808" max="12808" width="9" style="209"/>
    <col min="12809" max="12809" width="8.25" style="209" customWidth="1"/>
    <col min="12810" max="12811" width="9" style="209"/>
    <col min="12812" max="12812" width="9.75" style="209" customWidth="1"/>
    <col min="12813" max="12813" width="7.5" style="209" customWidth="1"/>
    <col min="12814" max="12861" width="0" style="209" hidden="1" customWidth="1"/>
    <col min="12862" max="13056" width="9" style="209"/>
    <col min="13057" max="13057" width="22.5" style="209" customWidth="1"/>
    <col min="13058" max="13058" width="18.75" style="209" customWidth="1"/>
    <col min="13059" max="13059" width="6" style="209" customWidth="1"/>
    <col min="13060" max="13060" width="3.75" style="209" customWidth="1"/>
    <col min="13061" max="13061" width="8.25" style="209" customWidth="1"/>
    <col min="13062" max="13062" width="9" style="209"/>
    <col min="13063" max="13063" width="8.25" style="209" customWidth="1"/>
    <col min="13064" max="13064" width="9" style="209"/>
    <col min="13065" max="13065" width="8.25" style="209" customWidth="1"/>
    <col min="13066" max="13067" width="9" style="209"/>
    <col min="13068" max="13068" width="9.75" style="209" customWidth="1"/>
    <col min="13069" max="13069" width="7.5" style="209" customWidth="1"/>
    <col min="13070" max="13117" width="0" style="209" hidden="1" customWidth="1"/>
    <col min="13118" max="13312" width="9" style="209"/>
    <col min="13313" max="13313" width="22.5" style="209" customWidth="1"/>
    <col min="13314" max="13314" width="18.75" style="209" customWidth="1"/>
    <col min="13315" max="13315" width="6" style="209" customWidth="1"/>
    <col min="13316" max="13316" width="3.75" style="209" customWidth="1"/>
    <col min="13317" max="13317" width="8.25" style="209" customWidth="1"/>
    <col min="13318" max="13318" width="9" style="209"/>
    <col min="13319" max="13319" width="8.25" style="209" customWidth="1"/>
    <col min="13320" max="13320" width="9" style="209"/>
    <col min="13321" max="13321" width="8.25" style="209" customWidth="1"/>
    <col min="13322" max="13323" width="9" style="209"/>
    <col min="13324" max="13324" width="9.75" style="209" customWidth="1"/>
    <col min="13325" max="13325" width="7.5" style="209" customWidth="1"/>
    <col min="13326" max="13373" width="0" style="209" hidden="1" customWidth="1"/>
    <col min="13374" max="13568" width="9" style="209"/>
    <col min="13569" max="13569" width="22.5" style="209" customWidth="1"/>
    <col min="13570" max="13570" width="18.75" style="209" customWidth="1"/>
    <col min="13571" max="13571" width="6" style="209" customWidth="1"/>
    <col min="13572" max="13572" width="3.75" style="209" customWidth="1"/>
    <col min="13573" max="13573" width="8.25" style="209" customWidth="1"/>
    <col min="13574" max="13574" width="9" style="209"/>
    <col min="13575" max="13575" width="8.25" style="209" customWidth="1"/>
    <col min="13576" max="13576" width="9" style="209"/>
    <col min="13577" max="13577" width="8.25" style="209" customWidth="1"/>
    <col min="13578" max="13579" width="9" style="209"/>
    <col min="13580" max="13580" width="9.75" style="209" customWidth="1"/>
    <col min="13581" max="13581" width="7.5" style="209" customWidth="1"/>
    <col min="13582" max="13629" width="0" style="209" hidden="1" customWidth="1"/>
    <col min="13630" max="13824" width="9" style="209"/>
    <col min="13825" max="13825" width="22.5" style="209" customWidth="1"/>
    <col min="13826" max="13826" width="18.75" style="209" customWidth="1"/>
    <col min="13827" max="13827" width="6" style="209" customWidth="1"/>
    <col min="13828" max="13828" width="3.75" style="209" customWidth="1"/>
    <col min="13829" max="13829" width="8.25" style="209" customWidth="1"/>
    <col min="13830" max="13830" width="9" style="209"/>
    <col min="13831" max="13831" width="8.25" style="209" customWidth="1"/>
    <col min="13832" max="13832" width="9" style="209"/>
    <col min="13833" max="13833" width="8.25" style="209" customWidth="1"/>
    <col min="13834" max="13835" width="9" style="209"/>
    <col min="13836" max="13836" width="9.75" style="209" customWidth="1"/>
    <col min="13837" max="13837" width="7.5" style="209" customWidth="1"/>
    <col min="13838" max="13885" width="0" style="209" hidden="1" customWidth="1"/>
    <col min="13886" max="14080" width="9" style="209"/>
    <col min="14081" max="14081" width="22.5" style="209" customWidth="1"/>
    <col min="14082" max="14082" width="18.75" style="209" customWidth="1"/>
    <col min="14083" max="14083" width="6" style="209" customWidth="1"/>
    <col min="14084" max="14084" width="3.75" style="209" customWidth="1"/>
    <col min="14085" max="14085" width="8.25" style="209" customWidth="1"/>
    <col min="14086" max="14086" width="9" style="209"/>
    <col min="14087" max="14087" width="8.25" style="209" customWidth="1"/>
    <col min="14088" max="14088" width="9" style="209"/>
    <col min="14089" max="14089" width="8.25" style="209" customWidth="1"/>
    <col min="14090" max="14091" width="9" style="209"/>
    <col min="14092" max="14092" width="9.75" style="209" customWidth="1"/>
    <col min="14093" max="14093" width="7.5" style="209" customWidth="1"/>
    <col min="14094" max="14141" width="0" style="209" hidden="1" customWidth="1"/>
    <col min="14142" max="14336" width="9" style="209"/>
    <col min="14337" max="14337" width="22.5" style="209" customWidth="1"/>
    <col min="14338" max="14338" width="18.75" style="209" customWidth="1"/>
    <col min="14339" max="14339" width="6" style="209" customWidth="1"/>
    <col min="14340" max="14340" width="3.75" style="209" customWidth="1"/>
    <col min="14341" max="14341" width="8.25" style="209" customWidth="1"/>
    <col min="14342" max="14342" width="9" style="209"/>
    <col min="14343" max="14343" width="8.25" style="209" customWidth="1"/>
    <col min="14344" max="14344" width="9" style="209"/>
    <col min="14345" max="14345" width="8.25" style="209" customWidth="1"/>
    <col min="14346" max="14347" width="9" style="209"/>
    <col min="14348" max="14348" width="9.75" style="209" customWidth="1"/>
    <col min="14349" max="14349" width="7.5" style="209" customWidth="1"/>
    <col min="14350" max="14397" width="0" style="209" hidden="1" customWidth="1"/>
    <col min="14398" max="14592" width="9" style="209"/>
    <col min="14593" max="14593" width="22.5" style="209" customWidth="1"/>
    <col min="14594" max="14594" width="18.75" style="209" customWidth="1"/>
    <col min="14595" max="14595" width="6" style="209" customWidth="1"/>
    <col min="14596" max="14596" width="3.75" style="209" customWidth="1"/>
    <col min="14597" max="14597" width="8.25" style="209" customWidth="1"/>
    <col min="14598" max="14598" width="9" style="209"/>
    <col min="14599" max="14599" width="8.25" style="209" customWidth="1"/>
    <col min="14600" max="14600" width="9" style="209"/>
    <col min="14601" max="14601" width="8.25" style="209" customWidth="1"/>
    <col min="14602" max="14603" width="9" style="209"/>
    <col min="14604" max="14604" width="9.75" style="209" customWidth="1"/>
    <col min="14605" max="14605" width="7.5" style="209" customWidth="1"/>
    <col min="14606" max="14653" width="0" style="209" hidden="1" customWidth="1"/>
    <col min="14654" max="14848" width="9" style="209"/>
    <col min="14849" max="14849" width="22.5" style="209" customWidth="1"/>
    <col min="14850" max="14850" width="18.75" style="209" customWidth="1"/>
    <col min="14851" max="14851" width="6" style="209" customWidth="1"/>
    <col min="14852" max="14852" width="3.75" style="209" customWidth="1"/>
    <col min="14853" max="14853" width="8.25" style="209" customWidth="1"/>
    <col min="14854" max="14854" width="9" style="209"/>
    <col min="14855" max="14855" width="8.25" style="209" customWidth="1"/>
    <col min="14856" max="14856" width="9" style="209"/>
    <col min="14857" max="14857" width="8.25" style="209" customWidth="1"/>
    <col min="14858" max="14859" width="9" style="209"/>
    <col min="14860" max="14860" width="9.75" style="209" customWidth="1"/>
    <col min="14861" max="14861" width="7.5" style="209" customWidth="1"/>
    <col min="14862" max="14909" width="0" style="209" hidden="1" customWidth="1"/>
    <col min="14910" max="15104" width="9" style="209"/>
    <col min="15105" max="15105" width="22.5" style="209" customWidth="1"/>
    <col min="15106" max="15106" width="18.75" style="209" customWidth="1"/>
    <col min="15107" max="15107" width="6" style="209" customWidth="1"/>
    <col min="15108" max="15108" width="3.75" style="209" customWidth="1"/>
    <col min="15109" max="15109" width="8.25" style="209" customWidth="1"/>
    <col min="15110" max="15110" width="9" style="209"/>
    <col min="15111" max="15111" width="8.25" style="209" customWidth="1"/>
    <col min="15112" max="15112" width="9" style="209"/>
    <col min="15113" max="15113" width="8.25" style="209" customWidth="1"/>
    <col min="15114" max="15115" width="9" style="209"/>
    <col min="15116" max="15116" width="9.75" style="209" customWidth="1"/>
    <col min="15117" max="15117" width="7.5" style="209" customWidth="1"/>
    <col min="15118" max="15165" width="0" style="209" hidden="1" customWidth="1"/>
    <col min="15166" max="15360" width="9" style="209"/>
    <col min="15361" max="15361" width="22.5" style="209" customWidth="1"/>
    <col min="15362" max="15362" width="18.75" style="209" customWidth="1"/>
    <col min="15363" max="15363" width="6" style="209" customWidth="1"/>
    <col min="15364" max="15364" width="3.75" style="209" customWidth="1"/>
    <col min="15365" max="15365" width="8.25" style="209" customWidth="1"/>
    <col min="15366" max="15366" width="9" style="209"/>
    <col min="15367" max="15367" width="8.25" style="209" customWidth="1"/>
    <col min="15368" max="15368" width="9" style="209"/>
    <col min="15369" max="15369" width="8.25" style="209" customWidth="1"/>
    <col min="15370" max="15371" width="9" style="209"/>
    <col min="15372" max="15372" width="9.75" style="209" customWidth="1"/>
    <col min="15373" max="15373" width="7.5" style="209" customWidth="1"/>
    <col min="15374" max="15421" width="0" style="209" hidden="1" customWidth="1"/>
    <col min="15422" max="15616" width="9" style="209"/>
    <col min="15617" max="15617" width="22.5" style="209" customWidth="1"/>
    <col min="15618" max="15618" width="18.75" style="209" customWidth="1"/>
    <col min="15619" max="15619" width="6" style="209" customWidth="1"/>
    <col min="15620" max="15620" width="3.75" style="209" customWidth="1"/>
    <col min="15621" max="15621" width="8.25" style="209" customWidth="1"/>
    <col min="15622" max="15622" width="9" style="209"/>
    <col min="15623" max="15623" width="8.25" style="209" customWidth="1"/>
    <col min="15624" max="15624" width="9" style="209"/>
    <col min="15625" max="15625" width="8.25" style="209" customWidth="1"/>
    <col min="15626" max="15627" width="9" style="209"/>
    <col min="15628" max="15628" width="9.75" style="209" customWidth="1"/>
    <col min="15629" max="15629" width="7.5" style="209" customWidth="1"/>
    <col min="15630" max="15677" width="0" style="209" hidden="1" customWidth="1"/>
    <col min="15678" max="15872" width="9" style="209"/>
    <col min="15873" max="15873" width="22.5" style="209" customWidth="1"/>
    <col min="15874" max="15874" width="18.75" style="209" customWidth="1"/>
    <col min="15875" max="15875" width="6" style="209" customWidth="1"/>
    <col min="15876" max="15876" width="3.75" style="209" customWidth="1"/>
    <col min="15877" max="15877" width="8.25" style="209" customWidth="1"/>
    <col min="15878" max="15878" width="9" style="209"/>
    <col min="15879" max="15879" width="8.25" style="209" customWidth="1"/>
    <col min="15880" max="15880" width="9" style="209"/>
    <col min="15881" max="15881" width="8.25" style="209" customWidth="1"/>
    <col min="15882" max="15883" width="9" style="209"/>
    <col min="15884" max="15884" width="9.75" style="209" customWidth="1"/>
    <col min="15885" max="15885" width="7.5" style="209" customWidth="1"/>
    <col min="15886" max="15933" width="0" style="209" hidden="1" customWidth="1"/>
    <col min="15934" max="16128" width="9" style="209"/>
    <col min="16129" max="16129" width="22.5" style="209" customWidth="1"/>
    <col min="16130" max="16130" width="18.75" style="209" customWidth="1"/>
    <col min="16131" max="16131" width="6" style="209" customWidth="1"/>
    <col min="16132" max="16132" width="3.75" style="209" customWidth="1"/>
    <col min="16133" max="16133" width="8.25" style="209" customWidth="1"/>
    <col min="16134" max="16134" width="9" style="209"/>
    <col min="16135" max="16135" width="8.25" style="209" customWidth="1"/>
    <col min="16136" max="16136" width="9" style="209"/>
    <col min="16137" max="16137" width="8.25" style="209" customWidth="1"/>
    <col min="16138" max="16139" width="9" style="209"/>
    <col min="16140" max="16140" width="9.75" style="209" customWidth="1"/>
    <col min="16141" max="16141" width="7.5" style="209" customWidth="1"/>
    <col min="16142" max="16189" width="0" style="209" hidden="1" customWidth="1"/>
    <col min="16190" max="16384" width="9" style="209"/>
  </cols>
  <sheetData>
    <row r="1" spans="1:61" ht="24" customHeight="1">
      <c r="A1" s="206" t="s">
        <v>1924</v>
      </c>
    </row>
    <row r="2" spans="1:61" ht="24" customHeight="1">
      <c r="A2" s="353" t="s">
        <v>1077</v>
      </c>
      <c r="B2" s="353" t="s">
        <v>13</v>
      </c>
      <c r="C2" s="352" t="s">
        <v>4</v>
      </c>
      <c r="D2" s="352" t="s">
        <v>2</v>
      </c>
      <c r="E2" s="352" t="s">
        <v>1078</v>
      </c>
      <c r="F2" s="352" t="s">
        <v>68</v>
      </c>
      <c r="G2" s="352" t="s">
        <v>1079</v>
      </c>
      <c r="H2" s="352" t="s">
        <v>68</v>
      </c>
      <c r="I2" s="352" t="s">
        <v>1080</v>
      </c>
      <c r="J2" s="352" t="s">
        <v>68</v>
      </c>
      <c r="K2" s="352" t="s">
        <v>1081</v>
      </c>
      <c r="L2" s="352" t="s">
        <v>68</v>
      </c>
      <c r="M2" s="353" t="s">
        <v>1082</v>
      </c>
      <c r="N2" s="212"/>
      <c r="O2" s="212"/>
      <c r="P2" s="212"/>
      <c r="Q2" s="212"/>
      <c r="R2" s="212"/>
      <c r="S2" s="212"/>
      <c r="T2" s="212"/>
      <c r="U2" s="212"/>
      <c r="V2" s="212"/>
      <c r="W2" s="212"/>
      <c r="X2" s="212"/>
      <c r="Y2" s="212"/>
      <c r="Z2" s="212"/>
      <c r="AA2" s="212"/>
      <c r="AB2" s="212"/>
      <c r="AC2" s="212"/>
      <c r="AD2" s="212"/>
      <c r="AE2" s="212"/>
      <c r="AF2" s="212"/>
      <c r="AG2" s="212"/>
      <c r="AH2" s="212"/>
      <c r="AI2" s="212"/>
      <c r="AJ2" s="212"/>
      <c r="AK2" s="212"/>
      <c r="AL2" s="212"/>
      <c r="AM2" s="212"/>
      <c r="AN2" s="212"/>
      <c r="AO2" s="212"/>
      <c r="AP2" s="212"/>
      <c r="AQ2" s="212"/>
      <c r="AR2" s="212"/>
      <c r="AS2" s="212"/>
      <c r="AT2" s="212"/>
      <c r="AU2" s="212"/>
      <c r="AV2" s="212"/>
      <c r="AW2" s="212"/>
      <c r="AX2" s="212"/>
      <c r="AY2" s="212"/>
      <c r="AZ2" s="212"/>
      <c r="BA2" s="212"/>
      <c r="BB2" s="212"/>
      <c r="BC2" s="212"/>
      <c r="BD2" s="212"/>
      <c r="BE2" s="212"/>
      <c r="BF2" s="212"/>
      <c r="BG2" s="212"/>
      <c r="BH2" s="212"/>
      <c r="BI2" s="212"/>
    </row>
    <row r="3" spans="1:61" ht="24" customHeight="1">
      <c r="A3" s="353" t="s">
        <v>68</v>
      </c>
      <c r="B3" s="353" t="s">
        <v>68</v>
      </c>
      <c r="C3" s="352" t="s">
        <v>68</v>
      </c>
      <c r="D3" s="352" t="s">
        <v>68</v>
      </c>
      <c r="E3" s="211" t="s">
        <v>1083</v>
      </c>
      <c r="F3" s="211" t="s">
        <v>1084</v>
      </c>
      <c r="G3" s="211" t="s">
        <v>1083</v>
      </c>
      <c r="H3" s="211" t="s">
        <v>1084</v>
      </c>
      <c r="I3" s="211" t="s">
        <v>1083</v>
      </c>
      <c r="J3" s="211" t="s">
        <v>1084</v>
      </c>
      <c r="K3" s="211" t="s">
        <v>1083</v>
      </c>
      <c r="L3" s="211" t="s">
        <v>1084</v>
      </c>
      <c r="M3" s="353" t="s">
        <v>68</v>
      </c>
      <c r="N3" s="212"/>
      <c r="O3" s="212"/>
      <c r="P3" s="212"/>
      <c r="Q3" s="212"/>
      <c r="R3" s="212"/>
      <c r="S3" s="213" t="s">
        <v>1085</v>
      </c>
      <c r="T3" s="213" t="s">
        <v>1086</v>
      </c>
      <c r="U3" s="213" t="s">
        <v>1087</v>
      </c>
      <c r="V3" s="213" t="s">
        <v>1088</v>
      </c>
      <c r="W3" s="213" t="s">
        <v>1089</v>
      </c>
      <c r="X3" s="213" t="s">
        <v>1090</v>
      </c>
      <c r="Y3" s="213" t="s">
        <v>1091</v>
      </c>
      <c r="Z3" s="212"/>
      <c r="AA3" s="212"/>
      <c r="AB3" s="212"/>
      <c r="AC3" s="212"/>
      <c r="AD3" s="212"/>
      <c r="AE3" s="212"/>
      <c r="AF3" s="212"/>
      <c r="AG3" s="212"/>
      <c r="AH3" s="212"/>
      <c r="AI3" s="212"/>
      <c r="AJ3" s="212"/>
      <c r="AK3" s="212"/>
      <c r="AL3" s="212"/>
      <c r="AM3" s="212"/>
      <c r="AN3" s="212"/>
      <c r="AO3" s="212"/>
      <c r="AP3" s="212"/>
      <c r="AQ3" s="212"/>
      <c r="AR3" s="212"/>
      <c r="AS3" s="212"/>
      <c r="AT3" s="212"/>
      <c r="AU3" s="212"/>
      <c r="AV3" s="212"/>
      <c r="AW3" s="212"/>
      <c r="AX3" s="212"/>
      <c r="AY3" s="212"/>
      <c r="AZ3" s="212"/>
      <c r="BA3" s="212"/>
      <c r="BB3" s="212"/>
      <c r="BC3" s="212"/>
      <c r="BD3" s="212"/>
      <c r="BE3" s="212"/>
      <c r="BF3" s="212"/>
      <c r="BG3" s="212"/>
      <c r="BH3" s="212"/>
      <c r="BI3" s="212"/>
    </row>
    <row r="4" spans="1:61" ht="24" customHeight="1">
      <c r="A4" s="218" t="s">
        <v>1925</v>
      </c>
      <c r="B4" s="218" t="s">
        <v>1127</v>
      </c>
      <c r="C4" s="228">
        <v>1</v>
      </c>
      <c r="D4" s="213" t="s">
        <v>1033</v>
      </c>
      <c r="E4" s="212"/>
      <c r="F4" s="217">
        <f>TRUNC(F5,0)</f>
        <v>0</v>
      </c>
      <c r="G4" s="212"/>
      <c r="H4" s="217">
        <f>TRUNC(H5,0)</f>
        <v>0</v>
      </c>
      <c r="I4" s="212"/>
      <c r="J4" s="217">
        <f>TRUNC(J5,0)</f>
        <v>0</v>
      </c>
      <c r="K4" s="212"/>
      <c r="L4" s="217">
        <f>F4+H4+J4</f>
        <v>0</v>
      </c>
      <c r="M4" s="215" t="s">
        <v>68</v>
      </c>
      <c r="N4" s="212" t="s">
        <v>68</v>
      </c>
      <c r="O4" s="212" t="s">
        <v>1128</v>
      </c>
      <c r="P4" s="212"/>
      <c r="Q4" s="212"/>
      <c r="R4" s="212"/>
      <c r="S4" s="212"/>
      <c r="T4" s="212"/>
      <c r="U4" s="212"/>
      <c r="V4" s="212"/>
      <c r="W4" s="212"/>
      <c r="X4" s="212"/>
      <c r="Y4" s="212"/>
      <c r="Z4" s="212"/>
      <c r="AA4" s="212"/>
      <c r="AB4" s="212"/>
      <c r="AC4" s="212"/>
      <c r="AD4" s="212"/>
      <c r="AE4" s="212"/>
      <c r="AF4" s="212"/>
      <c r="AG4" s="212"/>
      <c r="AH4" s="212"/>
      <c r="AI4" s="212"/>
      <c r="AJ4" s="212"/>
      <c r="AK4" s="212"/>
      <c r="AL4" s="212"/>
      <c r="AM4" s="212"/>
      <c r="AN4" s="212"/>
      <c r="AO4" s="212"/>
      <c r="AP4" s="212"/>
      <c r="AQ4" s="212"/>
      <c r="AR4" s="212"/>
      <c r="AS4" s="212"/>
      <c r="AT4" s="212"/>
      <c r="AU4" s="212"/>
      <c r="AV4" s="212"/>
      <c r="AW4" s="212"/>
      <c r="AX4" s="212"/>
      <c r="AY4" s="212"/>
      <c r="AZ4" s="212"/>
      <c r="BA4" s="212"/>
      <c r="BB4" s="212"/>
      <c r="BC4" s="212"/>
      <c r="BD4" s="212"/>
      <c r="BE4" s="212"/>
      <c r="BF4" s="212"/>
      <c r="BG4" s="212"/>
      <c r="BH4" s="212"/>
      <c r="BI4" s="212"/>
    </row>
    <row r="5" spans="1:61" ht="24" customHeight="1">
      <c r="A5" s="218" t="s">
        <v>1926</v>
      </c>
      <c r="B5" s="218" t="s">
        <v>1927</v>
      </c>
      <c r="C5" s="229">
        <v>2.6</v>
      </c>
      <c r="D5" s="213" t="s">
        <v>9</v>
      </c>
      <c r="E5" s="217">
        <f>자재조서!E62</f>
        <v>0</v>
      </c>
      <c r="F5" s="217">
        <f>TRUNC(E5*C5,0)</f>
        <v>0</v>
      </c>
      <c r="G5" s="217">
        <v>0</v>
      </c>
      <c r="H5" s="217"/>
      <c r="I5" s="217">
        <v>0</v>
      </c>
      <c r="J5" s="217"/>
      <c r="K5" s="217">
        <f>E5+G5+I5</f>
        <v>0</v>
      </c>
      <c r="L5" s="217">
        <f>F5+H5+J5</f>
        <v>0</v>
      </c>
      <c r="M5" s="215" t="s">
        <v>68</v>
      </c>
      <c r="N5" s="212" t="s">
        <v>68</v>
      </c>
      <c r="O5" s="212"/>
      <c r="P5" s="212" t="s">
        <v>1095</v>
      </c>
      <c r="Q5" s="212" t="s">
        <v>68</v>
      </c>
      <c r="R5" s="212" t="s">
        <v>1928</v>
      </c>
      <c r="S5" s="212"/>
      <c r="T5" s="212"/>
      <c r="U5" s="212"/>
      <c r="V5" s="212"/>
      <c r="W5" s="212"/>
      <c r="X5" s="212"/>
      <c r="Y5" s="212"/>
      <c r="Z5" s="212"/>
      <c r="AA5" s="212"/>
      <c r="AB5" s="212"/>
      <c r="AC5" s="212"/>
      <c r="AD5" s="212"/>
      <c r="AE5" s="212"/>
      <c r="AF5" s="212"/>
      <c r="AG5" s="212"/>
      <c r="AH5" s="212"/>
      <c r="AI5" s="212"/>
      <c r="AJ5" s="212"/>
      <c r="AK5" s="212"/>
      <c r="AL5" s="212"/>
      <c r="AM5" s="212"/>
      <c r="AN5" s="212"/>
      <c r="AO5" s="212"/>
      <c r="AP5" s="212"/>
      <c r="AQ5" s="212"/>
      <c r="AR5" s="212"/>
      <c r="AS5" s="212"/>
      <c r="AT5" s="212"/>
      <c r="AU5" s="212"/>
      <c r="AV5" s="212"/>
      <c r="AW5" s="212"/>
      <c r="AX5" s="212"/>
      <c r="AY5" s="212"/>
      <c r="AZ5" s="212"/>
      <c r="BA5" s="212"/>
      <c r="BB5" s="212"/>
      <c r="BC5" s="212"/>
      <c r="BD5" s="212"/>
      <c r="BE5" s="212"/>
      <c r="BF5" s="212"/>
      <c r="BG5" s="212"/>
      <c r="BH5" s="212"/>
      <c r="BI5" s="231" t="str">
        <f>HYPERLINK("#자재조서!A62","MZZ2000004 →")</f>
        <v>MZZ2000004 →</v>
      </c>
    </row>
    <row r="6" spans="1:61" ht="24" customHeight="1">
      <c r="A6" s="215"/>
      <c r="B6" s="215"/>
      <c r="C6" s="229"/>
      <c r="D6" s="213"/>
      <c r="E6" s="213"/>
      <c r="F6" s="213"/>
      <c r="G6" s="213"/>
      <c r="H6" s="213"/>
      <c r="I6" s="213"/>
      <c r="J6" s="213"/>
      <c r="K6" s="213"/>
      <c r="L6" s="213"/>
      <c r="M6" s="215"/>
      <c r="N6" s="212"/>
      <c r="O6" s="212"/>
      <c r="P6" s="212"/>
      <c r="Q6" s="212"/>
      <c r="R6" s="212"/>
      <c r="S6" s="212"/>
      <c r="T6" s="212"/>
      <c r="U6" s="212"/>
      <c r="V6" s="212"/>
      <c r="W6" s="212"/>
      <c r="X6" s="212"/>
      <c r="Y6" s="212"/>
      <c r="Z6" s="212"/>
      <c r="AA6" s="212"/>
      <c r="AB6" s="212"/>
      <c r="AC6" s="212"/>
      <c r="AD6" s="212"/>
      <c r="AE6" s="212"/>
      <c r="AF6" s="212"/>
      <c r="AG6" s="212"/>
      <c r="AH6" s="212"/>
      <c r="AI6" s="212"/>
      <c r="AJ6" s="212"/>
      <c r="AK6" s="212"/>
      <c r="AL6" s="212"/>
      <c r="AM6" s="212"/>
      <c r="AN6" s="212"/>
      <c r="AO6" s="212"/>
      <c r="AP6" s="212"/>
      <c r="AQ6" s="212"/>
      <c r="AR6" s="212"/>
      <c r="AS6" s="212"/>
      <c r="AT6" s="212"/>
      <c r="AU6" s="212"/>
      <c r="AV6" s="212"/>
      <c r="AW6" s="212"/>
      <c r="AX6" s="212"/>
      <c r="AY6" s="212"/>
      <c r="AZ6" s="212"/>
      <c r="BA6" s="212"/>
      <c r="BB6" s="212"/>
      <c r="BC6" s="212"/>
      <c r="BD6" s="212"/>
      <c r="BE6" s="212"/>
      <c r="BF6" s="212"/>
      <c r="BG6" s="212"/>
      <c r="BH6" s="212"/>
      <c r="BI6" s="212"/>
    </row>
    <row r="7" spans="1:61" ht="24" customHeight="1">
      <c r="A7" s="218" t="s">
        <v>1929</v>
      </c>
      <c r="B7" s="218" t="s">
        <v>1131</v>
      </c>
      <c r="C7" s="228">
        <v>1</v>
      </c>
      <c r="D7" s="213" t="s">
        <v>1033</v>
      </c>
      <c r="E7" s="212"/>
      <c r="F7" s="217">
        <f>TRUNC(F8+F9+F10+F11+F12+F13+F14,0)</f>
        <v>0</v>
      </c>
      <c r="G7" s="212"/>
      <c r="H7" s="217">
        <f>TRUNC(H8+H9+H10+H11+H12+H13+H14,0)</f>
        <v>0</v>
      </c>
      <c r="I7" s="212"/>
      <c r="J7" s="217">
        <f>TRUNC(J8+J9+J10+J11+J12+J13+J14,0)</f>
        <v>0</v>
      </c>
      <c r="K7" s="212"/>
      <c r="L7" s="217">
        <f t="shared" ref="L7:L14" si="0">F7+H7+J7</f>
        <v>0</v>
      </c>
      <c r="M7" s="215" t="s">
        <v>68</v>
      </c>
      <c r="N7" s="212" t="s">
        <v>68</v>
      </c>
      <c r="O7" s="212" t="s">
        <v>1132</v>
      </c>
      <c r="P7" s="212"/>
      <c r="Q7" s="212"/>
      <c r="R7" s="212"/>
      <c r="S7" s="212"/>
      <c r="T7" s="212"/>
      <c r="U7" s="212"/>
      <c r="V7" s="212"/>
      <c r="W7" s="212"/>
      <c r="X7" s="212"/>
      <c r="Y7" s="212"/>
      <c r="Z7" s="212"/>
      <c r="AA7" s="212"/>
      <c r="AB7" s="212"/>
      <c r="AC7" s="212"/>
      <c r="AD7" s="212"/>
      <c r="AE7" s="212"/>
      <c r="AF7" s="212"/>
      <c r="AG7" s="212"/>
      <c r="AH7" s="212"/>
      <c r="AI7" s="212"/>
      <c r="AJ7" s="212"/>
      <c r="AK7" s="212"/>
      <c r="AL7" s="212"/>
      <c r="AM7" s="212"/>
      <c r="AN7" s="212"/>
      <c r="AO7" s="212"/>
      <c r="AP7" s="212"/>
      <c r="AQ7" s="212"/>
      <c r="AR7" s="212"/>
      <c r="AS7" s="212"/>
      <c r="AT7" s="212"/>
      <c r="AU7" s="212"/>
      <c r="AV7" s="212"/>
      <c r="AW7" s="212"/>
      <c r="AX7" s="212"/>
      <c r="AY7" s="212"/>
      <c r="AZ7" s="212"/>
      <c r="BA7" s="212"/>
      <c r="BB7" s="212"/>
      <c r="BC7" s="212"/>
      <c r="BD7" s="212"/>
      <c r="BE7" s="212"/>
      <c r="BF7" s="212"/>
      <c r="BG7" s="212"/>
      <c r="BH7" s="212"/>
      <c r="BI7" s="212"/>
    </row>
    <row r="8" spans="1:61" ht="24" customHeight="1">
      <c r="A8" s="218" t="s">
        <v>1291</v>
      </c>
      <c r="B8" s="218" t="s">
        <v>1292</v>
      </c>
      <c r="C8" s="229">
        <v>1.3</v>
      </c>
      <c r="D8" s="213" t="s">
        <v>9</v>
      </c>
      <c r="E8" s="217">
        <f>일위목록!E7</f>
        <v>0</v>
      </c>
      <c r="F8" s="217">
        <f t="shared" ref="F8:F14" si="1">TRUNC(E8*C8,0)</f>
        <v>0</v>
      </c>
      <c r="G8" s="217">
        <f>일위목록!F7</f>
        <v>0</v>
      </c>
      <c r="H8" s="217">
        <f>TRUNC(G8*C8,0)</f>
        <v>0</v>
      </c>
      <c r="I8" s="217">
        <f>일위목록!G7</f>
        <v>0</v>
      </c>
      <c r="J8" s="217">
        <f>TRUNC(I8*C8,0)</f>
        <v>0</v>
      </c>
      <c r="K8" s="217">
        <f t="shared" ref="K8:K14" si="2">E8+G8+I8</f>
        <v>0</v>
      </c>
      <c r="L8" s="217">
        <f t="shared" si="0"/>
        <v>0</v>
      </c>
      <c r="M8" s="215" t="s">
        <v>1640</v>
      </c>
      <c r="N8" s="212" t="s">
        <v>68</v>
      </c>
      <c r="O8" s="212"/>
      <c r="P8" s="212" t="s">
        <v>1095</v>
      </c>
      <c r="Q8" s="212" t="s">
        <v>68</v>
      </c>
      <c r="R8" s="212" t="s">
        <v>1293</v>
      </c>
      <c r="S8" s="212"/>
      <c r="T8" s="212" t="s">
        <v>1129</v>
      </c>
      <c r="U8" s="212"/>
      <c r="V8" s="212"/>
      <c r="W8" s="212"/>
      <c r="X8" s="212"/>
      <c r="Y8" s="212"/>
      <c r="Z8" s="212"/>
      <c r="AA8" s="212"/>
      <c r="AB8" s="212"/>
      <c r="AC8" s="212"/>
      <c r="AD8" s="212"/>
      <c r="AE8" s="212"/>
      <c r="AF8" s="212"/>
      <c r="AG8" s="212"/>
      <c r="AH8" s="212"/>
      <c r="AI8" s="212"/>
      <c r="AJ8" s="212"/>
      <c r="AK8" s="212"/>
      <c r="AL8" s="212"/>
      <c r="AM8" s="212"/>
      <c r="AN8" s="212"/>
      <c r="AO8" s="212"/>
      <c r="AP8" s="212"/>
      <c r="AQ8" s="212"/>
      <c r="AR8" s="212"/>
      <c r="AS8" s="212"/>
      <c r="AT8" s="212"/>
      <c r="AU8" s="212"/>
      <c r="AV8" s="212"/>
      <c r="AW8" s="212"/>
      <c r="AX8" s="212"/>
      <c r="AY8" s="212"/>
      <c r="AZ8" s="212"/>
      <c r="BA8" s="212"/>
      <c r="BB8" s="212"/>
      <c r="BC8" s="212"/>
      <c r="BD8" s="212"/>
      <c r="BE8" s="212"/>
      <c r="BF8" s="212"/>
      <c r="BG8" s="212"/>
      <c r="BH8" s="212"/>
      <c r="BI8" s="231" t="str">
        <f>HYPERLINK("#일위대가목록!A7","P9-2-1/1 →")</f>
        <v>P9-2-1/1 →</v>
      </c>
    </row>
    <row r="9" spans="1:61" ht="24" customHeight="1">
      <c r="A9" s="218" t="s">
        <v>1930</v>
      </c>
      <c r="B9" s="218" t="s">
        <v>1931</v>
      </c>
      <c r="C9" s="229">
        <v>0.2</v>
      </c>
      <c r="D9" s="213" t="s">
        <v>1932</v>
      </c>
      <c r="E9" s="217">
        <f>자재조서!E4</f>
        <v>0</v>
      </c>
      <c r="F9" s="217">
        <f t="shared" si="1"/>
        <v>0</v>
      </c>
      <c r="G9" s="217">
        <v>0</v>
      </c>
      <c r="H9" s="217"/>
      <c r="I9" s="217">
        <v>0</v>
      </c>
      <c r="J9" s="217"/>
      <c r="K9" s="217">
        <f t="shared" si="2"/>
        <v>0</v>
      </c>
      <c r="L9" s="217">
        <f t="shared" si="0"/>
        <v>0</v>
      </c>
      <c r="M9" s="215" t="s">
        <v>68</v>
      </c>
      <c r="N9" s="212" t="s">
        <v>68</v>
      </c>
      <c r="O9" s="212"/>
      <c r="P9" s="212" t="s">
        <v>1098</v>
      </c>
      <c r="Q9" s="212" t="s">
        <v>68</v>
      </c>
      <c r="R9" s="212" t="s">
        <v>1933</v>
      </c>
      <c r="S9" s="212"/>
      <c r="T9" s="212"/>
      <c r="U9" s="212"/>
      <c r="V9" s="212"/>
      <c r="W9" s="212"/>
      <c r="X9" s="212"/>
      <c r="Y9" s="212"/>
      <c r="Z9" s="212"/>
      <c r="AA9" s="212"/>
      <c r="AB9" s="212"/>
      <c r="AC9" s="212"/>
      <c r="AD9" s="212"/>
      <c r="AE9" s="212"/>
      <c r="AF9" s="212"/>
      <c r="AG9" s="212"/>
      <c r="AH9" s="212"/>
      <c r="AI9" s="212"/>
      <c r="AJ9" s="212"/>
      <c r="AK9" s="212"/>
      <c r="AL9" s="212"/>
      <c r="AM9" s="212"/>
      <c r="AN9" s="212"/>
      <c r="AO9" s="212"/>
      <c r="AP9" s="212"/>
      <c r="AQ9" s="212"/>
      <c r="AR9" s="212"/>
      <c r="AS9" s="212"/>
      <c r="AT9" s="212"/>
      <c r="AU9" s="212"/>
      <c r="AV9" s="212"/>
      <c r="AW9" s="212"/>
      <c r="AX9" s="212"/>
      <c r="AY9" s="212"/>
      <c r="AZ9" s="212"/>
      <c r="BA9" s="212"/>
      <c r="BB9" s="212"/>
      <c r="BC9" s="212"/>
      <c r="BD9" s="212"/>
      <c r="BE9" s="212"/>
      <c r="BF9" s="212"/>
      <c r="BG9" s="212"/>
      <c r="BH9" s="212"/>
      <c r="BI9" s="231" t="str">
        <f>HYPERLINK("#자재조서!A4","M0063057 →")</f>
        <v>M0063057 →</v>
      </c>
    </row>
    <row r="10" spans="1:61" ht="24" customHeight="1">
      <c r="A10" s="218" t="s">
        <v>1934</v>
      </c>
      <c r="B10" s="218" t="s">
        <v>1642</v>
      </c>
      <c r="C10" s="228">
        <v>5</v>
      </c>
      <c r="D10" s="213" t="s">
        <v>378</v>
      </c>
      <c r="E10" s="217">
        <f>일위목록!E8</f>
        <v>0</v>
      </c>
      <c r="F10" s="217">
        <f t="shared" si="1"/>
        <v>0</v>
      </c>
      <c r="G10" s="217">
        <f>일위목록!F8</f>
        <v>0</v>
      </c>
      <c r="H10" s="217">
        <f>TRUNC(G10*C10,0)</f>
        <v>0</v>
      </c>
      <c r="I10" s="217">
        <f>일위목록!G8</f>
        <v>0</v>
      </c>
      <c r="J10" s="217">
        <f>TRUNC(I10*C10,0)</f>
        <v>0</v>
      </c>
      <c r="K10" s="217">
        <f t="shared" si="2"/>
        <v>0</v>
      </c>
      <c r="L10" s="217">
        <f t="shared" si="0"/>
        <v>0</v>
      </c>
      <c r="M10" s="215" t="s">
        <v>1643</v>
      </c>
      <c r="N10" s="212" t="s">
        <v>68</v>
      </c>
      <c r="O10" s="212"/>
      <c r="P10" s="212" t="s">
        <v>1101</v>
      </c>
      <c r="Q10" s="212" t="s">
        <v>68</v>
      </c>
      <c r="R10" s="212" t="s">
        <v>1644</v>
      </c>
      <c r="S10" s="212"/>
      <c r="T10" s="212" t="s">
        <v>1129</v>
      </c>
      <c r="U10" s="212"/>
      <c r="V10" s="212"/>
      <c r="W10" s="212"/>
      <c r="X10" s="212"/>
      <c r="Y10" s="212"/>
      <c r="Z10" s="212"/>
      <c r="AA10" s="212"/>
      <c r="AB10" s="212"/>
      <c r="AC10" s="212"/>
      <c r="AD10" s="212"/>
      <c r="AE10" s="212"/>
      <c r="AF10" s="212"/>
      <c r="AG10" s="212"/>
      <c r="AH10" s="212"/>
      <c r="AI10" s="212"/>
      <c r="AJ10" s="212"/>
      <c r="AK10" s="212"/>
      <c r="AL10" s="212"/>
      <c r="AM10" s="212"/>
      <c r="AN10" s="212"/>
      <c r="AO10" s="212"/>
      <c r="AP10" s="212"/>
      <c r="AQ10" s="212"/>
      <c r="AR10" s="212"/>
      <c r="AS10" s="212"/>
      <c r="AT10" s="212"/>
      <c r="AU10" s="212"/>
      <c r="AV10" s="212"/>
      <c r="AW10" s="212"/>
      <c r="AX10" s="212"/>
      <c r="AY10" s="212"/>
      <c r="AZ10" s="212"/>
      <c r="BA10" s="212"/>
      <c r="BB10" s="212"/>
      <c r="BC10" s="212"/>
      <c r="BD10" s="212"/>
      <c r="BE10" s="212"/>
      <c r="BF10" s="212"/>
      <c r="BG10" s="212"/>
      <c r="BH10" s="212"/>
      <c r="BI10" s="231" t="str">
        <f>HYPERLINK("#일위대가목록!A8","S913-4-2/1 →")</f>
        <v>S913-4-2/1 →</v>
      </c>
    </row>
    <row r="11" spans="1:61" ht="24" customHeight="1">
      <c r="A11" s="218" t="s">
        <v>1935</v>
      </c>
      <c r="B11" s="218" t="s">
        <v>1646</v>
      </c>
      <c r="C11" s="229">
        <v>0.18</v>
      </c>
      <c r="D11" s="213" t="s">
        <v>16</v>
      </c>
      <c r="E11" s="217">
        <f>일위목록!E9</f>
        <v>0</v>
      </c>
      <c r="F11" s="217">
        <f t="shared" si="1"/>
        <v>0</v>
      </c>
      <c r="G11" s="217">
        <f>일위목록!F9</f>
        <v>0</v>
      </c>
      <c r="H11" s="217">
        <f>TRUNC(G11*C11,0)</f>
        <v>0</v>
      </c>
      <c r="I11" s="217">
        <f>일위목록!G9</f>
        <v>0</v>
      </c>
      <c r="J11" s="217">
        <f>TRUNC(I11*C11,0)</f>
        <v>0</v>
      </c>
      <c r="K11" s="217">
        <f t="shared" si="2"/>
        <v>0</v>
      </c>
      <c r="L11" s="217">
        <f t="shared" si="0"/>
        <v>0</v>
      </c>
      <c r="M11" s="215" t="s">
        <v>1647</v>
      </c>
      <c r="N11" s="212" t="s">
        <v>68</v>
      </c>
      <c r="O11" s="212"/>
      <c r="P11" s="212" t="s">
        <v>1104</v>
      </c>
      <c r="Q11" s="212" t="s">
        <v>68</v>
      </c>
      <c r="R11" s="212" t="s">
        <v>1648</v>
      </c>
      <c r="S11" s="212"/>
      <c r="T11" s="212" t="s">
        <v>1129</v>
      </c>
      <c r="U11" s="212"/>
      <c r="V11" s="212"/>
      <c r="W11" s="212"/>
      <c r="X11" s="212"/>
      <c r="Y11" s="212"/>
      <c r="Z11" s="212"/>
      <c r="AA11" s="212"/>
      <c r="AB11" s="212"/>
      <c r="AC11" s="212"/>
      <c r="AD11" s="212"/>
      <c r="AE11" s="212"/>
      <c r="AF11" s="212"/>
      <c r="AG11" s="212"/>
      <c r="AH11" s="212"/>
      <c r="AI11" s="212"/>
      <c r="AJ11" s="212"/>
      <c r="AK11" s="212"/>
      <c r="AL11" s="212"/>
      <c r="AM11" s="212"/>
      <c r="AN11" s="212"/>
      <c r="AO11" s="212"/>
      <c r="AP11" s="212"/>
      <c r="AQ11" s="212"/>
      <c r="AR11" s="212"/>
      <c r="AS11" s="212"/>
      <c r="AT11" s="212"/>
      <c r="AU11" s="212"/>
      <c r="AV11" s="212"/>
      <c r="AW11" s="212"/>
      <c r="AX11" s="212"/>
      <c r="AY11" s="212"/>
      <c r="AZ11" s="212"/>
      <c r="BA11" s="212"/>
      <c r="BB11" s="212"/>
      <c r="BC11" s="212"/>
      <c r="BD11" s="212"/>
      <c r="BE11" s="212"/>
      <c r="BF11" s="212"/>
      <c r="BG11" s="212"/>
      <c r="BH11" s="212"/>
      <c r="BI11" s="231" t="str">
        <f>HYPERLINK("#일위대가목록!A9","P8-3-1/1 →")</f>
        <v>P8-3-1/1 →</v>
      </c>
    </row>
    <row r="12" spans="1:61" ht="24" customHeight="1">
      <c r="A12" s="218" t="s">
        <v>1936</v>
      </c>
      <c r="B12" s="218" t="s">
        <v>1937</v>
      </c>
      <c r="C12" s="228">
        <v>5</v>
      </c>
      <c r="D12" s="213" t="s">
        <v>437</v>
      </c>
      <c r="E12" s="217">
        <f>자재조서!E41</f>
        <v>0</v>
      </c>
      <c r="F12" s="217">
        <f t="shared" si="1"/>
        <v>0</v>
      </c>
      <c r="G12" s="217">
        <v>0</v>
      </c>
      <c r="H12" s="217"/>
      <c r="I12" s="217">
        <v>0</v>
      </c>
      <c r="J12" s="217"/>
      <c r="K12" s="217">
        <f t="shared" si="2"/>
        <v>0</v>
      </c>
      <c r="L12" s="217">
        <f t="shared" si="0"/>
        <v>0</v>
      </c>
      <c r="M12" s="215" t="s">
        <v>68</v>
      </c>
      <c r="N12" s="212" t="s">
        <v>68</v>
      </c>
      <c r="O12" s="212"/>
      <c r="P12" s="212" t="s">
        <v>1108</v>
      </c>
      <c r="Q12" s="212" t="s">
        <v>68</v>
      </c>
      <c r="R12" s="212" t="s">
        <v>1938</v>
      </c>
      <c r="S12" s="212"/>
      <c r="T12" s="212"/>
      <c r="U12" s="212"/>
      <c r="V12" s="212"/>
      <c r="W12" s="212"/>
      <c r="X12" s="212"/>
      <c r="Y12" s="212"/>
      <c r="Z12" s="212"/>
      <c r="AA12" s="212"/>
      <c r="AB12" s="212"/>
      <c r="AC12" s="212"/>
      <c r="AD12" s="212"/>
      <c r="AE12" s="212"/>
      <c r="AF12" s="212"/>
      <c r="AG12" s="212"/>
      <c r="AH12" s="212"/>
      <c r="AI12" s="212"/>
      <c r="AJ12" s="212"/>
      <c r="AK12" s="212"/>
      <c r="AL12" s="212"/>
      <c r="AM12" s="212"/>
      <c r="AN12" s="212"/>
      <c r="AO12" s="212"/>
      <c r="AP12" s="212"/>
      <c r="AQ12" s="212"/>
      <c r="AR12" s="212"/>
      <c r="AS12" s="212"/>
      <c r="AT12" s="212"/>
      <c r="AU12" s="212"/>
      <c r="AV12" s="212"/>
      <c r="AW12" s="212"/>
      <c r="AX12" s="212"/>
      <c r="AY12" s="212"/>
      <c r="AZ12" s="212"/>
      <c r="BA12" s="212"/>
      <c r="BB12" s="212"/>
      <c r="BC12" s="212"/>
      <c r="BD12" s="212"/>
      <c r="BE12" s="212"/>
      <c r="BF12" s="212"/>
      <c r="BG12" s="212"/>
      <c r="BH12" s="212"/>
      <c r="BI12" s="231" t="str">
        <f>HYPERLINK("#자재조서!A41","MZZ1002683 →")</f>
        <v>MZZ1002683 →</v>
      </c>
    </row>
    <row r="13" spans="1:61" ht="24" customHeight="1">
      <c r="A13" s="218" t="s">
        <v>1939</v>
      </c>
      <c r="B13" s="218" t="s">
        <v>1650</v>
      </c>
      <c r="C13" s="228">
        <v>5</v>
      </c>
      <c r="D13" s="213" t="s">
        <v>1412</v>
      </c>
      <c r="E13" s="217">
        <f>일위목록!E10</f>
        <v>0</v>
      </c>
      <c r="F13" s="217">
        <f t="shared" si="1"/>
        <v>0</v>
      </c>
      <c r="G13" s="217">
        <f>일위목록!F10</f>
        <v>0</v>
      </c>
      <c r="H13" s="217">
        <f>TRUNC(G13*C13,0)</f>
        <v>0</v>
      </c>
      <c r="I13" s="217">
        <f>일위목록!G10</f>
        <v>0</v>
      </c>
      <c r="J13" s="217">
        <f>TRUNC(I13*C13,0)</f>
        <v>0</v>
      </c>
      <c r="K13" s="217">
        <f t="shared" si="2"/>
        <v>0</v>
      </c>
      <c r="L13" s="217">
        <f t="shared" si="0"/>
        <v>0</v>
      </c>
      <c r="M13" s="215" t="s">
        <v>1651</v>
      </c>
      <c r="N13" s="212" t="s">
        <v>68</v>
      </c>
      <c r="O13" s="212"/>
      <c r="P13" s="212" t="s">
        <v>1109</v>
      </c>
      <c r="Q13" s="212" t="s">
        <v>68</v>
      </c>
      <c r="R13" s="212" t="s">
        <v>1652</v>
      </c>
      <c r="S13" s="212"/>
      <c r="T13" s="212" t="s">
        <v>1129</v>
      </c>
      <c r="U13" s="212"/>
      <c r="V13" s="212"/>
      <c r="W13" s="212"/>
      <c r="X13" s="212"/>
      <c r="Y13" s="212"/>
      <c r="Z13" s="212"/>
      <c r="AA13" s="212"/>
      <c r="AB13" s="212"/>
      <c r="AC13" s="212"/>
      <c r="AD13" s="212"/>
      <c r="AE13" s="212"/>
      <c r="AF13" s="212"/>
      <c r="AG13" s="212"/>
      <c r="AH13" s="212"/>
      <c r="AI13" s="212"/>
      <c r="AJ13" s="212"/>
      <c r="AK13" s="212"/>
      <c r="AL13" s="212"/>
      <c r="AM13" s="212"/>
      <c r="AN13" s="212"/>
      <c r="AO13" s="212"/>
      <c r="AP13" s="212"/>
      <c r="AQ13" s="212"/>
      <c r="AR13" s="212"/>
      <c r="AS13" s="212"/>
      <c r="AT13" s="212"/>
      <c r="AU13" s="212"/>
      <c r="AV13" s="212"/>
      <c r="AW13" s="212"/>
      <c r="AX13" s="212"/>
      <c r="AY13" s="212"/>
      <c r="AZ13" s="212"/>
      <c r="BA13" s="212"/>
      <c r="BB13" s="212"/>
      <c r="BC13" s="212"/>
      <c r="BD13" s="212"/>
      <c r="BE13" s="212"/>
      <c r="BF13" s="212"/>
      <c r="BG13" s="212"/>
      <c r="BH13" s="212"/>
      <c r="BI13" s="231" t="str">
        <f>HYPERLINK("#일위대가목록!A10","P1-2-5/1 →")</f>
        <v>P1-2-5/1 →</v>
      </c>
    </row>
    <row r="14" spans="1:61" ht="24" customHeight="1">
      <c r="A14" s="218" t="s">
        <v>1940</v>
      </c>
      <c r="B14" s="218" t="s">
        <v>68</v>
      </c>
      <c r="C14" s="228">
        <v>4</v>
      </c>
      <c r="D14" s="213" t="s">
        <v>1033</v>
      </c>
      <c r="E14" s="217">
        <f>일위목록!E11</f>
        <v>0</v>
      </c>
      <c r="F14" s="217">
        <f t="shared" si="1"/>
        <v>0</v>
      </c>
      <c r="G14" s="217">
        <f>일위목록!F11</f>
        <v>0</v>
      </c>
      <c r="H14" s="217">
        <f>TRUNC(G14*C14,0)</f>
        <v>0</v>
      </c>
      <c r="I14" s="217">
        <f>일위목록!G11</f>
        <v>0</v>
      </c>
      <c r="J14" s="217">
        <f>TRUNC(I14*C14,0)</f>
        <v>0</v>
      </c>
      <c r="K14" s="217">
        <f t="shared" si="2"/>
        <v>0</v>
      </c>
      <c r="L14" s="217">
        <f t="shared" si="0"/>
        <v>0</v>
      </c>
      <c r="M14" s="215" t="s">
        <v>1654</v>
      </c>
      <c r="N14" s="212" t="s">
        <v>68</v>
      </c>
      <c r="O14" s="212"/>
      <c r="P14" s="212" t="s">
        <v>1110</v>
      </c>
      <c r="Q14" s="212" t="s">
        <v>68</v>
      </c>
      <c r="R14" s="212" t="s">
        <v>1655</v>
      </c>
      <c r="S14" s="212"/>
      <c r="T14" s="212" t="s">
        <v>1129</v>
      </c>
      <c r="U14" s="212"/>
      <c r="V14" s="212"/>
      <c r="W14" s="212"/>
      <c r="X14" s="212"/>
      <c r="Y14" s="212"/>
      <c r="Z14" s="212"/>
      <c r="AA14" s="212"/>
      <c r="AB14" s="212"/>
      <c r="AC14" s="212"/>
      <c r="AD14" s="212"/>
      <c r="AE14" s="212"/>
      <c r="AF14" s="212"/>
      <c r="AG14" s="212"/>
      <c r="AH14" s="212"/>
      <c r="AI14" s="212"/>
      <c r="AJ14" s="212"/>
      <c r="AK14" s="212"/>
      <c r="AL14" s="212"/>
      <c r="AM14" s="212"/>
      <c r="AN14" s="212"/>
      <c r="AO14" s="212"/>
      <c r="AP14" s="212"/>
      <c r="AQ14" s="212"/>
      <c r="AR14" s="212"/>
      <c r="AS14" s="212"/>
      <c r="AT14" s="212"/>
      <c r="AU14" s="212"/>
      <c r="AV14" s="212"/>
      <c r="AW14" s="212"/>
      <c r="AX14" s="212"/>
      <c r="AY14" s="212"/>
      <c r="AZ14" s="212"/>
      <c r="BA14" s="212"/>
      <c r="BB14" s="212"/>
      <c r="BC14" s="212"/>
      <c r="BD14" s="212"/>
      <c r="BE14" s="212"/>
      <c r="BF14" s="212"/>
      <c r="BG14" s="212"/>
      <c r="BH14" s="212"/>
      <c r="BI14" s="231" t="str">
        <f>HYPERLINK("#일위대가목록!A11","PPU1-3-4 →")</f>
        <v>PPU1-3-4 →</v>
      </c>
    </row>
    <row r="15" spans="1:61" ht="24" customHeight="1">
      <c r="A15" s="215"/>
      <c r="B15" s="215"/>
      <c r="C15" s="229"/>
      <c r="D15" s="213"/>
      <c r="E15" s="213"/>
      <c r="F15" s="213"/>
      <c r="G15" s="213"/>
      <c r="H15" s="213"/>
      <c r="I15" s="213"/>
      <c r="J15" s="213"/>
      <c r="K15" s="213"/>
      <c r="L15" s="213"/>
      <c r="M15" s="215"/>
      <c r="N15" s="212"/>
      <c r="O15" s="212"/>
      <c r="P15" s="212"/>
      <c r="Q15" s="212"/>
      <c r="R15" s="212"/>
      <c r="S15" s="212"/>
      <c r="T15" s="212"/>
      <c r="U15" s="212"/>
      <c r="V15" s="212"/>
      <c r="W15" s="212"/>
      <c r="X15" s="212"/>
      <c r="Y15" s="212"/>
      <c r="Z15" s="212"/>
      <c r="AA15" s="212"/>
      <c r="AB15" s="212"/>
      <c r="AC15" s="212"/>
      <c r="AD15" s="212"/>
      <c r="AE15" s="212"/>
      <c r="AF15" s="212"/>
      <c r="AG15" s="212"/>
      <c r="AH15" s="212"/>
      <c r="AI15" s="212"/>
      <c r="AJ15" s="212"/>
      <c r="AK15" s="212"/>
      <c r="AL15" s="212"/>
      <c r="AM15" s="212"/>
      <c r="AN15" s="212"/>
      <c r="AO15" s="212"/>
      <c r="AP15" s="212"/>
      <c r="AQ15" s="212"/>
      <c r="AR15" s="212"/>
      <c r="AS15" s="212"/>
      <c r="AT15" s="212"/>
      <c r="AU15" s="212"/>
      <c r="AV15" s="212"/>
      <c r="AW15" s="212"/>
      <c r="AX15" s="212"/>
      <c r="AY15" s="212"/>
      <c r="AZ15" s="212"/>
      <c r="BA15" s="212"/>
      <c r="BB15" s="212"/>
      <c r="BC15" s="212"/>
      <c r="BD15" s="212"/>
      <c r="BE15" s="212"/>
      <c r="BF15" s="212"/>
      <c r="BG15" s="212"/>
      <c r="BH15" s="212"/>
      <c r="BI15" s="212"/>
    </row>
    <row r="16" spans="1:61" ht="24" customHeight="1">
      <c r="A16" s="218" t="s">
        <v>1941</v>
      </c>
      <c r="B16" s="218" t="s">
        <v>1133</v>
      </c>
      <c r="C16" s="228">
        <v>1</v>
      </c>
      <c r="D16" s="213" t="s">
        <v>1033</v>
      </c>
      <c r="E16" s="212"/>
      <c r="F16" s="217">
        <f>TRUNC(F17,0)</f>
        <v>0</v>
      </c>
      <c r="G16" s="212"/>
      <c r="H16" s="217">
        <f>TRUNC(H17,0)</f>
        <v>0</v>
      </c>
      <c r="I16" s="212"/>
      <c r="J16" s="217">
        <f>TRUNC(J17,0)</f>
        <v>0</v>
      </c>
      <c r="K16" s="212"/>
      <c r="L16" s="217">
        <f>F16+H16+J16</f>
        <v>0</v>
      </c>
      <c r="M16" s="215" t="s">
        <v>68</v>
      </c>
      <c r="N16" s="212" t="s">
        <v>68</v>
      </c>
      <c r="O16" s="212" t="s">
        <v>1134</v>
      </c>
      <c r="P16" s="212"/>
      <c r="Q16" s="212"/>
      <c r="R16" s="212"/>
      <c r="S16" s="212"/>
      <c r="T16" s="212"/>
      <c r="U16" s="212"/>
      <c r="V16" s="212"/>
      <c r="W16" s="212"/>
      <c r="X16" s="212"/>
      <c r="Y16" s="212"/>
      <c r="Z16" s="212"/>
      <c r="AA16" s="212"/>
      <c r="AB16" s="212"/>
      <c r="AC16" s="212"/>
      <c r="AD16" s="212"/>
      <c r="AE16" s="212"/>
      <c r="AF16" s="212"/>
      <c r="AG16" s="212"/>
      <c r="AH16" s="212"/>
      <c r="AI16" s="212"/>
      <c r="AJ16" s="212"/>
      <c r="AK16" s="212"/>
      <c r="AL16" s="212"/>
      <c r="AM16" s="212"/>
      <c r="AN16" s="212"/>
      <c r="AO16" s="212"/>
      <c r="AP16" s="212"/>
      <c r="AQ16" s="212"/>
      <c r="AR16" s="212"/>
      <c r="AS16" s="212"/>
      <c r="AT16" s="212"/>
      <c r="AU16" s="212"/>
      <c r="AV16" s="212"/>
      <c r="AW16" s="212"/>
      <c r="AX16" s="212"/>
      <c r="AY16" s="212"/>
      <c r="AZ16" s="212"/>
      <c r="BA16" s="212"/>
      <c r="BB16" s="212"/>
      <c r="BC16" s="212"/>
      <c r="BD16" s="212"/>
      <c r="BE16" s="212"/>
      <c r="BF16" s="212"/>
      <c r="BG16" s="212"/>
      <c r="BH16" s="212"/>
      <c r="BI16" s="212"/>
    </row>
    <row r="17" spans="1:61" ht="24" customHeight="1">
      <c r="A17" s="218" t="s">
        <v>1926</v>
      </c>
      <c r="B17" s="218" t="s">
        <v>1927</v>
      </c>
      <c r="C17" s="229">
        <v>0.6</v>
      </c>
      <c r="D17" s="213" t="s">
        <v>9</v>
      </c>
      <c r="E17" s="217">
        <f>자재조서!E62</f>
        <v>0</v>
      </c>
      <c r="F17" s="217">
        <f>TRUNC(E17*C17,0)</f>
        <v>0</v>
      </c>
      <c r="G17" s="217">
        <v>0</v>
      </c>
      <c r="H17" s="217"/>
      <c r="I17" s="217">
        <v>0</v>
      </c>
      <c r="J17" s="217"/>
      <c r="K17" s="217">
        <f>E17+G17+I17</f>
        <v>0</v>
      </c>
      <c r="L17" s="217">
        <f>F17+H17+J17</f>
        <v>0</v>
      </c>
      <c r="M17" s="215" t="s">
        <v>68</v>
      </c>
      <c r="N17" s="212" t="s">
        <v>68</v>
      </c>
      <c r="O17" s="212"/>
      <c r="P17" s="212" t="s">
        <v>1095</v>
      </c>
      <c r="Q17" s="212" t="s">
        <v>68</v>
      </c>
      <c r="R17" s="212" t="s">
        <v>1928</v>
      </c>
      <c r="S17" s="212"/>
      <c r="T17" s="212"/>
      <c r="U17" s="212"/>
      <c r="V17" s="212"/>
      <c r="W17" s="212"/>
      <c r="X17" s="212"/>
      <c r="Y17" s="212"/>
      <c r="Z17" s="212"/>
      <c r="AA17" s="212"/>
      <c r="AB17" s="212"/>
      <c r="AC17" s="212"/>
      <c r="AD17" s="212"/>
      <c r="AE17" s="212"/>
      <c r="AF17" s="212"/>
      <c r="AG17" s="212"/>
      <c r="AH17" s="212"/>
      <c r="AI17" s="212"/>
      <c r="AJ17" s="212"/>
      <c r="AK17" s="212"/>
      <c r="AL17" s="212"/>
      <c r="AM17" s="212"/>
      <c r="AN17" s="212"/>
      <c r="AO17" s="212"/>
      <c r="AP17" s="212"/>
      <c r="AQ17" s="212"/>
      <c r="AR17" s="212"/>
      <c r="AS17" s="212"/>
      <c r="AT17" s="212"/>
      <c r="AU17" s="212"/>
      <c r="AV17" s="212"/>
      <c r="AW17" s="212"/>
      <c r="AX17" s="212"/>
      <c r="AY17" s="212"/>
      <c r="AZ17" s="212"/>
      <c r="BA17" s="212"/>
      <c r="BB17" s="212"/>
      <c r="BC17" s="212"/>
      <c r="BD17" s="212"/>
      <c r="BE17" s="212"/>
      <c r="BF17" s="212"/>
      <c r="BG17" s="212"/>
      <c r="BH17" s="212"/>
      <c r="BI17" s="231" t="str">
        <f>HYPERLINK("#자재조서!A62","MZZ2000004 →")</f>
        <v>MZZ2000004 →</v>
      </c>
    </row>
    <row r="18" spans="1:61" ht="24" customHeight="1">
      <c r="A18" s="215"/>
      <c r="B18" s="215"/>
      <c r="C18" s="229"/>
      <c r="D18" s="213"/>
      <c r="E18" s="213"/>
      <c r="F18" s="213"/>
      <c r="G18" s="213"/>
      <c r="H18" s="213"/>
      <c r="I18" s="213"/>
      <c r="J18" s="213"/>
      <c r="K18" s="213"/>
      <c r="L18" s="213"/>
      <c r="M18" s="215"/>
      <c r="N18" s="212"/>
      <c r="O18" s="212"/>
      <c r="P18" s="212"/>
      <c r="Q18" s="212"/>
      <c r="R18" s="212"/>
      <c r="S18" s="212"/>
      <c r="T18" s="212"/>
      <c r="U18" s="212"/>
      <c r="V18" s="212"/>
      <c r="W18" s="212"/>
      <c r="X18" s="212"/>
      <c r="Y18" s="212"/>
      <c r="Z18" s="212"/>
      <c r="AA18" s="212"/>
      <c r="AB18" s="212"/>
      <c r="AC18" s="212"/>
      <c r="AD18" s="212"/>
      <c r="AE18" s="212"/>
      <c r="AF18" s="212"/>
      <c r="AG18" s="212"/>
      <c r="AH18" s="212"/>
      <c r="AI18" s="212"/>
      <c r="AJ18" s="212"/>
      <c r="AK18" s="212"/>
      <c r="AL18" s="212"/>
      <c r="AM18" s="212"/>
      <c r="AN18" s="212"/>
      <c r="AO18" s="212"/>
      <c r="AP18" s="212"/>
      <c r="AQ18" s="212"/>
      <c r="AR18" s="212"/>
      <c r="AS18" s="212"/>
      <c r="AT18" s="212"/>
      <c r="AU18" s="212"/>
      <c r="AV18" s="212"/>
      <c r="AW18" s="212"/>
      <c r="AX18" s="212"/>
      <c r="AY18" s="212"/>
      <c r="AZ18" s="212"/>
      <c r="BA18" s="212"/>
      <c r="BB18" s="212"/>
      <c r="BC18" s="212"/>
      <c r="BD18" s="212"/>
      <c r="BE18" s="212"/>
      <c r="BF18" s="212"/>
      <c r="BG18" s="212"/>
      <c r="BH18" s="212"/>
      <c r="BI18" s="212"/>
    </row>
    <row r="19" spans="1:61" ht="24" customHeight="1">
      <c r="A19" s="218" t="s">
        <v>1942</v>
      </c>
      <c r="B19" s="218" t="s">
        <v>1135</v>
      </c>
      <c r="C19" s="228">
        <v>1</v>
      </c>
      <c r="D19" s="213" t="s">
        <v>1033</v>
      </c>
      <c r="E19" s="212"/>
      <c r="F19" s="217">
        <f>TRUNC(F20+F21,0)</f>
        <v>0</v>
      </c>
      <c r="G19" s="212"/>
      <c r="H19" s="217">
        <f>TRUNC(H20+H21,0)</f>
        <v>0</v>
      </c>
      <c r="I19" s="212"/>
      <c r="J19" s="217">
        <f>TRUNC(J20+J21,0)</f>
        <v>0</v>
      </c>
      <c r="K19" s="212"/>
      <c r="L19" s="217">
        <f>F19+H19+J19</f>
        <v>0</v>
      </c>
      <c r="M19" s="215" t="s">
        <v>68</v>
      </c>
      <c r="N19" s="212" t="s">
        <v>68</v>
      </c>
      <c r="O19" s="212" t="s">
        <v>1136</v>
      </c>
      <c r="P19" s="212"/>
      <c r="Q19" s="212"/>
      <c r="R19" s="212"/>
      <c r="S19" s="212"/>
      <c r="T19" s="212"/>
      <c r="U19" s="212"/>
      <c r="V19" s="212"/>
      <c r="W19" s="212"/>
      <c r="X19" s="212"/>
      <c r="Y19" s="212"/>
      <c r="Z19" s="212"/>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2"/>
      <c r="BI19" s="212"/>
    </row>
    <row r="20" spans="1:61" ht="24" customHeight="1">
      <c r="A20" s="218" t="s">
        <v>1943</v>
      </c>
      <c r="B20" s="218" t="s">
        <v>1657</v>
      </c>
      <c r="C20" s="228">
        <v>1</v>
      </c>
      <c r="D20" s="213" t="s">
        <v>1033</v>
      </c>
      <c r="E20" s="217">
        <f>일위목록!E12</f>
        <v>0</v>
      </c>
      <c r="F20" s="217">
        <f>TRUNC(E20*C20,0)</f>
        <v>0</v>
      </c>
      <c r="G20" s="217">
        <f>일위목록!F12</f>
        <v>0</v>
      </c>
      <c r="H20" s="217">
        <f>TRUNC(G20*C20,0)</f>
        <v>0</v>
      </c>
      <c r="I20" s="217">
        <f>일위목록!G12</f>
        <v>0</v>
      </c>
      <c r="J20" s="217">
        <f>TRUNC(I20*C20,0)</f>
        <v>0</v>
      </c>
      <c r="K20" s="217">
        <f>E20+G20+I20</f>
        <v>0</v>
      </c>
      <c r="L20" s="217">
        <f>F20+H20+J20</f>
        <v>0</v>
      </c>
      <c r="M20" s="215" t="s">
        <v>1658</v>
      </c>
      <c r="N20" s="212" t="s">
        <v>68</v>
      </c>
      <c r="O20" s="212"/>
      <c r="P20" s="212" t="s">
        <v>1095</v>
      </c>
      <c r="Q20" s="212" t="s">
        <v>68</v>
      </c>
      <c r="R20" s="212" t="s">
        <v>1659</v>
      </c>
      <c r="S20" s="212"/>
      <c r="T20" s="212" t="s">
        <v>1129</v>
      </c>
      <c r="U20" s="212"/>
      <c r="V20" s="212"/>
      <c r="W20" s="212"/>
      <c r="X20" s="212"/>
      <c r="Y20" s="212"/>
      <c r="Z20" s="212"/>
      <c r="AA20" s="212"/>
      <c r="AB20" s="212"/>
      <c r="AC20" s="212"/>
      <c r="AD20" s="212"/>
      <c r="AE20" s="212"/>
      <c r="AF20" s="212"/>
      <c r="AG20" s="212"/>
      <c r="AH20" s="212"/>
      <c r="AI20" s="212"/>
      <c r="AJ20" s="212"/>
      <c r="AK20" s="212"/>
      <c r="AL20" s="212"/>
      <c r="AM20" s="212"/>
      <c r="AN20" s="212"/>
      <c r="AO20" s="212"/>
      <c r="AP20" s="212"/>
      <c r="AQ20" s="212"/>
      <c r="AR20" s="212"/>
      <c r="AS20" s="212"/>
      <c r="AT20" s="212"/>
      <c r="AU20" s="212"/>
      <c r="AV20" s="212"/>
      <c r="AW20" s="212"/>
      <c r="AX20" s="212"/>
      <c r="AY20" s="212"/>
      <c r="AZ20" s="212"/>
      <c r="BA20" s="212"/>
      <c r="BB20" s="212"/>
      <c r="BC20" s="212"/>
      <c r="BD20" s="212"/>
      <c r="BE20" s="212"/>
      <c r="BF20" s="212"/>
      <c r="BG20" s="212"/>
      <c r="BH20" s="212"/>
      <c r="BI20" s="231" t="str">
        <f>HYPERLINK("#일위대가목록!A12","PPU1-3-2 →")</f>
        <v>PPU1-3-2 →</v>
      </c>
    </row>
    <row r="21" spans="1:61" ht="24" customHeight="1">
      <c r="A21" s="218" t="s">
        <v>1926</v>
      </c>
      <c r="B21" s="218" t="s">
        <v>1927</v>
      </c>
      <c r="C21" s="229">
        <v>2.6</v>
      </c>
      <c r="D21" s="213" t="s">
        <v>9</v>
      </c>
      <c r="E21" s="217">
        <f>자재조서!E62</f>
        <v>0</v>
      </c>
      <c r="F21" s="217">
        <f>TRUNC(E21*C21,0)</f>
        <v>0</v>
      </c>
      <c r="G21" s="217">
        <v>0</v>
      </c>
      <c r="H21" s="217"/>
      <c r="I21" s="217">
        <v>0</v>
      </c>
      <c r="J21" s="217"/>
      <c r="K21" s="217">
        <f>E21+G21+I21</f>
        <v>0</v>
      </c>
      <c r="L21" s="217">
        <f>F21+H21+J21</f>
        <v>0</v>
      </c>
      <c r="M21" s="215" t="s">
        <v>68</v>
      </c>
      <c r="N21" s="212" t="s">
        <v>68</v>
      </c>
      <c r="O21" s="212"/>
      <c r="P21" s="212" t="s">
        <v>1101</v>
      </c>
      <c r="Q21" s="212" t="s">
        <v>68</v>
      </c>
      <c r="R21" s="212" t="s">
        <v>1928</v>
      </c>
      <c r="S21" s="212"/>
      <c r="T21" s="212"/>
      <c r="U21" s="212"/>
      <c r="V21" s="212"/>
      <c r="W21" s="212"/>
      <c r="X21" s="212"/>
      <c r="Y21" s="212"/>
      <c r="Z21" s="212"/>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2"/>
      <c r="AW21" s="212"/>
      <c r="AX21" s="212"/>
      <c r="AY21" s="212"/>
      <c r="AZ21" s="212"/>
      <c r="BA21" s="212"/>
      <c r="BB21" s="212"/>
      <c r="BC21" s="212"/>
      <c r="BD21" s="212"/>
      <c r="BE21" s="212"/>
      <c r="BF21" s="212"/>
      <c r="BG21" s="212"/>
      <c r="BH21" s="212"/>
      <c r="BI21" s="231" t="str">
        <f>HYPERLINK("#자재조서!A62","MZZ2000004 →")</f>
        <v>MZZ2000004 →</v>
      </c>
    </row>
    <row r="22" spans="1:61" ht="24" customHeight="1">
      <c r="A22" s="215"/>
      <c r="B22" s="215"/>
      <c r="C22" s="229"/>
      <c r="D22" s="213"/>
      <c r="E22" s="213"/>
      <c r="F22" s="213"/>
      <c r="G22" s="213"/>
      <c r="H22" s="213"/>
      <c r="I22" s="213"/>
      <c r="J22" s="213"/>
      <c r="K22" s="213"/>
      <c r="L22" s="213"/>
      <c r="M22" s="215"/>
      <c r="N22" s="212"/>
      <c r="O22" s="212"/>
      <c r="P22" s="212"/>
      <c r="Q22" s="212"/>
      <c r="R22" s="212"/>
      <c r="S22" s="212"/>
      <c r="T22" s="212"/>
      <c r="U22" s="212"/>
      <c r="V22" s="212"/>
      <c r="W22" s="212"/>
      <c r="X22" s="212"/>
      <c r="Y22" s="212"/>
      <c r="Z22" s="212"/>
      <c r="AA22" s="212"/>
      <c r="AB22" s="212"/>
      <c r="AC22" s="212"/>
      <c r="AD22" s="212"/>
      <c r="AE22" s="212"/>
      <c r="AF22" s="212"/>
      <c r="AG22" s="212"/>
      <c r="AH22" s="212"/>
      <c r="AI22" s="212"/>
      <c r="AJ22" s="212"/>
      <c r="AK22" s="212"/>
      <c r="AL22" s="212"/>
      <c r="AM22" s="212"/>
      <c r="AN22" s="212"/>
      <c r="AO22" s="212"/>
      <c r="AP22" s="212"/>
      <c r="AQ22" s="212"/>
      <c r="AR22" s="212"/>
      <c r="AS22" s="212"/>
      <c r="AT22" s="212"/>
      <c r="AU22" s="212"/>
      <c r="AV22" s="212"/>
      <c r="AW22" s="212"/>
      <c r="AX22" s="212"/>
      <c r="AY22" s="212"/>
      <c r="AZ22" s="212"/>
      <c r="BA22" s="212"/>
      <c r="BB22" s="212"/>
      <c r="BC22" s="212"/>
      <c r="BD22" s="212"/>
      <c r="BE22" s="212"/>
      <c r="BF22" s="212"/>
      <c r="BG22" s="212"/>
      <c r="BH22" s="212"/>
      <c r="BI22" s="212"/>
    </row>
    <row r="23" spans="1:61" ht="24" customHeight="1">
      <c r="A23" s="218" t="s">
        <v>1944</v>
      </c>
      <c r="B23" s="218" t="s">
        <v>1292</v>
      </c>
      <c r="C23" s="228">
        <v>1</v>
      </c>
      <c r="D23" s="213" t="s">
        <v>9</v>
      </c>
      <c r="E23" s="212"/>
      <c r="F23" s="217">
        <f>TRUNC(F24+F25,0)</f>
        <v>0</v>
      </c>
      <c r="G23" s="212"/>
      <c r="H23" s="217">
        <f>TRUNC(H24+H25,0)</f>
        <v>0</v>
      </c>
      <c r="I23" s="212"/>
      <c r="J23" s="217">
        <f>TRUNC(J24+J25,0)</f>
        <v>0</v>
      </c>
      <c r="K23" s="212"/>
      <c r="L23" s="217">
        <f>F23+H23+J23</f>
        <v>0</v>
      </c>
      <c r="M23" s="215" t="s">
        <v>1640</v>
      </c>
      <c r="N23" s="212" t="s">
        <v>68</v>
      </c>
      <c r="O23" s="212" t="s">
        <v>1293</v>
      </c>
      <c r="P23" s="212"/>
      <c r="Q23" s="212"/>
      <c r="R23" s="212"/>
      <c r="S23" s="212"/>
      <c r="T23" s="212"/>
      <c r="U23" s="212"/>
      <c r="V23" s="212"/>
      <c r="W23" s="212"/>
      <c r="X23" s="212"/>
      <c r="Y23" s="212"/>
      <c r="Z23" s="212"/>
      <c r="AA23" s="212"/>
      <c r="AB23" s="212"/>
      <c r="AC23" s="212"/>
      <c r="AD23" s="212"/>
      <c r="AE23" s="212"/>
      <c r="AF23" s="212"/>
      <c r="AG23" s="212"/>
      <c r="AH23" s="212"/>
      <c r="AI23" s="212"/>
      <c r="AJ23" s="212"/>
      <c r="AK23" s="212"/>
      <c r="AL23" s="212"/>
      <c r="AM23" s="212"/>
      <c r="AN23" s="212"/>
      <c r="AO23" s="212"/>
      <c r="AP23" s="212"/>
      <c r="AQ23" s="212"/>
      <c r="AR23" s="212"/>
      <c r="AS23" s="212"/>
      <c r="AT23" s="212"/>
      <c r="AU23" s="212"/>
      <c r="AV23" s="212"/>
      <c r="AW23" s="212"/>
      <c r="AX23" s="212"/>
      <c r="AY23" s="212"/>
      <c r="AZ23" s="212"/>
      <c r="BA23" s="212"/>
      <c r="BB23" s="212"/>
      <c r="BC23" s="212"/>
      <c r="BD23" s="212"/>
      <c r="BE23" s="212"/>
      <c r="BF23" s="212"/>
      <c r="BG23" s="212"/>
      <c r="BH23" s="212"/>
      <c r="BI23" s="212"/>
    </row>
    <row r="24" spans="1:61" ht="24" customHeight="1">
      <c r="A24" s="218" t="s">
        <v>1945</v>
      </c>
      <c r="B24" s="218" t="s">
        <v>1946</v>
      </c>
      <c r="C24" s="229">
        <v>1.0999999999999999E-2</v>
      </c>
      <c r="D24" s="213" t="s">
        <v>1286</v>
      </c>
      <c r="E24" s="217">
        <v>0</v>
      </c>
      <c r="F24" s="217"/>
      <c r="G24" s="217">
        <f>노임!D11</f>
        <v>0</v>
      </c>
      <c r="H24" s="217">
        <f>TRUNC(G24*C24,0)</f>
        <v>0</v>
      </c>
      <c r="I24" s="217">
        <v>0</v>
      </c>
      <c r="J24" s="217"/>
      <c r="K24" s="217">
        <f>E24+G24+I24</f>
        <v>0</v>
      </c>
      <c r="L24" s="217">
        <f>F24+H24+J24</f>
        <v>0</v>
      </c>
      <c r="M24" s="215" t="s">
        <v>68</v>
      </c>
      <c r="N24" s="212" t="s">
        <v>68</v>
      </c>
      <c r="O24" s="212"/>
      <c r="P24" s="212" t="s">
        <v>1095</v>
      </c>
      <c r="Q24" s="212" t="s">
        <v>68</v>
      </c>
      <c r="R24" s="212" t="s">
        <v>1947</v>
      </c>
      <c r="S24" s="212"/>
      <c r="T24" s="212"/>
      <c r="U24" s="212"/>
      <c r="V24" s="212"/>
      <c r="W24" s="212"/>
      <c r="X24" s="212"/>
      <c r="Y24" s="212"/>
      <c r="Z24" s="212"/>
      <c r="AA24" s="220" t="s">
        <v>1117</v>
      </c>
      <c r="AB24" s="212">
        <f>호표!H24*0.03</f>
        <v>0</v>
      </c>
      <c r="AC24" s="220" t="s">
        <v>1118</v>
      </c>
      <c r="AD24" s="212">
        <f>$AB24</f>
        <v>0</v>
      </c>
      <c r="AE24" s="212"/>
      <c r="AF24" s="212"/>
      <c r="AG24" s="212"/>
      <c r="AH24" s="212"/>
      <c r="AI24" s="212"/>
      <c r="AJ24" s="212"/>
      <c r="AK24" s="212"/>
      <c r="AL24" s="212"/>
      <c r="AM24" s="212"/>
      <c r="AN24" s="212"/>
      <c r="AO24" s="212"/>
      <c r="AP24" s="212"/>
      <c r="AQ24" s="212"/>
      <c r="AR24" s="212"/>
      <c r="AS24" s="212"/>
      <c r="AT24" s="212"/>
      <c r="AU24" s="212"/>
      <c r="AV24" s="212"/>
      <c r="AW24" s="212"/>
      <c r="AX24" s="212"/>
      <c r="AY24" s="212"/>
      <c r="AZ24" s="212"/>
      <c r="BA24" s="212"/>
      <c r="BB24" s="212"/>
      <c r="BC24" s="212"/>
      <c r="BD24" s="212"/>
      <c r="BE24" s="212"/>
      <c r="BF24" s="212"/>
      <c r="BG24" s="212"/>
      <c r="BH24" s="212"/>
      <c r="BI24" s="231" t="str">
        <f>HYPERLINK("#노임!A11","L001010101000022 →")</f>
        <v>L001010101000022 →</v>
      </c>
    </row>
    <row r="25" spans="1:61" ht="24" customHeight="1">
      <c r="A25" s="218" t="s">
        <v>1948</v>
      </c>
      <c r="B25" s="218" t="s">
        <v>1949</v>
      </c>
      <c r="C25" s="228">
        <v>3</v>
      </c>
      <c r="D25" s="213" t="s">
        <v>1950</v>
      </c>
      <c r="E25" s="213"/>
      <c r="F25" s="217">
        <f>TRUNC((H24*0.03),0)</f>
        <v>0</v>
      </c>
      <c r="G25" s="213"/>
      <c r="H25" s="217">
        <v>0</v>
      </c>
      <c r="I25" s="213"/>
      <c r="J25" s="217">
        <v>0</v>
      </c>
      <c r="K25" s="217">
        <f>E25+G25+I25</f>
        <v>0</v>
      </c>
      <c r="L25" s="217">
        <f>F25+H25+J25</f>
        <v>0</v>
      </c>
      <c r="M25" s="215" t="s">
        <v>68</v>
      </c>
      <c r="N25" s="212" t="s">
        <v>68</v>
      </c>
      <c r="O25" s="212"/>
      <c r="P25" s="212" t="s">
        <v>1098</v>
      </c>
      <c r="Q25" s="212" t="s">
        <v>68</v>
      </c>
      <c r="R25" s="212" t="s">
        <v>1121</v>
      </c>
      <c r="S25" s="212"/>
      <c r="T25" s="212"/>
      <c r="U25" s="212"/>
      <c r="V25" s="212"/>
      <c r="W25" s="212"/>
      <c r="X25" s="212" t="s">
        <v>1951</v>
      </c>
      <c r="Y25" s="212"/>
      <c r="Z25" s="212"/>
      <c r="AA25" s="212"/>
      <c r="AB25" s="212"/>
      <c r="AC25" s="212"/>
      <c r="AD25" s="212"/>
      <c r="AE25" s="212"/>
      <c r="AF25" s="212"/>
      <c r="AG25" s="212"/>
      <c r="AH25" s="212"/>
      <c r="AI25" s="212"/>
      <c r="AJ25" s="212"/>
      <c r="AK25" s="212"/>
      <c r="AL25" s="212"/>
      <c r="AM25" s="212"/>
      <c r="AN25" s="212"/>
      <c r="AO25" s="212"/>
      <c r="AP25" s="212"/>
      <c r="AQ25" s="212"/>
      <c r="AR25" s="212"/>
      <c r="AS25" s="212"/>
      <c r="AT25" s="212"/>
      <c r="AU25" s="212"/>
      <c r="AV25" s="212"/>
      <c r="AW25" s="212"/>
      <c r="AX25" s="212"/>
      <c r="AY25" s="212"/>
      <c r="AZ25" s="212"/>
      <c r="BA25" s="212"/>
      <c r="BB25" s="212"/>
      <c r="BC25" s="212"/>
      <c r="BD25" s="212"/>
      <c r="BE25" s="212"/>
      <c r="BF25" s="212"/>
      <c r="BG25" s="212"/>
      <c r="BH25" s="212"/>
      <c r="BI25" s="212"/>
    </row>
    <row r="26" spans="1:61" ht="24" customHeight="1">
      <c r="A26" s="215"/>
      <c r="B26" s="215"/>
      <c r="C26" s="229"/>
      <c r="D26" s="213"/>
      <c r="E26" s="213"/>
      <c r="F26" s="213"/>
      <c r="G26" s="213"/>
      <c r="H26" s="213"/>
      <c r="I26" s="213"/>
      <c r="J26" s="213"/>
      <c r="K26" s="213"/>
      <c r="L26" s="213"/>
      <c r="M26" s="215"/>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212"/>
      <c r="BA26" s="212"/>
      <c r="BB26" s="212"/>
      <c r="BC26" s="212"/>
      <c r="BD26" s="212"/>
      <c r="BE26" s="212"/>
      <c r="BF26" s="212"/>
      <c r="BG26" s="212"/>
      <c r="BH26" s="212"/>
      <c r="BI26" s="212"/>
    </row>
    <row r="27" spans="1:61" ht="24" customHeight="1">
      <c r="A27" s="218" t="s">
        <v>1952</v>
      </c>
      <c r="B27" s="218" t="s">
        <v>1642</v>
      </c>
      <c r="C27" s="228">
        <v>1</v>
      </c>
      <c r="D27" s="213" t="s">
        <v>378</v>
      </c>
      <c r="E27" s="212"/>
      <c r="F27" s="217">
        <f>TRUNC(F28+F29,0)</f>
        <v>0</v>
      </c>
      <c r="G27" s="212"/>
      <c r="H27" s="217">
        <f>TRUNC(H28+H29,0)</f>
        <v>0</v>
      </c>
      <c r="I27" s="212"/>
      <c r="J27" s="217">
        <f>TRUNC(J28+J29,0)</f>
        <v>0</v>
      </c>
      <c r="K27" s="212"/>
      <c r="L27" s="217">
        <f>F27+H27+J27</f>
        <v>0</v>
      </c>
      <c r="M27" s="215" t="s">
        <v>1643</v>
      </c>
      <c r="N27" s="212" t="s">
        <v>68</v>
      </c>
      <c r="O27" s="212" t="s">
        <v>1644</v>
      </c>
      <c r="P27" s="212"/>
      <c r="Q27" s="212"/>
      <c r="R27" s="212"/>
      <c r="S27" s="212"/>
      <c r="T27" s="212"/>
      <c r="U27" s="212"/>
      <c r="V27" s="212"/>
      <c r="W27" s="212"/>
      <c r="X27" s="212"/>
      <c r="Y27" s="212"/>
      <c r="Z27" s="212"/>
      <c r="AA27" s="212"/>
      <c r="AB27" s="212"/>
      <c r="AC27" s="212"/>
      <c r="AD27" s="212"/>
      <c r="AE27" s="212"/>
      <c r="AF27" s="212"/>
      <c r="AG27" s="212"/>
      <c r="AH27" s="212"/>
      <c r="AI27" s="212"/>
      <c r="AJ27" s="212"/>
      <c r="AK27" s="212"/>
      <c r="AL27" s="212"/>
      <c r="AM27" s="212"/>
      <c r="AN27" s="212"/>
      <c r="AO27" s="212"/>
      <c r="AP27" s="212"/>
      <c r="AQ27" s="212"/>
      <c r="AR27" s="212"/>
      <c r="AS27" s="212"/>
      <c r="AT27" s="212"/>
      <c r="AU27" s="212"/>
      <c r="AV27" s="212"/>
      <c r="AW27" s="212"/>
      <c r="AX27" s="212"/>
      <c r="AY27" s="212"/>
      <c r="AZ27" s="212"/>
      <c r="BA27" s="212"/>
      <c r="BB27" s="212"/>
      <c r="BC27" s="212"/>
      <c r="BD27" s="212"/>
      <c r="BE27" s="212"/>
      <c r="BF27" s="212"/>
      <c r="BG27" s="212"/>
      <c r="BH27" s="212"/>
      <c r="BI27" s="212"/>
    </row>
    <row r="28" spans="1:61" ht="24" customHeight="1">
      <c r="A28" s="218" t="s">
        <v>1953</v>
      </c>
      <c r="B28" s="218" t="s">
        <v>1946</v>
      </c>
      <c r="C28" s="229">
        <v>8.0000000000000002E-3</v>
      </c>
      <c r="D28" s="213" t="s">
        <v>1286</v>
      </c>
      <c r="E28" s="217">
        <v>0</v>
      </c>
      <c r="F28" s="217"/>
      <c r="G28" s="217">
        <f>노임!D7</f>
        <v>0</v>
      </c>
      <c r="H28" s="217">
        <f>TRUNC(G28*C28,0)</f>
        <v>0</v>
      </c>
      <c r="I28" s="217">
        <v>0</v>
      </c>
      <c r="J28" s="217"/>
      <c r="K28" s="217">
        <f>E28+G28+I28</f>
        <v>0</v>
      </c>
      <c r="L28" s="217">
        <f>F28+H28+J28</f>
        <v>0</v>
      </c>
      <c r="M28" s="215" t="s">
        <v>68</v>
      </c>
      <c r="N28" s="212" t="s">
        <v>68</v>
      </c>
      <c r="O28" s="212"/>
      <c r="P28" s="212" t="s">
        <v>1095</v>
      </c>
      <c r="Q28" s="212" t="s">
        <v>68</v>
      </c>
      <c r="R28" s="212" t="s">
        <v>1954</v>
      </c>
      <c r="S28" s="212"/>
      <c r="T28" s="212"/>
      <c r="U28" s="212"/>
      <c r="V28" s="212"/>
      <c r="W28" s="212"/>
      <c r="X28" s="212"/>
      <c r="Y28" s="212"/>
      <c r="Z28" s="212"/>
      <c r="AA28" s="220" t="s">
        <v>1955</v>
      </c>
      <c r="AB28" s="212">
        <f>호표!H28*0.02</f>
        <v>0</v>
      </c>
      <c r="AC28" s="220" t="s">
        <v>1956</v>
      </c>
      <c r="AD28" s="212">
        <f>$AB28</f>
        <v>0</v>
      </c>
      <c r="AE28" s="212"/>
      <c r="AF28" s="212"/>
      <c r="AG28" s="212"/>
      <c r="AH28" s="212"/>
      <c r="AI28" s="212"/>
      <c r="AJ28" s="212"/>
      <c r="AK28" s="212"/>
      <c r="AL28" s="212"/>
      <c r="AM28" s="212"/>
      <c r="AN28" s="212"/>
      <c r="AO28" s="212"/>
      <c r="AP28" s="212"/>
      <c r="AQ28" s="212"/>
      <c r="AR28" s="212"/>
      <c r="AS28" s="212"/>
      <c r="AT28" s="212"/>
      <c r="AU28" s="212"/>
      <c r="AV28" s="212"/>
      <c r="AW28" s="212"/>
      <c r="AX28" s="212"/>
      <c r="AY28" s="212"/>
      <c r="AZ28" s="212"/>
      <c r="BA28" s="212"/>
      <c r="BB28" s="212"/>
      <c r="BC28" s="212"/>
      <c r="BD28" s="212"/>
      <c r="BE28" s="212"/>
      <c r="BF28" s="212"/>
      <c r="BG28" s="212"/>
      <c r="BH28" s="212"/>
      <c r="BI28" s="231" t="str">
        <f>HYPERLINK("#노임!A7","L001010101000011 →")</f>
        <v>L001010101000011 →</v>
      </c>
    </row>
    <row r="29" spans="1:61" ht="24" customHeight="1">
      <c r="A29" s="218" t="s">
        <v>1957</v>
      </c>
      <c r="B29" s="218" t="s">
        <v>1958</v>
      </c>
      <c r="C29" s="228">
        <v>2</v>
      </c>
      <c r="D29" s="213" t="s">
        <v>1950</v>
      </c>
      <c r="E29" s="213"/>
      <c r="F29" s="217">
        <v>0</v>
      </c>
      <c r="G29" s="213"/>
      <c r="H29" s="217">
        <v>0</v>
      </c>
      <c r="I29" s="213"/>
      <c r="J29" s="217">
        <f>TRUNC((H28*0.02),0)</f>
        <v>0</v>
      </c>
      <c r="K29" s="217">
        <f>E29+G29+I29</f>
        <v>0</v>
      </c>
      <c r="L29" s="217">
        <f>F29+H29+J29</f>
        <v>0</v>
      </c>
      <c r="M29" s="215" t="s">
        <v>68</v>
      </c>
      <c r="N29" s="212" t="s">
        <v>68</v>
      </c>
      <c r="O29" s="212"/>
      <c r="P29" s="212" t="s">
        <v>1101</v>
      </c>
      <c r="Q29" s="212" t="s">
        <v>68</v>
      </c>
      <c r="R29" s="212" t="s">
        <v>1121</v>
      </c>
      <c r="S29" s="212"/>
      <c r="T29" s="212"/>
      <c r="U29" s="212"/>
      <c r="V29" s="212"/>
      <c r="W29" s="212"/>
      <c r="X29" s="212" t="s">
        <v>1959</v>
      </c>
      <c r="Y29" s="212"/>
      <c r="Z29" s="212"/>
      <c r="AA29" s="212"/>
      <c r="AB29" s="212"/>
      <c r="AC29" s="212"/>
      <c r="AD29" s="212"/>
      <c r="AE29" s="212"/>
      <c r="AF29" s="212"/>
      <c r="AG29" s="212"/>
      <c r="AH29" s="212"/>
      <c r="AI29" s="212"/>
      <c r="AJ29" s="212"/>
      <c r="AK29" s="212"/>
      <c r="AL29" s="212"/>
      <c r="AM29" s="212"/>
      <c r="AN29" s="212"/>
      <c r="AO29" s="212"/>
      <c r="AP29" s="212"/>
      <c r="AQ29" s="212"/>
      <c r="AR29" s="212"/>
      <c r="AS29" s="212"/>
      <c r="AT29" s="212"/>
      <c r="AU29" s="212"/>
      <c r="AV29" s="212"/>
      <c r="AW29" s="212"/>
      <c r="AX29" s="212"/>
      <c r="AY29" s="212"/>
      <c r="AZ29" s="212"/>
      <c r="BA29" s="212"/>
      <c r="BB29" s="212"/>
      <c r="BC29" s="212"/>
      <c r="BD29" s="212"/>
      <c r="BE29" s="212"/>
      <c r="BF29" s="212"/>
      <c r="BG29" s="212"/>
      <c r="BH29" s="212"/>
      <c r="BI29" s="212"/>
    </row>
    <row r="30" spans="1:61" ht="24" customHeight="1">
      <c r="A30" s="215"/>
      <c r="B30" s="215"/>
      <c r="C30" s="229"/>
      <c r="D30" s="213"/>
      <c r="E30" s="213"/>
      <c r="F30" s="213"/>
      <c r="G30" s="213"/>
      <c r="H30" s="213"/>
      <c r="I30" s="213"/>
      <c r="J30" s="213"/>
      <c r="K30" s="213"/>
      <c r="L30" s="213"/>
      <c r="M30" s="215"/>
      <c r="N30" s="212"/>
      <c r="O30" s="212"/>
      <c r="P30" s="212"/>
      <c r="Q30" s="212"/>
      <c r="R30" s="212"/>
      <c r="S30" s="212"/>
      <c r="T30" s="212"/>
      <c r="U30" s="212"/>
      <c r="V30" s="212"/>
      <c r="W30" s="212"/>
      <c r="X30" s="212"/>
      <c r="Y30" s="212"/>
      <c r="Z30" s="212"/>
      <c r="AA30" s="212"/>
      <c r="AB30" s="212"/>
      <c r="AC30" s="212"/>
      <c r="AD30" s="212"/>
      <c r="AE30" s="212"/>
      <c r="AF30" s="212"/>
      <c r="AG30" s="212"/>
      <c r="AH30" s="212"/>
      <c r="AI30" s="212"/>
      <c r="AJ30" s="212"/>
      <c r="AK30" s="212"/>
      <c r="AL30" s="212"/>
      <c r="AM30" s="212"/>
      <c r="AN30" s="212"/>
      <c r="AO30" s="212"/>
      <c r="AP30" s="212"/>
      <c r="AQ30" s="212"/>
      <c r="AR30" s="212"/>
      <c r="AS30" s="212"/>
      <c r="AT30" s="212"/>
      <c r="AU30" s="212"/>
      <c r="AV30" s="212"/>
      <c r="AW30" s="212"/>
      <c r="AX30" s="212"/>
      <c r="AY30" s="212"/>
      <c r="AZ30" s="212"/>
      <c r="BA30" s="212"/>
      <c r="BB30" s="212"/>
      <c r="BC30" s="212"/>
      <c r="BD30" s="212"/>
      <c r="BE30" s="212"/>
      <c r="BF30" s="212"/>
      <c r="BG30" s="212"/>
      <c r="BH30" s="212"/>
      <c r="BI30" s="212"/>
    </row>
    <row r="31" spans="1:61" ht="24" customHeight="1">
      <c r="A31" s="218" t="s">
        <v>1960</v>
      </c>
      <c r="B31" s="218" t="s">
        <v>1646</v>
      </c>
      <c r="C31" s="228">
        <v>1</v>
      </c>
      <c r="D31" s="213" t="s">
        <v>16</v>
      </c>
      <c r="E31" s="212"/>
      <c r="F31" s="217">
        <f>TRUNC(F32+F33+F34+F35+F36+F37,0)</f>
        <v>0</v>
      </c>
      <c r="G31" s="212"/>
      <c r="H31" s="217">
        <f>TRUNC(H32+H33+H34+H35+H36+H37,0)</f>
        <v>0</v>
      </c>
      <c r="I31" s="212"/>
      <c r="J31" s="217">
        <f>TRUNC(J32+J33+J34+J35+J36+J37,0)</f>
        <v>0</v>
      </c>
      <c r="K31" s="212"/>
      <c r="L31" s="217">
        <f t="shared" ref="L31:L37" si="3">F31+H31+J31</f>
        <v>0</v>
      </c>
      <c r="M31" s="215" t="s">
        <v>1647</v>
      </c>
      <c r="N31" s="212" t="s">
        <v>68</v>
      </c>
      <c r="O31" s="212" t="s">
        <v>1648</v>
      </c>
      <c r="P31" s="212"/>
      <c r="Q31" s="212"/>
      <c r="R31" s="212"/>
      <c r="S31" s="212"/>
      <c r="T31" s="212"/>
      <c r="U31" s="212"/>
      <c r="V31" s="212"/>
      <c r="W31" s="212"/>
      <c r="X31" s="212"/>
      <c r="Y31" s="212"/>
      <c r="Z31" s="212"/>
      <c r="AA31" s="212"/>
      <c r="AB31" s="212"/>
      <c r="AC31" s="212"/>
      <c r="AD31" s="212"/>
      <c r="AE31" s="212"/>
      <c r="AF31" s="212"/>
      <c r="AG31" s="212"/>
      <c r="AH31" s="212"/>
      <c r="AI31" s="212"/>
      <c r="AJ31" s="212"/>
      <c r="AK31" s="212"/>
      <c r="AL31" s="212"/>
      <c r="AM31" s="212"/>
      <c r="AN31" s="212"/>
      <c r="AO31" s="212"/>
      <c r="AP31" s="212"/>
      <c r="AQ31" s="212"/>
      <c r="AR31" s="212"/>
      <c r="AS31" s="212"/>
      <c r="AT31" s="212"/>
      <c r="AU31" s="212"/>
      <c r="AV31" s="212"/>
      <c r="AW31" s="212"/>
      <c r="AX31" s="212"/>
      <c r="AY31" s="212"/>
      <c r="AZ31" s="212"/>
      <c r="BA31" s="212"/>
      <c r="BB31" s="212"/>
      <c r="BC31" s="212"/>
      <c r="BD31" s="212"/>
      <c r="BE31" s="212"/>
      <c r="BF31" s="212"/>
      <c r="BG31" s="212"/>
      <c r="BH31" s="212"/>
      <c r="BI31" s="212"/>
    </row>
    <row r="32" spans="1:61" ht="24" customHeight="1">
      <c r="A32" s="218" t="s">
        <v>1961</v>
      </c>
      <c r="B32" s="218" t="s">
        <v>1946</v>
      </c>
      <c r="C32" s="229">
        <v>2.85</v>
      </c>
      <c r="D32" s="213" t="s">
        <v>1286</v>
      </c>
      <c r="E32" s="217">
        <v>0</v>
      </c>
      <c r="F32" s="217"/>
      <c r="G32" s="217">
        <f>노임!D6</f>
        <v>0</v>
      </c>
      <c r="H32" s="217">
        <f>TRUNC(G32*C32,0)</f>
        <v>0</v>
      </c>
      <c r="I32" s="217">
        <v>0</v>
      </c>
      <c r="J32" s="217"/>
      <c r="K32" s="217">
        <f t="shared" ref="K32:K37" si="4">E32+G32+I32</f>
        <v>0</v>
      </c>
      <c r="L32" s="217">
        <f t="shared" si="3"/>
        <v>0</v>
      </c>
      <c r="M32" s="215" t="s">
        <v>68</v>
      </c>
      <c r="N32" s="212" t="s">
        <v>68</v>
      </c>
      <c r="O32" s="212"/>
      <c r="P32" s="212" t="s">
        <v>1095</v>
      </c>
      <c r="Q32" s="212" t="s">
        <v>68</v>
      </c>
      <c r="R32" s="212" t="s">
        <v>1962</v>
      </c>
      <c r="S32" s="212"/>
      <c r="T32" s="212"/>
      <c r="U32" s="212"/>
      <c r="V32" s="212"/>
      <c r="W32" s="212"/>
      <c r="X32" s="212"/>
      <c r="Y32" s="212"/>
      <c r="Z32" s="212"/>
      <c r="AA32" s="212"/>
      <c r="AB32" s="212"/>
      <c r="AC32" s="212"/>
      <c r="AD32" s="212"/>
      <c r="AE32" s="212"/>
      <c r="AF32" s="212"/>
      <c r="AG32" s="212"/>
      <c r="AH32" s="212"/>
      <c r="AI32" s="212"/>
      <c r="AJ32" s="212"/>
      <c r="AK32" s="212"/>
      <c r="AL32" s="212"/>
      <c r="AM32" s="212"/>
      <c r="AN32" s="212"/>
      <c r="AO32" s="212"/>
      <c r="AP32" s="212"/>
      <c r="AQ32" s="212"/>
      <c r="AR32" s="212"/>
      <c r="AS32" s="212"/>
      <c r="AT32" s="212"/>
      <c r="AU32" s="212"/>
      <c r="AV32" s="212"/>
      <c r="AW32" s="212"/>
      <c r="AX32" s="212"/>
      <c r="AY32" s="212"/>
      <c r="AZ32" s="212"/>
      <c r="BA32" s="212"/>
      <c r="BB32" s="212"/>
      <c r="BC32" s="212"/>
      <c r="BD32" s="212"/>
      <c r="BE32" s="212"/>
      <c r="BF32" s="212"/>
      <c r="BG32" s="212"/>
      <c r="BH32" s="212"/>
      <c r="BI32" s="231" t="str">
        <f>HYPERLINK("#노임!A6","L001010101000009 →")</f>
        <v>L001010101000009 →</v>
      </c>
    </row>
    <row r="33" spans="1:61" ht="24" customHeight="1">
      <c r="A33" s="218" t="s">
        <v>1963</v>
      </c>
      <c r="B33" s="218" t="s">
        <v>1946</v>
      </c>
      <c r="C33" s="229">
        <v>1.04</v>
      </c>
      <c r="D33" s="213" t="s">
        <v>1286</v>
      </c>
      <c r="E33" s="217">
        <v>0</v>
      </c>
      <c r="F33" s="217"/>
      <c r="G33" s="217">
        <f>노임!D8</f>
        <v>0</v>
      </c>
      <c r="H33" s="217">
        <f>TRUNC(G33*C33,0)</f>
        <v>0</v>
      </c>
      <c r="I33" s="217">
        <v>0</v>
      </c>
      <c r="J33" s="217"/>
      <c r="K33" s="217">
        <f t="shared" si="4"/>
        <v>0</v>
      </c>
      <c r="L33" s="217">
        <f t="shared" si="3"/>
        <v>0</v>
      </c>
      <c r="M33" s="215" t="s">
        <v>68</v>
      </c>
      <c r="N33" s="212" t="s">
        <v>68</v>
      </c>
      <c r="O33" s="212"/>
      <c r="P33" s="212" t="s">
        <v>1098</v>
      </c>
      <c r="Q33" s="212" t="s">
        <v>68</v>
      </c>
      <c r="R33" s="212" t="s">
        <v>1964</v>
      </c>
      <c r="S33" s="212"/>
      <c r="T33" s="212"/>
      <c r="U33" s="212"/>
      <c r="V33" s="212"/>
      <c r="W33" s="212"/>
      <c r="X33" s="212"/>
      <c r="Y33" s="212"/>
      <c r="Z33" s="212"/>
      <c r="AA33" s="212"/>
      <c r="AB33" s="212"/>
      <c r="AC33" s="212"/>
      <c r="AD33" s="212"/>
      <c r="AE33" s="212"/>
      <c r="AF33" s="212"/>
      <c r="AG33" s="212"/>
      <c r="AH33" s="212"/>
      <c r="AI33" s="212"/>
      <c r="AJ33" s="212"/>
      <c r="AK33" s="212"/>
      <c r="AL33" s="212"/>
      <c r="AM33" s="212"/>
      <c r="AN33" s="212"/>
      <c r="AO33" s="212"/>
      <c r="AP33" s="212"/>
      <c r="AQ33" s="212"/>
      <c r="AR33" s="212"/>
      <c r="AS33" s="212"/>
      <c r="AT33" s="212"/>
      <c r="AU33" s="212"/>
      <c r="AV33" s="212"/>
      <c r="AW33" s="212"/>
      <c r="AX33" s="212"/>
      <c r="AY33" s="212"/>
      <c r="AZ33" s="212"/>
      <c r="BA33" s="212"/>
      <c r="BB33" s="212"/>
      <c r="BC33" s="212"/>
      <c r="BD33" s="212"/>
      <c r="BE33" s="212"/>
      <c r="BF33" s="212"/>
      <c r="BG33" s="212"/>
      <c r="BH33" s="212"/>
      <c r="BI33" s="231" t="str">
        <f>HYPERLINK("#노임!A8","L001010101000012 →")</f>
        <v>L001010101000012 →</v>
      </c>
    </row>
    <row r="34" spans="1:61" ht="24" customHeight="1">
      <c r="A34" s="218" t="s">
        <v>1965</v>
      </c>
      <c r="B34" s="218" t="s">
        <v>1946</v>
      </c>
      <c r="C34" s="229">
        <v>0.78</v>
      </c>
      <c r="D34" s="213" t="s">
        <v>1286</v>
      </c>
      <c r="E34" s="217">
        <v>0</v>
      </c>
      <c r="F34" s="217"/>
      <c r="G34" s="217">
        <f>노임!D4</f>
        <v>0</v>
      </c>
      <c r="H34" s="217">
        <f>TRUNC(G34*C34,0)</f>
        <v>0</v>
      </c>
      <c r="I34" s="217">
        <v>0</v>
      </c>
      <c r="J34" s="217"/>
      <c r="K34" s="217">
        <f t="shared" si="4"/>
        <v>0</v>
      </c>
      <c r="L34" s="217">
        <f t="shared" si="3"/>
        <v>0</v>
      </c>
      <c r="M34" s="215" t="s">
        <v>68</v>
      </c>
      <c r="N34" s="212" t="s">
        <v>68</v>
      </c>
      <c r="O34" s="212"/>
      <c r="P34" s="212" t="s">
        <v>1101</v>
      </c>
      <c r="Q34" s="212" t="s">
        <v>68</v>
      </c>
      <c r="R34" s="212" t="s">
        <v>1966</v>
      </c>
      <c r="S34" s="212"/>
      <c r="T34" s="212"/>
      <c r="U34" s="212"/>
      <c r="V34" s="212"/>
      <c r="W34" s="212"/>
      <c r="X34" s="212"/>
      <c r="Y34" s="212"/>
      <c r="Z34" s="212"/>
      <c r="AA34" s="212"/>
      <c r="AB34" s="212"/>
      <c r="AC34" s="212"/>
      <c r="AD34" s="212"/>
      <c r="AE34" s="212"/>
      <c r="AF34" s="212"/>
      <c r="AG34" s="212"/>
      <c r="AH34" s="212"/>
      <c r="AI34" s="212"/>
      <c r="AJ34" s="212"/>
      <c r="AK34" s="212"/>
      <c r="AL34" s="212"/>
      <c r="AM34" s="212"/>
      <c r="AN34" s="212"/>
      <c r="AO34" s="212"/>
      <c r="AP34" s="212"/>
      <c r="AQ34" s="212"/>
      <c r="AR34" s="212"/>
      <c r="AS34" s="212"/>
      <c r="AT34" s="212"/>
      <c r="AU34" s="212"/>
      <c r="AV34" s="212"/>
      <c r="AW34" s="212"/>
      <c r="AX34" s="212"/>
      <c r="AY34" s="212"/>
      <c r="AZ34" s="212"/>
      <c r="BA34" s="212"/>
      <c r="BB34" s="212"/>
      <c r="BC34" s="212"/>
      <c r="BD34" s="212"/>
      <c r="BE34" s="212"/>
      <c r="BF34" s="212"/>
      <c r="BG34" s="212"/>
      <c r="BH34" s="212"/>
      <c r="BI34" s="231" t="str">
        <f>HYPERLINK("#노임!A4","L001010101000003 →")</f>
        <v>L001010101000003 →</v>
      </c>
    </row>
    <row r="35" spans="1:61" ht="24" customHeight="1">
      <c r="A35" s="218" t="s">
        <v>1967</v>
      </c>
      <c r="B35" s="218" t="s">
        <v>1946</v>
      </c>
      <c r="C35" s="229">
        <v>0.52</v>
      </c>
      <c r="D35" s="213" t="s">
        <v>1286</v>
      </c>
      <c r="E35" s="217">
        <v>0</v>
      </c>
      <c r="F35" s="217"/>
      <c r="G35" s="217">
        <f>노임!D3</f>
        <v>0</v>
      </c>
      <c r="H35" s="217">
        <f>TRUNC(G35*C35,0)</f>
        <v>0</v>
      </c>
      <c r="I35" s="217">
        <v>0</v>
      </c>
      <c r="J35" s="217"/>
      <c r="K35" s="217">
        <f t="shared" si="4"/>
        <v>0</v>
      </c>
      <c r="L35" s="217">
        <f t="shared" si="3"/>
        <v>0</v>
      </c>
      <c r="M35" s="215" t="s">
        <v>68</v>
      </c>
      <c r="N35" s="212" t="s">
        <v>68</v>
      </c>
      <c r="O35" s="212"/>
      <c r="P35" s="212" t="s">
        <v>1104</v>
      </c>
      <c r="Q35" s="212" t="s">
        <v>68</v>
      </c>
      <c r="R35" s="212" t="s">
        <v>1968</v>
      </c>
      <c r="S35" s="212"/>
      <c r="T35" s="212"/>
      <c r="U35" s="212"/>
      <c r="V35" s="212"/>
      <c r="W35" s="212"/>
      <c r="X35" s="212"/>
      <c r="Y35" s="212"/>
      <c r="Z35" s="212"/>
      <c r="AA35" s="220" t="s">
        <v>1955</v>
      </c>
      <c r="AB35" s="212">
        <f>(호표!H32+호표!H33+호표!H34+호표!H35)*0.05</f>
        <v>0</v>
      </c>
      <c r="AC35" s="220" t="s">
        <v>1956</v>
      </c>
      <c r="AD35" s="212">
        <f>$AB35</f>
        <v>0</v>
      </c>
      <c r="AE35" s="212"/>
      <c r="AF35" s="212"/>
      <c r="AG35" s="212"/>
      <c r="AH35" s="212"/>
      <c r="AI35" s="212"/>
      <c r="AJ35" s="212"/>
      <c r="AK35" s="212"/>
      <c r="AL35" s="212"/>
      <c r="AM35" s="212"/>
      <c r="AN35" s="212"/>
      <c r="AO35" s="212"/>
      <c r="AP35" s="212"/>
      <c r="AQ35" s="212"/>
      <c r="AR35" s="212"/>
      <c r="AS35" s="212"/>
      <c r="AT35" s="212"/>
      <c r="AU35" s="212"/>
      <c r="AV35" s="212"/>
      <c r="AW35" s="212"/>
      <c r="AX35" s="212"/>
      <c r="AY35" s="212"/>
      <c r="AZ35" s="212"/>
      <c r="BA35" s="212"/>
      <c r="BB35" s="212"/>
      <c r="BC35" s="212"/>
      <c r="BD35" s="212"/>
      <c r="BE35" s="212"/>
      <c r="BF35" s="212"/>
      <c r="BG35" s="212"/>
      <c r="BH35" s="212"/>
      <c r="BI35" s="231" t="str">
        <f>HYPERLINK("#노임!A3","L001010101000002 →")</f>
        <v>L001010101000002 →</v>
      </c>
    </row>
    <row r="36" spans="1:61" ht="24" customHeight="1">
      <c r="A36" s="218" t="s">
        <v>1948</v>
      </c>
      <c r="B36" s="218" t="s">
        <v>1969</v>
      </c>
      <c r="C36" s="228">
        <v>5</v>
      </c>
      <c r="D36" s="213" t="s">
        <v>1950</v>
      </c>
      <c r="E36" s="213"/>
      <c r="F36" s="217">
        <v>0</v>
      </c>
      <c r="G36" s="213"/>
      <c r="H36" s="217">
        <v>0</v>
      </c>
      <c r="I36" s="213"/>
      <c r="J36" s="217">
        <f>TRUNC(((H32+H33+H34+H35)*0.05),0)</f>
        <v>0</v>
      </c>
      <c r="K36" s="217">
        <f t="shared" si="4"/>
        <v>0</v>
      </c>
      <c r="L36" s="217">
        <f t="shared" si="3"/>
        <v>0</v>
      </c>
      <c r="M36" s="215" t="s">
        <v>68</v>
      </c>
      <c r="N36" s="212" t="s">
        <v>68</v>
      </c>
      <c r="O36" s="212"/>
      <c r="P36" s="212" t="s">
        <v>1107</v>
      </c>
      <c r="Q36" s="212" t="s">
        <v>68</v>
      </c>
      <c r="R36" s="212" t="s">
        <v>1121</v>
      </c>
      <c r="S36" s="212"/>
      <c r="T36" s="212"/>
      <c r="U36" s="212"/>
      <c r="V36" s="212"/>
      <c r="W36" s="212"/>
      <c r="X36" s="212" t="s">
        <v>1970</v>
      </c>
      <c r="Y36" s="212"/>
      <c r="Z36" s="212"/>
      <c r="AA36" s="220" t="s">
        <v>1117</v>
      </c>
      <c r="AB36" s="212">
        <f>(호표!H32+호표!H33+호표!H34+호표!H35)*0.03</f>
        <v>0</v>
      </c>
      <c r="AC36" s="220" t="s">
        <v>1118</v>
      </c>
      <c r="AD36" s="212">
        <f>$AB36</f>
        <v>0</v>
      </c>
      <c r="AE36" s="212"/>
      <c r="AF36" s="212"/>
      <c r="AG36" s="212"/>
      <c r="AH36" s="212"/>
      <c r="AI36" s="212"/>
      <c r="AJ36" s="212"/>
      <c r="AK36" s="212"/>
      <c r="AL36" s="212"/>
      <c r="AM36" s="212"/>
      <c r="AN36" s="212"/>
      <c r="AO36" s="212"/>
      <c r="AP36" s="212"/>
      <c r="AQ36" s="212"/>
      <c r="AR36" s="212"/>
      <c r="AS36" s="212"/>
      <c r="AT36" s="212"/>
      <c r="AU36" s="212"/>
      <c r="AV36" s="212"/>
      <c r="AW36" s="212"/>
      <c r="AX36" s="212"/>
      <c r="AY36" s="212"/>
      <c r="AZ36" s="212"/>
      <c r="BA36" s="212"/>
      <c r="BB36" s="212"/>
      <c r="BC36" s="212"/>
      <c r="BD36" s="212"/>
      <c r="BE36" s="212"/>
      <c r="BF36" s="212"/>
      <c r="BG36" s="212"/>
      <c r="BH36" s="212"/>
      <c r="BI36" s="212"/>
    </row>
    <row r="37" spans="1:61" ht="24" customHeight="1">
      <c r="A37" s="218" t="s">
        <v>1971</v>
      </c>
      <c r="B37" s="218" t="s">
        <v>1949</v>
      </c>
      <c r="C37" s="228">
        <v>3</v>
      </c>
      <c r="D37" s="213" t="s">
        <v>1950</v>
      </c>
      <c r="E37" s="213"/>
      <c r="F37" s="217">
        <f>TRUNC(((H32+H33+H34+H35)*0.03),0)</f>
        <v>0</v>
      </c>
      <c r="G37" s="213"/>
      <c r="H37" s="217">
        <v>0</v>
      </c>
      <c r="I37" s="213"/>
      <c r="J37" s="217">
        <v>0</v>
      </c>
      <c r="K37" s="217">
        <f t="shared" si="4"/>
        <v>0</v>
      </c>
      <c r="L37" s="217">
        <f t="shared" si="3"/>
        <v>0</v>
      </c>
      <c r="M37" s="215" t="s">
        <v>68</v>
      </c>
      <c r="N37" s="212" t="s">
        <v>68</v>
      </c>
      <c r="O37" s="212"/>
      <c r="P37" s="212" t="s">
        <v>1108</v>
      </c>
      <c r="Q37" s="212" t="s">
        <v>68</v>
      </c>
      <c r="R37" s="212" t="s">
        <v>1121</v>
      </c>
      <c r="S37" s="212"/>
      <c r="T37" s="212"/>
      <c r="U37" s="212"/>
      <c r="V37" s="212"/>
      <c r="W37" s="212"/>
      <c r="X37" s="212" t="s">
        <v>1972</v>
      </c>
      <c r="Y37" s="212"/>
      <c r="Z37" s="212"/>
      <c r="AA37" s="212"/>
      <c r="AB37" s="212"/>
      <c r="AC37" s="212"/>
      <c r="AD37" s="212"/>
      <c r="AE37" s="212"/>
      <c r="AF37" s="212"/>
      <c r="AG37" s="212"/>
      <c r="AH37" s="212"/>
      <c r="AI37" s="212"/>
      <c r="AJ37" s="212"/>
      <c r="AK37" s="212"/>
      <c r="AL37" s="212"/>
      <c r="AM37" s="212"/>
      <c r="AN37" s="212"/>
      <c r="AO37" s="212"/>
      <c r="AP37" s="212"/>
      <c r="AQ37" s="212"/>
      <c r="AR37" s="212"/>
      <c r="AS37" s="212"/>
      <c r="AT37" s="212"/>
      <c r="AU37" s="212"/>
      <c r="AV37" s="212"/>
      <c r="AW37" s="212"/>
      <c r="AX37" s="212"/>
      <c r="AY37" s="212"/>
      <c r="AZ37" s="212"/>
      <c r="BA37" s="212"/>
      <c r="BB37" s="212"/>
      <c r="BC37" s="212"/>
      <c r="BD37" s="212"/>
      <c r="BE37" s="212"/>
      <c r="BF37" s="212"/>
      <c r="BG37" s="212"/>
      <c r="BH37" s="212"/>
      <c r="BI37" s="212"/>
    </row>
    <row r="38" spans="1:61" ht="24" customHeight="1">
      <c r="A38" s="215"/>
      <c r="B38" s="215"/>
      <c r="C38" s="229"/>
      <c r="D38" s="213"/>
      <c r="E38" s="213"/>
      <c r="F38" s="213"/>
      <c r="G38" s="213"/>
      <c r="H38" s="213"/>
      <c r="I38" s="213"/>
      <c r="J38" s="213"/>
      <c r="K38" s="213"/>
      <c r="L38" s="213"/>
      <c r="M38" s="215"/>
      <c r="N38" s="212"/>
      <c r="O38" s="212"/>
      <c r="P38" s="212"/>
      <c r="Q38" s="212"/>
      <c r="R38" s="212"/>
      <c r="S38" s="212"/>
      <c r="T38" s="212"/>
      <c r="U38" s="212"/>
      <c r="V38" s="212"/>
      <c r="W38" s="212"/>
      <c r="X38" s="212"/>
      <c r="Y38" s="212"/>
      <c r="Z38" s="212"/>
      <c r="AA38" s="212"/>
      <c r="AB38" s="212"/>
      <c r="AC38" s="212"/>
      <c r="AD38" s="212"/>
      <c r="AE38" s="212"/>
      <c r="AF38" s="212"/>
      <c r="AG38" s="212"/>
      <c r="AH38" s="212"/>
      <c r="AI38" s="212"/>
      <c r="AJ38" s="212"/>
      <c r="AK38" s="212"/>
      <c r="AL38" s="212"/>
      <c r="AM38" s="212"/>
      <c r="AN38" s="212"/>
      <c r="AO38" s="212"/>
      <c r="AP38" s="212"/>
      <c r="AQ38" s="212"/>
      <c r="AR38" s="212"/>
      <c r="AS38" s="212"/>
      <c r="AT38" s="212"/>
      <c r="AU38" s="212"/>
      <c r="AV38" s="212"/>
      <c r="AW38" s="212"/>
      <c r="AX38" s="212"/>
      <c r="AY38" s="212"/>
      <c r="AZ38" s="212"/>
      <c r="BA38" s="212"/>
      <c r="BB38" s="212"/>
      <c r="BC38" s="212"/>
      <c r="BD38" s="212"/>
      <c r="BE38" s="212"/>
      <c r="BF38" s="212"/>
      <c r="BG38" s="212"/>
      <c r="BH38" s="212"/>
      <c r="BI38" s="212"/>
    </row>
    <row r="39" spans="1:61" ht="24" customHeight="1">
      <c r="A39" s="218" t="s">
        <v>1973</v>
      </c>
      <c r="B39" s="218" t="s">
        <v>1650</v>
      </c>
      <c r="C39" s="228">
        <v>1</v>
      </c>
      <c r="D39" s="213" t="s">
        <v>1412</v>
      </c>
      <c r="E39" s="212"/>
      <c r="F39" s="217">
        <f>TRUNC(F40+F41+F42,0)</f>
        <v>0</v>
      </c>
      <c r="G39" s="212"/>
      <c r="H39" s="217">
        <f>TRUNC(H40+H41+H42,0)</f>
        <v>0</v>
      </c>
      <c r="I39" s="212"/>
      <c r="J39" s="217">
        <f>TRUNC(J40+J41+J42,0)</f>
        <v>0</v>
      </c>
      <c r="K39" s="212"/>
      <c r="L39" s="217">
        <f>F39+H39+J39</f>
        <v>0</v>
      </c>
      <c r="M39" s="215" t="s">
        <v>1651</v>
      </c>
      <c r="N39" s="212" t="s">
        <v>68</v>
      </c>
      <c r="O39" s="212" t="s">
        <v>1652</v>
      </c>
      <c r="P39" s="212"/>
      <c r="Q39" s="212"/>
      <c r="R39" s="212"/>
      <c r="S39" s="212"/>
      <c r="T39" s="212"/>
      <c r="U39" s="212"/>
      <c r="V39" s="212"/>
      <c r="W39" s="212"/>
      <c r="X39" s="212"/>
      <c r="Y39" s="212"/>
      <c r="Z39" s="212"/>
      <c r="AA39" s="212"/>
      <c r="AB39" s="212"/>
      <c r="AC39" s="212"/>
      <c r="AD39" s="212"/>
      <c r="AE39" s="212"/>
      <c r="AF39" s="212"/>
      <c r="AG39" s="212"/>
      <c r="AH39" s="212"/>
      <c r="AI39" s="212"/>
      <c r="AJ39" s="212"/>
      <c r="AK39" s="212"/>
      <c r="AL39" s="212"/>
      <c r="AM39" s="212"/>
      <c r="AN39" s="212"/>
      <c r="AO39" s="212"/>
      <c r="AP39" s="212"/>
      <c r="AQ39" s="212"/>
      <c r="AR39" s="212"/>
      <c r="AS39" s="212"/>
      <c r="AT39" s="212"/>
      <c r="AU39" s="212"/>
      <c r="AV39" s="212"/>
      <c r="AW39" s="212"/>
      <c r="AX39" s="212"/>
      <c r="AY39" s="212"/>
      <c r="AZ39" s="212"/>
      <c r="BA39" s="212"/>
      <c r="BB39" s="212"/>
      <c r="BC39" s="212"/>
      <c r="BD39" s="212"/>
      <c r="BE39" s="212"/>
      <c r="BF39" s="212"/>
      <c r="BG39" s="212"/>
      <c r="BH39" s="212"/>
      <c r="BI39" s="212"/>
    </row>
    <row r="40" spans="1:61" ht="24" customHeight="1">
      <c r="A40" s="218" t="s">
        <v>1953</v>
      </c>
      <c r="B40" s="218" t="s">
        <v>1946</v>
      </c>
      <c r="C40" s="229">
        <v>0.05</v>
      </c>
      <c r="D40" s="213" t="s">
        <v>1286</v>
      </c>
      <c r="E40" s="217">
        <v>0</v>
      </c>
      <c r="F40" s="217"/>
      <c r="G40" s="217">
        <f>노임!D7</f>
        <v>0</v>
      </c>
      <c r="H40" s="217">
        <f>TRUNC(G40*C40,0)</f>
        <v>0</v>
      </c>
      <c r="I40" s="217">
        <v>0</v>
      </c>
      <c r="J40" s="217"/>
      <c r="K40" s="217">
        <f>E40+G40+I40</f>
        <v>0</v>
      </c>
      <c r="L40" s="217">
        <f>F40+H40+J40</f>
        <v>0</v>
      </c>
      <c r="M40" s="215" t="s">
        <v>68</v>
      </c>
      <c r="N40" s="212" t="s">
        <v>68</v>
      </c>
      <c r="O40" s="212"/>
      <c r="P40" s="212" t="s">
        <v>1095</v>
      </c>
      <c r="Q40" s="212" t="s">
        <v>68</v>
      </c>
      <c r="R40" s="212" t="s">
        <v>1954</v>
      </c>
      <c r="S40" s="212"/>
      <c r="T40" s="212"/>
      <c r="U40" s="212"/>
      <c r="V40" s="212"/>
      <c r="W40" s="212"/>
      <c r="X40" s="212"/>
      <c r="Y40" s="212"/>
      <c r="Z40" s="212"/>
      <c r="AA40" s="212"/>
      <c r="AB40" s="212"/>
      <c r="AC40" s="212"/>
      <c r="AD40" s="212"/>
      <c r="AE40" s="212"/>
      <c r="AF40" s="212"/>
      <c r="AG40" s="212"/>
      <c r="AH40" s="212"/>
      <c r="AI40" s="212"/>
      <c r="AJ40" s="212"/>
      <c r="AK40" s="212"/>
      <c r="AL40" s="212"/>
      <c r="AM40" s="212"/>
      <c r="AN40" s="212"/>
      <c r="AO40" s="212"/>
      <c r="AP40" s="212"/>
      <c r="AQ40" s="212"/>
      <c r="AR40" s="212"/>
      <c r="AS40" s="212"/>
      <c r="AT40" s="212"/>
      <c r="AU40" s="212"/>
      <c r="AV40" s="212"/>
      <c r="AW40" s="212"/>
      <c r="AX40" s="212"/>
      <c r="AY40" s="212"/>
      <c r="AZ40" s="212"/>
      <c r="BA40" s="212"/>
      <c r="BB40" s="212"/>
      <c r="BC40" s="212"/>
      <c r="BD40" s="212"/>
      <c r="BE40" s="212"/>
      <c r="BF40" s="212"/>
      <c r="BG40" s="212"/>
      <c r="BH40" s="212"/>
      <c r="BI40" s="231" t="str">
        <f>HYPERLINK("#노임!A7","L001010101000011 →")</f>
        <v>L001010101000011 →</v>
      </c>
    </row>
    <row r="41" spans="1:61" ht="24" customHeight="1">
      <c r="A41" s="218" t="s">
        <v>1965</v>
      </c>
      <c r="B41" s="218" t="s">
        <v>1946</v>
      </c>
      <c r="C41" s="229">
        <v>0.02</v>
      </c>
      <c r="D41" s="213" t="s">
        <v>1286</v>
      </c>
      <c r="E41" s="217">
        <v>0</v>
      </c>
      <c r="F41" s="217"/>
      <c r="G41" s="217">
        <f>노임!D4</f>
        <v>0</v>
      </c>
      <c r="H41" s="217">
        <f>TRUNC(G41*C41,0)</f>
        <v>0</v>
      </c>
      <c r="I41" s="217">
        <v>0</v>
      </c>
      <c r="J41" s="217"/>
      <c r="K41" s="217">
        <f>E41+G41+I41</f>
        <v>0</v>
      </c>
      <c r="L41" s="217">
        <f>F41+H41+J41</f>
        <v>0</v>
      </c>
      <c r="M41" s="215" t="s">
        <v>68</v>
      </c>
      <c r="N41" s="212" t="s">
        <v>68</v>
      </c>
      <c r="O41" s="212"/>
      <c r="P41" s="212" t="s">
        <v>1098</v>
      </c>
      <c r="Q41" s="212" t="s">
        <v>68</v>
      </c>
      <c r="R41" s="212" t="s">
        <v>1966</v>
      </c>
      <c r="S41" s="212"/>
      <c r="T41" s="212"/>
      <c r="U41" s="212"/>
      <c r="V41" s="212"/>
      <c r="W41" s="212"/>
      <c r="X41" s="212"/>
      <c r="Y41" s="212"/>
      <c r="Z41" s="212"/>
      <c r="AA41" s="220" t="s">
        <v>1955</v>
      </c>
      <c r="AB41" s="212">
        <f>(호표!H40+호표!H41)*0.02</f>
        <v>0</v>
      </c>
      <c r="AC41" s="220" t="s">
        <v>1956</v>
      </c>
      <c r="AD41" s="212">
        <f>$AB41</f>
        <v>0</v>
      </c>
      <c r="AE41" s="212"/>
      <c r="AF41" s="212"/>
      <c r="AG41" s="212"/>
      <c r="AH41" s="212"/>
      <c r="AI41" s="212"/>
      <c r="AJ41" s="212"/>
      <c r="AK41" s="212"/>
      <c r="AL41" s="212"/>
      <c r="AM41" s="212"/>
      <c r="AN41" s="212"/>
      <c r="AO41" s="212"/>
      <c r="AP41" s="212"/>
      <c r="AQ41" s="212"/>
      <c r="AR41" s="212"/>
      <c r="AS41" s="212"/>
      <c r="AT41" s="212"/>
      <c r="AU41" s="212"/>
      <c r="AV41" s="212"/>
      <c r="AW41" s="212"/>
      <c r="AX41" s="212"/>
      <c r="AY41" s="212"/>
      <c r="AZ41" s="212"/>
      <c r="BA41" s="212"/>
      <c r="BB41" s="212"/>
      <c r="BC41" s="212"/>
      <c r="BD41" s="212"/>
      <c r="BE41" s="212"/>
      <c r="BF41" s="212"/>
      <c r="BG41" s="212"/>
      <c r="BH41" s="212"/>
      <c r="BI41" s="231" t="str">
        <f>HYPERLINK("#노임!A4","L001010101000003 →")</f>
        <v>L001010101000003 →</v>
      </c>
    </row>
    <row r="42" spans="1:61" ht="24" customHeight="1">
      <c r="A42" s="218" t="s">
        <v>1974</v>
      </c>
      <c r="B42" s="218" t="s">
        <v>1958</v>
      </c>
      <c r="C42" s="228">
        <v>2</v>
      </c>
      <c r="D42" s="213" t="s">
        <v>1950</v>
      </c>
      <c r="E42" s="213"/>
      <c r="F42" s="217">
        <v>0</v>
      </c>
      <c r="G42" s="213"/>
      <c r="H42" s="217">
        <v>0</v>
      </c>
      <c r="I42" s="213"/>
      <c r="J42" s="217">
        <f>TRUNC(((H40+H41)*0.02),0)</f>
        <v>0</v>
      </c>
      <c r="K42" s="217">
        <f>E42+G42+I42</f>
        <v>0</v>
      </c>
      <c r="L42" s="217">
        <f>F42+H42+J42</f>
        <v>0</v>
      </c>
      <c r="M42" s="215" t="s">
        <v>68</v>
      </c>
      <c r="N42" s="212" t="s">
        <v>68</v>
      </c>
      <c r="O42" s="212"/>
      <c r="P42" s="212" t="s">
        <v>1101</v>
      </c>
      <c r="Q42" s="212" t="s">
        <v>68</v>
      </c>
      <c r="R42" s="212" t="s">
        <v>1121</v>
      </c>
      <c r="S42" s="212"/>
      <c r="T42" s="212"/>
      <c r="U42" s="212"/>
      <c r="V42" s="212"/>
      <c r="W42" s="212"/>
      <c r="X42" s="212" t="s">
        <v>1975</v>
      </c>
      <c r="Y42" s="212"/>
      <c r="Z42" s="212"/>
      <c r="AA42" s="212"/>
      <c r="AB42" s="212"/>
      <c r="AC42" s="212"/>
      <c r="AD42" s="212"/>
      <c r="AE42" s="212"/>
      <c r="AF42" s="212"/>
      <c r="AG42" s="212"/>
      <c r="AH42" s="212"/>
      <c r="AI42" s="212"/>
      <c r="AJ42" s="212"/>
      <c r="AK42" s="212"/>
      <c r="AL42" s="212"/>
      <c r="AM42" s="212"/>
      <c r="AN42" s="212"/>
      <c r="AO42" s="212"/>
      <c r="AP42" s="212"/>
      <c r="AQ42" s="212"/>
      <c r="AR42" s="212"/>
      <c r="AS42" s="212"/>
      <c r="AT42" s="212"/>
      <c r="AU42" s="212"/>
      <c r="AV42" s="212"/>
      <c r="AW42" s="212"/>
      <c r="AX42" s="212"/>
      <c r="AY42" s="212"/>
      <c r="AZ42" s="212"/>
      <c r="BA42" s="212"/>
      <c r="BB42" s="212"/>
      <c r="BC42" s="212"/>
      <c r="BD42" s="212"/>
      <c r="BE42" s="212"/>
      <c r="BF42" s="212"/>
      <c r="BG42" s="212"/>
      <c r="BH42" s="212"/>
      <c r="BI42" s="212"/>
    </row>
    <row r="43" spans="1:61" ht="24" customHeight="1">
      <c r="A43" s="215"/>
      <c r="B43" s="215"/>
      <c r="C43" s="229"/>
      <c r="D43" s="213"/>
      <c r="E43" s="213"/>
      <c r="F43" s="213"/>
      <c r="G43" s="213"/>
      <c r="H43" s="213"/>
      <c r="I43" s="213"/>
      <c r="J43" s="213"/>
      <c r="K43" s="213"/>
      <c r="L43" s="213"/>
      <c r="M43" s="215"/>
      <c r="N43" s="212"/>
      <c r="O43" s="212"/>
      <c r="P43" s="212"/>
      <c r="Q43" s="212"/>
      <c r="R43" s="212"/>
      <c r="S43" s="212"/>
      <c r="T43" s="212"/>
      <c r="U43" s="212"/>
      <c r="V43" s="212"/>
      <c r="W43" s="212"/>
      <c r="X43" s="212"/>
      <c r="Y43" s="212"/>
      <c r="Z43" s="212"/>
      <c r="AA43" s="212"/>
      <c r="AB43" s="212"/>
      <c r="AC43" s="212"/>
      <c r="AD43" s="212"/>
      <c r="AE43" s="212"/>
      <c r="AF43" s="212"/>
      <c r="AG43" s="212"/>
      <c r="AH43" s="212"/>
      <c r="AI43" s="212"/>
      <c r="AJ43" s="212"/>
      <c r="AK43" s="212"/>
      <c r="AL43" s="212"/>
      <c r="AM43" s="212"/>
      <c r="AN43" s="212"/>
      <c r="AO43" s="212"/>
      <c r="AP43" s="212"/>
      <c r="AQ43" s="212"/>
      <c r="AR43" s="212"/>
      <c r="AS43" s="212"/>
      <c r="AT43" s="212"/>
      <c r="AU43" s="212"/>
      <c r="AV43" s="212"/>
      <c r="AW43" s="212"/>
      <c r="AX43" s="212"/>
      <c r="AY43" s="212"/>
      <c r="AZ43" s="212"/>
      <c r="BA43" s="212"/>
      <c r="BB43" s="212"/>
      <c r="BC43" s="212"/>
      <c r="BD43" s="212"/>
      <c r="BE43" s="212"/>
      <c r="BF43" s="212"/>
      <c r="BG43" s="212"/>
      <c r="BH43" s="212"/>
      <c r="BI43" s="212"/>
    </row>
    <row r="44" spans="1:61" ht="24" customHeight="1">
      <c r="A44" s="218" t="s">
        <v>1976</v>
      </c>
      <c r="B44" s="218" t="s">
        <v>68</v>
      </c>
      <c r="C44" s="228">
        <v>1</v>
      </c>
      <c r="D44" s="213" t="s">
        <v>1033</v>
      </c>
      <c r="E44" s="212"/>
      <c r="F44" s="217">
        <f>TRUNC(F45+F46+F47+F48,0)</f>
        <v>0</v>
      </c>
      <c r="G44" s="212"/>
      <c r="H44" s="217">
        <f>TRUNC(H45+H46+H47+H48,0)</f>
        <v>0</v>
      </c>
      <c r="I44" s="212"/>
      <c r="J44" s="217">
        <f>TRUNC(J45+J46+J47+J48,0)</f>
        <v>0</v>
      </c>
      <c r="K44" s="212"/>
      <c r="L44" s="217">
        <f>F44+H44+J44</f>
        <v>0</v>
      </c>
      <c r="M44" s="215" t="s">
        <v>1654</v>
      </c>
      <c r="N44" s="212" t="s">
        <v>68</v>
      </c>
      <c r="O44" s="212" t="s">
        <v>1655</v>
      </c>
      <c r="P44" s="212"/>
      <c r="Q44" s="212"/>
      <c r="R44" s="212"/>
      <c r="S44" s="212"/>
      <c r="T44" s="212"/>
      <c r="U44" s="212"/>
      <c r="V44" s="212"/>
      <c r="W44" s="212"/>
      <c r="X44" s="212"/>
      <c r="Y44" s="212"/>
      <c r="Z44" s="212"/>
      <c r="AA44" s="212"/>
      <c r="AB44" s="212"/>
      <c r="AC44" s="212"/>
      <c r="AD44" s="212"/>
      <c r="AE44" s="212"/>
      <c r="AF44" s="212"/>
      <c r="AG44" s="212"/>
      <c r="AH44" s="212"/>
      <c r="AI44" s="212"/>
      <c r="AJ44" s="212"/>
      <c r="AK44" s="212"/>
      <c r="AL44" s="212"/>
      <c r="AM44" s="212"/>
      <c r="AN44" s="212"/>
      <c r="AO44" s="212"/>
      <c r="AP44" s="212"/>
      <c r="AQ44" s="212"/>
      <c r="AR44" s="212"/>
      <c r="AS44" s="212"/>
      <c r="AT44" s="212"/>
      <c r="AU44" s="212"/>
      <c r="AV44" s="212"/>
      <c r="AW44" s="212"/>
      <c r="AX44" s="212"/>
      <c r="AY44" s="212"/>
      <c r="AZ44" s="212"/>
      <c r="BA44" s="212"/>
      <c r="BB44" s="212"/>
      <c r="BC44" s="212"/>
      <c r="BD44" s="212"/>
      <c r="BE44" s="212"/>
      <c r="BF44" s="212"/>
      <c r="BG44" s="212"/>
      <c r="BH44" s="212"/>
      <c r="BI44" s="212"/>
    </row>
    <row r="45" spans="1:61" ht="24" customHeight="1">
      <c r="A45" s="218" t="s">
        <v>1977</v>
      </c>
      <c r="B45" s="218" t="s">
        <v>1978</v>
      </c>
      <c r="C45" s="228">
        <v>1</v>
      </c>
      <c r="D45" s="213" t="s">
        <v>1979</v>
      </c>
      <c r="E45" s="217">
        <f>자재조서!E17</f>
        <v>0</v>
      </c>
      <c r="F45" s="217">
        <f>TRUNC(E45*C45,0)</f>
        <v>0</v>
      </c>
      <c r="G45" s="217">
        <v>0</v>
      </c>
      <c r="H45" s="217"/>
      <c r="I45" s="217">
        <v>0</v>
      </c>
      <c r="J45" s="217"/>
      <c r="K45" s="217">
        <f>E45+G45+I45</f>
        <v>0</v>
      </c>
      <c r="L45" s="217">
        <f>F45+H45+J45</f>
        <v>0</v>
      </c>
      <c r="M45" s="215" t="s">
        <v>68</v>
      </c>
      <c r="N45" s="212" t="s">
        <v>68</v>
      </c>
      <c r="O45" s="212"/>
      <c r="P45" s="212" t="s">
        <v>1095</v>
      </c>
      <c r="Q45" s="212" t="s">
        <v>68</v>
      </c>
      <c r="R45" s="212" t="s">
        <v>1980</v>
      </c>
      <c r="S45" s="212"/>
      <c r="T45" s="212"/>
      <c r="U45" s="212"/>
      <c r="V45" s="212"/>
      <c r="W45" s="212"/>
      <c r="X45" s="212"/>
      <c r="Y45" s="212"/>
      <c r="Z45" s="212"/>
      <c r="AA45" s="212"/>
      <c r="AB45" s="212"/>
      <c r="AC45" s="212"/>
      <c r="AD45" s="212"/>
      <c r="AE45" s="212"/>
      <c r="AF45" s="212"/>
      <c r="AG45" s="212"/>
      <c r="AH45" s="212"/>
      <c r="AI45" s="212"/>
      <c r="AJ45" s="212"/>
      <c r="AK45" s="212"/>
      <c r="AL45" s="212"/>
      <c r="AM45" s="212"/>
      <c r="AN45" s="212"/>
      <c r="AO45" s="212"/>
      <c r="AP45" s="212"/>
      <c r="AQ45" s="212"/>
      <c r="AR45" s="212"/>
      <c r="AS45" s="212"/>
      <c r="AT45" s="212"/>
      <c r="AU45" s="212"/>
      <c r="AV45" s="212"/>
      <c r="AW45" s="212"/>
      <c r="AX45" s="212"/>
      <c r="AY45" s="212"/>
      <c r="AZ45" s="212"/>
      <c r="BA45" s="212"/>
      <c r="BB45" s="212"/>
      <c r="BC45" s="212"/>
      <c r="BD45" s="212"/>
      <c r="BE45" s="212"/>
      <c r="BF45" s="212"/>
      <c r="BG45" s="212"/>
      <c r="BH45" s="212"/>
      <c r="BI45" s="231" t="str">
        <f>HYPERLINK("#자재조서!A17","M3121003 →")</f>
        <v>M3121003 →</v>
      </c>
    </row>
    <row r="46" spans="1:61" ht="24" customHeight="1">
      <c r="A46" s="218" t="s">
        <v>1965</v>
      </c>
      <c r="B46" s="218" t="s">
        <v>1946</v>
      </c>
      <c r="C46" s="229">
        <v>4.3400000000000001E-2</v>
      </c>
      <c r="D46" s="213" t="s">
        <v>1286</v>
      </c>
      <c r="E46" s="217">
        <v>0</v>
      </c>
      <c r="F46" s="217"/>
      <c r="G46" s="217">
        <f>노임!D4</f>
        <v>0</v>
      </c>
      <c r="H46" s="217">
        <f>TRUNC(G46*C46,0)</f>
        <v>0</v>
      </c>
      <c r="I46" s="217">
        <v>0</v>
      </c>
      <c r="J46" s="217"/>
      <c r="K46" s="217">
        <f>E46+G46+I46</f>
        <v>0</v>
      </c>
      <c r="L46" s="217">
        <f>F46+H46+J46</f>
        <v>0</v>
      </c>
      <c r="M46" s="215" t="s">
        <v>68</v>
      </c>
      <c r="N46" s="212" t="s">
        <v>68</v>
      </c>
      <c r="O46" s="212"/>
      <c r="P46" s="212" t="s">
        <v>1098</v>
      </c>
      <c r="Q46" s="212" t="s">
        <v>68</v>
      </c>
      <c r="R46" s="212" t="s">
        <v>1966</v>
      </c>
      <c r="S46" s="212"/>
      <c r="T46" s="212"/>
      <c r="U46" s="212"/>
      <c r="V46" s="212"/>
      <c r="W46" s="212"/>
      <c r="X46" s="212"/>
      <c r="Y46" s="212"/>
      <c r="Z46" s="212"/>
      <c r="AA46" s="212"/>
      <c r="AB46" s="212"/>
      <c r="AC46" s="212"/>
      <c r="AD46" s="212"/>
      <c r="AE46" s="212"/>
      <c r="AF46" s="212"/>
      <c r="AG46" s="212"/>
      <c r="AH46" s="212"/>
      <c r="AI46" s="212"/>
      <c r="AJ46" s="212"/>
      <c r="AK46" s="212"/>
      <c r="AL46" s="212"/>
      <c r="AM46" s="212"/>
      <c r="AN46" s="212"/>
      <c r="AO46" s="212"/>
      <c r="AP46" s="212"/>
      <c r="AQ46" s="212"/>
      <c r="AR46" s="212"/>
      <c r="AS46" s="212"/>
      <c r="AT46" s="212"/>
      <c r="AU46" s="212"/>
      <c r="AV46" s="212"/>
      <c r="AW46" s="212"/>
      <c r="AX46" s="212"/>
      <c r="AY46" s="212"/>
      <c r="AZ46" s="212"/>
      <c r="BA46" s="212"/>
      <c r="BB46" s="212"/>
      <c r="BC46" s="212"/>
      <c r="BD46" s="212"/>
      <c r="BE46" s="212"/>
      <c r="BF46" s="212"/>
      <c r="BG46" s="212"/>
      <c r="BH46" s="212"/>
      <c r="BI46" s="231" t="str">
        <f>HYPERLINK("#노임!A4","L001010101000003 →")</f>
        <v>L001010101000003 →</v>
      </c>
    </row>
    <row r="47" spans="1:61" ht="24" customHeight="1">
      <c r="A47" s="218" t="s">
        <v>1967</v>
      </c>
      <c r="B47" s="218" t="s">
        <v>1946</v>
      </c>
      <c r="C47" s="229">
        <v>4.3400000000000001E-2</v>
      </c>
      <c r="D47" s="213" t="s">
        <v>1286</v>
      </c>
      <c r="E47" s="217">
        <v>0</v>
      </c>
      <c r="F47" s="217"/>
      <c r="G47" s="217">
        <f>노임!D3</f>
        <v>0</v>
      </c>
      <c r="H47" s="217">
        <f>TRUNC(G47*C47,0)</f>
        <v>0</v>
      </c>
      <c r="I47" s="217">
        <v>0</v>
      </c>
      <c r="J47" s="217"/>
      <c r="K47" s="217">
        <f>E47+G47+I47</f>
        <v>0</v>
      </c>
      <c r="L47" s="217">
        <f>F47+H47+J47</f>
        <v>0</v>
      </c>
      <c r="M47" s="215" t="s">
        <v>68</v>
      </c>
      <c r="N47" s="212" t="s">
        <v>68</v>
      </c>
      <c r="O47" s="212"/>
      <c r="P47" s="212" t="s">
        <v>1101</v>
      </c>
      <c r="Q47" s="212" t="s">
        <v>68</v>
      </c>
      <c r="R47" s="212" t="s">
        <v>1968</v>
      </c>
      <c r="S47" s="212"/>
      <c r="T47" s="212"/>
      <c r="U47" s="212"/>
      <c r="V47" s="212"/>
      <c r="W47" s="212"/>
      <c r="X47" s="212"/>
      <c r="Y47" s="212"/>
      <c r="Z47" s="212"/>
      <c r="AA47" s="220" t="s">
        <v>1955</v>
      </c>
      <c r="AB47" s="212">
        <f>(호표!H46+호표!H47)*0.03</f>
        <v>0</v>
      </c>
      <c r="AC47" s="220" t="s">
        <v>1956</v>
      </c>
      <c r="AD47" s="212">
        <f>$AB47</f>
        <v>0</v>
      </c>
      <c r="AE47" s="212"/>
      <c r="AF47" s="212"/>
      <c r="AG47" s="212"/>
      <c r="AH47" s="212"/>
      <c r="AI47" s="212"/>
      <c r="AJ47" s="212"/>
      <c r="AK47" s="212"/>
      <c r="AL47" s="212"/>
      <c r="AM47" s="212"/>
      <c r="AN47" s="212"/>
      <c r="AO47" s="212"/>
      <c r="AP47" s="212"/>
      <c r="AQ47" s="212"/>
      <c r="AR47" s="212"/>
      <c r="AS47" s="212"/>
      <c r="AT47" s="212"/>
      <c r="AU47" s="212"/>
      <c r="AV47" s="212"/>
      <c r="AW47" s="212"/>
      <c r="AX47" s="212"/>
      <c r="AY47" s="212"/>
      <c r="AZ47" s="212"/>
      <c r="BA47" s="212"/>
      <c r="BB47" s="212"/>
      <c r="BC47" s="212"/>
      <c r="BD47" s="212"/>
      <c r="BE47" s="212"/>
      <c r="BF47" s="212"/>
      <c r="BG47" s="212"/>
      <c r="BH47" s="212"/>
      <c r="BI47" s="231" t="str">
        <f>HYPERLINK("#노임!A3","L001010101000002 →")</f>
        <v>L001010101000002 →</v>
      </c>
    </row>
    <row r="48" spans="1:61" ht="24" customHeight="1">
      <c r="A48" s="218" t="s">
        <v>1948</v>
      </c>
      <c r="B48" s="218" t="s">
        <v>1949</v>
      </c>
      <c r="C48" s="228">
        <v>3</v>
      </c>
      <c r="D48" s="213" t="s">
        <v>1950</v>
      </c>
      <c r="E48" s="213"/>
      <c r="F48" s="217">
        <v>0</v>
      </c>
      <c r="G48" s="213"/>
      <c r="H48" s="217">
        <v>0</v>
      </c>
      <c r="I48" s="213"/>
      <c r="J48" s="217">
        <f>TRUNC(((H46+H47)*0.03),0)</f>
        <v>0</v>
      </c>
      <c r="K48" s="217">
        <f>E48+G48+I48</f>
        <v>0</v>
      </c>
      <c r="L48" s="217">
        <f>F48+H48+J48</f>
        <v>0</v>
      </c>
      <c r="M48" s="215" t="s">
        <v>68</v>
      </c>
      <c r="N48" s="212" t="s">
        <v>68</v>
      </c>
      <c r="O48" s="212"/>
      <c r="P48" s="212" t="s">
        <v>1104</v>
      </c>
      <c r="Q48" s="212" t="s">
        <v>68</v>
      </c>
      <c r="R48" s="212" t="s">
        <v>1121</v>
      </c>
      <c r="S48" s="212"/>
      <c r="T48" s="212"/>
      <c r="U48" s="212"/>
      <c r="V48" s="212"/>
      <c r="W48" s="212"/>
      <c r="X48" s="212" t="s">
        <v>1981</v>
      </c>
      <c r="Y48" s="212"/>
      <c r="Z48" s="212"/>
      <c r="AA48" s="212"/>
      <c r="AB48" s="212"/>
      <c r="AC48" s="212"/>
      <c r="AD48" s="212"/>
      <c r="AE48" s="212"/>
      <c r="AF48" s="212"/>
      <c r="AG48" s="212"/>
      <c r="AH48" s="212"/>
      <c r="AI48" s="212"/>
      <c r="AJ48" s="212"/>
      <c r="AK48" s="212"/>
      <c r="AL48" s="212"/>
      <c r="AM48" s="212"/>
      <c r="AN48" s="212"/>
      <c r="AO48" s="212"/>
      <c r="AP48" s="212"/>
      <c r="AQ48" s="212"/>
      <c r="AR48" s="212"/>
      <c r="AS48" s="212"/>
      <c r="AT48" s="212"/>
      <c r="AU48" s="212"/>
      <c r="AV48" s="212"/>
      <c r="AW48" s="212"/>
      <c r="AX48" s="212"/>
      <c r="AY48" s="212"/>
      <c r="AZ48" s="212"/>
      <c r="BA48" s="212"/>
      <c r="BB48" s="212"/>
      <c r="BC48" s="212"/>
      <c r="BD48" s="212"/>
      <c r="BE48" s="212"/>
      <c r="BF48" s="212"/>
      <c r="BG48" s="212"/>
      <c r="BH48" s="212"/>
      <c r="BI48" s="212"/>
    </row>
    <row r="49" spans="1:61" ht="24" customHeight="1">
      <c r="A49" s="215"/>
      <c r="B49" s="215"/>
      <c r="C49" s="229"/>
      <c r="D49" s="213"/>
      <c r="E49" s="213"/>
      <c r="F49" s="213"/>
      <c r="G49" s="213"/>
      <c r="H49" s="213"/>
      <c r="I49" s="213"/>
      <c r="J49" s="213"/>
      <c r="K49" s="213"/>
      <c r="L49" s="213"/>
      <c r="M49" s="215"/>
      <c r="N49" s="212"/>
      <c r="O49" s="212"/>
      <c r="P49" s="212"/>
      <c r="Q49" s="212"/>
      <c r="R49" s="212"/>
      <c r="S49" s="212"/>
      <c r="T49" s="212"/>
      <c r="U49" s="212"/>
      <c r="V49" s="212"/>
      <c r="W49" s="212"/>
      <c r="X49" s="212"/>
      <c r="Y49" s="212"/>
      <c r="Z49" s="212"/>
      <c r="AA49" s="212"/>
      <c r="AB49" s="212"/>
      <c r="AC49" s="212"/>
      <c r="AD49" s="212"/>
      <c r="AE49" s="212"/>
      <c r="AF49" s="212"/>
      <c r="AG49" s="212"/>
      <c r="AH49" s="212"/>
      <c r="AI49" s="212"/>
      <c r="AJ49" s="212"/>
      <c r="AK49" s="212"/>
      <c r="AL49" s="212"/>
      <c r="AM49" s="212"/>
      <c r="AN49" s="212"/>
      <c r="AO49" s="212"/>
      <c r="AP49" s="212"/>
      <c r="AQ49" s="212"/>
      <c r="AR49" s="212"/>
      <c r="AS49" s="212"/>
      <c r="AT49" s="212"/>
      <c r="AU49" s="212"/>
      <c r="AV49" s="212"/>
      <c r="AW49" s="212"/>
      <c r="AX49" s="212"/>
      <c r="AY49" s="212"/>
      <c r="AZ49" s="212"/>
      <c r="BA49" s="212"/>
      <c r="BB49" s="212"/>
      <c r="BC49" s="212"/>
      <c r="BD49" s="212"/>
      <c r="BE49" s="212"/>
      <c r="BF49" s="212"/>
      <c r="BG49" s="212"/>
      <c r="BH49" s="212"/>
      <c r="BI49" s="212"/>
    </row>
    <row r="50" spans="1:61" ht="24" customHeight="1">
      <c r="A50" s="218" t="s">
        <v>1982</v>
      </c>
      <c r="B50" s="218" t="s">
        <v>1657</v>
      </c>
      <c r="C50" s="228">
        <v>1</v>
      </c>
      <c r="D50" s="213" t="s">
        <v>1033</v>
      </c>
      <c r="E50" s="212"/>
      <c r="F50" s="217">
        <f>TRUNC(F51+F52+F53+F54,0)</f>
        <v>0</v>
      </c>
      <c r="G50" s="212"/>
      <c r="H50" s="217">
        <f>TRUNC(H51+H52+H53+H54,0)</f>
        <v>0</v>
      </c>
      <c r="I50" s="212"/>
      <c r="J50" s="217">
        <f>TRUNC(J51+J52+J53+J54,0)</f>
        <v>0</v>
      </c>
      <c r="K50" s="212"/>
      <c r="L50" s="217">
        <f>F50+H50+J50</f>
        <v>0</v>
      </c>
      <c r="M50" s="215" t="s">
        <v>1658</v>
      </c>
      <c r="N50" s="212" t="s">
        <v>68</v>
      </c>
      <c r="O50" s="212" t="s">
        <v>1659</v>
      </c>
      <c r="P50" s="212"/>
      <c r="Q50" s="212"/>
      <c r="R50" s="212"/>
      <c r="S50" s="212"/>
      <c r="T50" s="212"/>
      <c r="U50" s="212"/>
      <c r="V50" s="212"/>
      <c r="W50" s="212"/>
      <c r="X50" s="212"/>
      <c r="Y50" s="212"/>
      <c r="Z50" s="212"/>
      <c r="AA50" s="212"/>
      <c r="AB50" s="212"/>
      <c r="AC50" s="212"/>
      <c r="AD50" s="212"/>
      <c r="AE50" s="212"/>
      <c r="AF50" s="212"/>
      <c r="AG50" s="212"/>
      <c r="AH50" s="212"/>
      <c r="AI50" s="212"/>
      <c r="AJ50" s="212"/>
      <c r="AK50" s="212"/>
      <c r="AL50" s="212"/>
      <c r="AM50" s="212"/>
      <c r="AN50" s="212"/>
      <c r="AO50" s="212"/>
      <c r="AP50" s="212"/>
      <c r="AQ50" s="212"/>
      <c r="AR50" s="212"/>
      <c r="AS50" s="212"/>
      <c r="AT50" s="212"/>
      <c r="AU50" s="212"/>
      <c r="AV50" s="212"/>
      <c r="AW50" s="212"/>
      <c r="AX50" s="212"/>
      <c r="AY50" s="212"/>
      <c r="AZ50" s="212"/>
      <c r="BA50" s="212"/>
      <c r="BB50" s="212"/>
      <c r="BC50" s="212"/>
      <c r="BD50" s="212"/>
      <c r="BE50" s="212"/>
      <c r="BF50" s="212"/>
      <c r="BG50" s="212"/>
      <c r="BH50" s="212"/>
      <c r="BI50" s="212"/>
    </row>
    <row r="51" spans="1:61" ht="24" customHeight="1">
      <c r="A51" s="218" t="s">
        <v>1983</v>
      </c>
      <c r="B51" s="218" t="s">
        <v>1984</v>
      </c>
      <c r="C51" s="228">
        <v>5</v>
      </c>
      <c r="D51" s="213" t="s">
        <v>1979</v>
      </c>
      <c r="E51" s="217">
        <f>자재조서!E12</f>
        <v>0</v>
      </c>
      <c r="F51" s="217">
        <f>TRUNC(E51*C51,0)</f>
        <v>0</v>
      </c>
      <c r="G51" s="217">
        <v>0</v>
      </c>
      <c r="H51" s="217"/>
      <c r="I51" s="217">
        <v>0</v>
      </c>
      <c r="J51" s="217"/>
      <c r="K51" s="217">
        <f>E51+G51+I51</f>
        <v>0</v>
      </c>
      <c r="L51" s="217">
        <f>F51+H51+J51</f>
        <v>0</v>
      </c>
      <c r="M51" s="215" t="s">
        <v>68</v>
      </c>
      <c r="N51" s="212" t="s">
        <v>68</v>
      </c>
      <c r="O51" s="212"/>
      <c r="P51" s="212" t="s">
        <v>1095</v>
      </c>
      <c r="Q51" s="212" t="s">
        <v>68</v>
      </c>
      <c r="R51" s="212" t="s">
        <v>1985</v>
      </c>
      <c r="S51" s="212"/>
      <c r="T51" s="212"/>
      <c r="U51" s="212"/>
      <c r="V51" s="212"/>
      <c r="W51" s="212"/>
      <c r="X51" s="212"/>
      <c r="Y51" s="212"/>
      <c r="Z51" s="212"/>
      <c r="AA51" s="212"/>
      <c r="AB51" s="212"/>
      <c r="AC51" s="212"/>
      <c r="AD51" s="212"/>
      <c r="AE51" s="212"/>
      <c r="AF51" s="212"/>
      <c r="AG51" s="212"/>
      <c r="AH51" s="212"/>
      <c r="AI51" s="212"/>
      <c r="AJ51" s="212"/>
      <c r="AK51" s="212"/>
      <c r="AL51" s="212"/>
      <c r="AM51" s="212"/>
      <c r="AN51" s="212"/>
      <c r="AO51" s="212"/>
      <c r="AP51" s="212"/>
      <c r="AQ51" s="212"/>
      <c r="AR51" s="212"/>
      <c r="AS51" s="212"/>
      <c r="AT51" s="212"/>
      <c r="AU51" s="212"/>
      <c r="AV51" s="212"/>
      <c r="AW51" s="212"/>
      <c r="AX51" s="212"/>
      <c r="AY51" s="212"/>
      <c r="AZ51" s="212"/>
      <c r="BA51" s="212"/>
      <c r="BB51" s="212"/>
      <c r="BC51" s="212"/>
      <c r="BD51" s="212"/>
      <c r="BE51" s="212"/>
      <c r="BF51" s="212"/>
      <c r="BG51" s="212"/>
      <c r="BH51" s="212"/>
      <c r="BI51" s="231" t="str">
        <f>HYPERLINK("#자재조서!A12","M0801011 →")</f>
        <v>M0801011 →</v>
      </c>
    </row>
    <row r="52" spans="1:61" ht="24" customHeight="1">
      <c r="A52" s="218" t="s">
        <v>1965</v>
      </c>
      <c r="B52" s="218" t="s">
        <v>1946</v>
      </c>
      <c r="C52" s="229">
        <v>7.1400000000000005E-2</v>
      </c>
      <c r="D52" s="213" t="s">
        <v>1286</v>
      </c>
      <c r="E52" s="217">
        <v>0</v>
      </c>
      <c r="F52" s="217"/>
      <c r="G52" s="217">
        <f>노임!D4</f>
        <v>0</v>
      </c>
      <c r="H52" s="217">
        <f>TRUNC(G52*C52,0)</f>
        <v>0</v>
      </c>
      <c r="I52" s="217">
        <v>0</v>
      </c>
      <c r="J52" s="217"/>
      <c r="K52" s="217">
        <f>E52+G52+I52</f>
        <v>0</v>
      </c>
      <c r="L52" s="217">
        <f>F52+H52+J52</f>
        <v>0</v>
      </c>
      <c r="M52" s="215" t="s">
        <v>68</v>
      </c>
      <c r="N52" s="212" t="s">
        <v>68</v>
      </c>
      <c r="O52" s="212"/>
      <c r="P52" s="212" t="s">
        <v>1098</v>
      </c>
      <c r="Q52" s="212" t="s">
        <v>68</v>
      </c>
      <c r="R52" s="212" t="s">
        <v>1966</v>
      </c>
      <c r="S52" s="212"/>
      <c r="T52" s="212"/>
      <c r="U52" s="212"/>
      <c r="V52" s="212"/>
      <c r="W52" s="212"/>
      <c r="X52" s="212"/>
      <c r="Y52" s="212"/>
      <c r="Z52" s="212"/>
      <c r="AA52" s="212"/>
      <c r="AB52" s="212"/>
      <c r="AC52" s="212"/>
      <c r="AD52" s="212"/>
      <c r="AE52" s="212"/>
      <c r="AF52" s="212"/>
      <c r="AG52" s="212"/>
      <c r="AH52" s="212"/>
      <c r="AI52" s="212"/>
      <c r="AJ52" s="212"/>
      <c r="AK52" s="212"/>
      <c r="AL52" s="212"/>
      <c r="AM52" s="212"/>
      <c r="AN52" s="212"/>
      <c r="AO52" s="212"/>
      <c r="AP52" s="212"/>
      <c r="AQ52" s="212"/>
      <c r="AR52" s="212"/>
      <c r="AS52" s="212"/>
      <c r="AT52" s="212"/>
      <c r="AU52" s="212"/>
      <c r="AV52" s="212"/>
      <c r="AW52" s="212"/>
      <c r="AX52" s="212"/>
      <c r="AY52" s="212"/>
      <c r="AZ52" s="212"/>
      <c r="BA52" s="212"/>
      <c r="BB52" s="212"/>
      <c r="BC52" s="212"/>
      <c r="BD52" s="212"/>
      <c r="BE52" s="212"/>
      <c r="BF52" s="212"/>
      <c r="BG52" s="212"/>
      <c r="BH52" s="212"/>
      <c r="BI52" s="231" t="str">
        <f>HYPERLINK("#노임!A4","L001010101000003 →")</f>
        <v>L001010101000003 →</v>
      </c>
    </row>
    <row r="53" spans="1:61" ht="24" customHeight="1">
      <c r="A53" s="218" t="s">
        <v>1967</v>
      </c>
      <c r="B53" s="218" t="s">
        <v>1946</v>
      </c>
      <c r="C53" s="229">
        <v>3.5700000000000003E-2</v>
      </c>
      <c r="D53" s="213" t="s">
        <v>1286</v>
      </c>
      <c r="E53" s="217">
        <v>0</v>
      </c>
      <c r="F53" s="217"/>
      <c r="G53" s="217">
        <f>노임!D3</f>
        <v>0</v>
      </c>
      <c r="H53" s="217">
        <f>TRUNC(G53*C53,0)</f>
        <v>0</v>
      </c>
      <c r="I53" s="217">
        <v>0</v>
      </c>
      <c r="J53" s="217"/>
      <c r="K53" s="217">
        <f>E53+G53+I53</f>
        <v>0</v>
      </c>
      <c r="L53" s="217">
        <f>F53+H53+J53</f>
        <v>0</v>
      </c>
      <c r="M53" s="215" t="s">
        <v>68</v>
      </c>
      <c r="N53" s="212" t="s">
        <v>68</v>
      </c>
      <c r="O53" s="212"/>
      <c r="P53" s="212" t="s">
        <v>1101</v>
      </c>
      <c r="Q53" s="212" t="s">
        <v>68</v>
      </c>
      <c r="R53" s="212" t="s">
        <v>1968</v>
      </c>
      <c r="S53" s="212"/>
      <c r="T53" s="212"/>
      <c r="U53" s="212"/>
      <c r="V53" s="212"/>
      <c r="W53" s="212"/>
      <c r="X53" s="212"/>
      <c r="Y53" s="212"/>
      <c r="Z53" s="212"/>
      <c r="AA53" s="220" t="s">
        <v>1955</v>
      </c>
      <c r="AB53" s="212">
        <f>(호표!H52+호표!H53)*0.02</f>
        <v>0</v>
      </c>
      <c r="AC53" s="220" t="s">
        <v>1956</v>
      </c>
      <c r="AD53" s="212">
        <f>$AB53</f>
        <v>0</v>
      </c>
      <c r="AE53" s="212"/>
      <c r="AF53" s="212"/>
      <c r="AG53" s="212"/>
      <c r="AH53" s="212"/>
      <c r="AI53" s="212"/>
      <c r="AJ53" s="212"/>
      <c r="AK53" s="212"/>
      <c r="AL53" s="212"/>
      <c r="AM53" s="212"/>
      <c r="AN53" s="212"/>
      <c r="AO53" s="212"/>
      <c r="AP53" s="212"/>
      <c r="AQ53" s="212"/>
      <c r="AR53" s="212"/>
      <c r="AS53" s="212"/>
      <c r="AT53" s="212"/>
      <c r="AU53" s="212"/>
      <c r="AV53" s="212"/>
      <c r="AW53" s="212"/>
      <c r="AX53" s="212"/>
      <c r="AY53" s="212"/>
      <c r="AZ53" s="212"/>
      <c r="BA53" s="212"/>
      <c r="BB53" s="212"/>
      <c r="BC53" s="212"/>
      <c r="BD53" s="212"/>
      <c r="BE53" s="212"/>
      <c r="BF53" s="212"/>
      <c r="BG53" s="212"/>
      <c r="BH53" s="212"/>
      <c r="BI53" s="231" t="str">
        <f>HYPERLINK("#노임!A3","L001010101000002 →")</f>
        <v>L001010101000002 →</v>
      </c>
    </row>
    <row r="54" spans="1:61" ht="24" customHeight="1">
      <c r="A54" s="218" t="s">
        <v>1948</v>
      </c>
      <c r="B54" s="218" t="s">
        <v>1958</v>
      </c>
      <c r="C54" s="228">
        <v>2</v>
      </c>
      <c r="D54" s="213" t="s">
        <v>1950</v>
      </c>
      <c r="E54" s="213"/>
      <c r="F54" s="217">
        <v>0</v>
      </c>
      <c r="G54" s="213"/>
      <c r="H54" s="217">
        <v>0</v>
      </c>
      <c r="I54" s="213"/>
      <c r="J54" s="217">
        <f>TRUNC(((H52+H53)*0.02),0)</f>
        <v>0</v>
      </c>
      <c r="K54" s="217">
        <f>E54+G54+I54</f>
        <v>0</v>
      </c>
      <c r="L54" s="217">
        <f>F54+H54+J54</f>
        <v>0</v>
      </c>
      <c r="M54" s="215" t="s">
        <v>68</v>
      </c>
      <c r="N54" s="212" t="s">
        <v>68</v>
      </c>
      <c r="O54" s="212"/>
      <c r="P54" s="212" t="s">
        <v>1104</v>
      </c>
      <c r="Q54" s="212" t="s">
        <v>68</v>
      </c>
      <c r="R54" s="212" t="s">
        <v>1121</v>
      </c>
      <c r="S54" s="212"/>
      <c r="T54" s="212"/>
      <c r="U54" s="212"/>
      <c r="V54" s="212"/>
      <c r="W54" s="212"/>
      <c r="X54" s="212" t="s">
        <v>1986</v>
      </c>
      <c r="Y54" s="212"/>
      <c r="Z54" s="212"/>
      <c r="AA54" s="212"/>
      <c r="AB54" s="212"/>
      <c r="AC54" s="212"/>
      <c r="AD54" s="212"/>
      <c r="AE54" s="212"/>
      <c r="AF54" s="212"/>
      <c r="AG54" s="212"/>
      <c r="AH54" s="212"/>
      <c r="AI54" s="212"/>
      <c r="AJ54" s="212"/>
      <c r="AK54" s="212"/>
      <c r="AL54" s="212"/>
      <c r="AM54" s="212"/>
      <c r="AN54" s="212"/>
      <c r="AO54" s="212"/>
      <c r="AP54" s="212"/>
      <c r="AQ54" s="212"/>
      <c r="AR54" s="212"/>
      <c r="AS54" s="212"/>
      <c r="AT54" s="212"/>
      <c r="AU54" s="212"/>
      <c r="AV54" s="212"/>
      <c r="AW54" s="212"/>
      <c r="AX54" s="212"/>
      <c r="AY54" s="212"/>
      <c r="AZ54" s="212"/>
      <c r="BA54" s="212"/>
      <c r="BB54" s="212"/>
      <c r="BC54" s="212"/>
      <c r="BD54" s="212"/>
      <c r="BE54" s="212"/>
      <c r="BF54" s="212"/>
      <c r="BG54" s="212"/>
      <c r="BH54" s="212"/>
      <c r="BI54" s="212"/>
    </row>
    <row r="55" spans="1:61" ht="24" customHeight="1">
      <c r="A55" s="215"/>
      <c r="B55" s="215"/>
      <c r="C55" s="229"/>
      <c r="D55" s="213"/>
      <c r="E55" s="213"/>
      <c r="F55" s="213"/>
      <c r="G55" s="213"/>
      <c r="H55" s="213"/>
      <c r="I55" s="213"/>
      <c r="J55" s="213"/>
      <c r="K55" s="213"/>
      <c r="L55" s="213"/>
      <c r="M55" s="215"/>
      <c r="N55" s="212"/>
      <c r="O55" s="212"/>
      <c r="P55" s="212"/>
      <c r="Q55" s="212"/>
      <c r="R55" s="212"/>
      <c r="S55" s="212"/>
      <c r="T55" s="212"/>
      <c r="U55" s="212"/>
      <c r="V55" s="212"/>
      <c r="W55" s="212"/>
      <c r="X55" s="212"/>
      <c r="Y55" s="212"/>
      <c r="Z55" s="212"/>
      <c r="AA55" s="212"/>
      <c r="AB55" s="212"/>
      <c r="AC55" s="212"/>
      <c r="AD55" s="212"/>
      <c r="AE55" s="212"/>
      <c r="AF55" s="212"/>
      <c r="AG55" s="212"/>
      <c r="AH55" s="212"/>
      <c r="AI55" s="212"/>
      <c r="AJ55" s="212"/>
      <c r="AK55" s="212"/>
      <c r="AL55" s="212"/>
      <c r="AM55" s="212"/>
      <c r="AN55" s="212"/>
      <c r="AO55" s="212"/>
      <c r="AP55" s="212"/>
      <c r="AQ55" s="212"/>
      <c r="AR55" s="212"/>
      <c r="AS55" s="212"/>
      <c r="AT55" s="212"/>
      <c r="AU55" s="212"/>
      <c r="AV55" s="212"/>
      <c r="AW55" s="212"/>
      <c r="AX55" s="212"/>
      <c r="AY55" s="212"/>
      <c r="AZ55" s="212"/>
      <c r="BA55" s="212"/>
      <c r="BB55" s="212"/>
      <c r="BC55" s="212"/>
      <c r="BD55" s="212"/>
      <c r="BE55" s="212"/>
      <c r="BF55" s="212"/>
      <c r="BG55" s="212"/>
      <c r="BH55" s="212"/>
      <c r="BI55" s="212"/>
    </row>
    <row r="56" spans="1:61" ht="24" customHeight="1">
      <c r="A56" s="218" t="s">
        <v>1987</v>
      </c>
      <c r="B56" s="218" t="s">
        <v>1149</v>
      </c>
      <c r="C56" s="228">
        <v>1</v>
      </c>
      <c r="D56" s="213" t="s">
        <v>1094</v>
      </c>
      <c r="E56" s="212"/>
      <c r="F56" s="217">
        <f>TRUNC(F57,0)</f>
        <v>0</v>
      </c>
      <c r="G56" s="212"/>
      <c r="H56" s="217">
        <f>TRUNC(H57,0)</f>
        <v>0</v>
      </c>
      <c r="I56" s="212"/>
      <c r="J56" s="217">
        <f>TRUNC(J57,0)</f>
        <v>0</v>
      </c>
      <c r="K56" s="212"/>
      <c r="L56" s="217">
        <f>F56+H56+J56</f>
        <v>0</v>
      </c>
      <c r="M56" s="215" t="s">
        <v>1661</v>
      </c>
      <c r="N56" s="212" t="s">
        <v>68</v>
      </c>
      <c r="O56" s="212" t="s">
        <v>1150</v>
      </c>
      <c r="P56" s="212"/>
      <c r="Q56" s="212"/>
      <c r="R56" s="212"/>
      <c r="S56" s="212"/>
      <c r="T56" s="212"/>
      <c r="U56" s="212"/>
      <c r="V56" s="212"/>
      <c r="W56" s="212"/>
      <c r="X56" s="212"/>
      <c r="Y56" s="212"/>
      <c r="Z56" s="212"/>
      <c r="AA56" s="212"/>
      <c r="AB56" s="212"/>
      <c r="AC56" s="212"/>
      <c r="AD56" s="212"/>
      <c r="AE56" s="212"/>
      <c r="AF56" s="212"/>
      <c r="AG56" s="212"/>
      <c r="AH56" s="212"/>
      <c r="AI56" s="212"/>
      <c r="AJ56" s="212"/>
      <c r="AK56" s="212"/>
      <c r="AL56" s="212"/>
      <c r="AM56" s="212"/>
      <c r="AN56" s="212"/>
      <c r="AO56" s="212"/>
      <c r="AP56" s="212"/>
      <c r="AQ56" s="212"/>
      <c r="AR56" s="212"/>
      <c r="AS56" s="212"/>
      <c r="AT56" s="212"/>
      <c r="AU56" s="212"/>
      <c r="AV56" s="212"/>
      <c r="AW56" s="212"/>
      <c r="AX56" s="212"/>
      <c r="AY56" s="212"/>
      <c r="AZ56" s="212"/>
      <c r="BA56" s="212"/>
      <c r="BB56" s="212"/>
      <c r="BC56" s="212"/>
      <c r="BD56" s="212"/>
      <c r="BE56" s="212"/>
      <c r="BF56" s="212"/>
      <c r="BG56" s="212"/>
      <c r="BH56" s="212"/>
      <c r="BI56" s="212"/>
    </row>
    <row r="57" spans="1:61" ht="24" customHeight="1">
      <c r="A57" s="218" t="s">
        <v>1965</v>
      </c>
      <c r="B57" s="218" t="s">
        <v>1946</v>
      </c>
      <c r="C57" s="228">
        <v>2</v>
      </c>
      <c r="D57" s="213" t="s">
        <v>1286</v>
      </c>
      <c r="E57" s="217">
        <v>0</v>
      </c>
      <c r="F57" s="217"/>
      <c r="G57" s="217">
        <f>노임!D4</f>
        <v>0</v>
      </c>
      <c r="H57" s="217">
        <f>TRUNC(G57*C57,0)</f>
        <v>0</v>
      </c>
      <c r="I57" s="217">
        <v>0</v>
      </c>
      <c r="J57" s="217"/>
      <c r="K57" s="217">
        <f>E57+G57+I57</f>
        <v>0</v>
      </c>
      <c r="L57" s="217">
        <f>F57+H57+J57</f>
        <v>0</v>
      </c>
      <c r="M57" s="215" t="s">
        <v>68</v>
      </c>
      <c r="N57" s="212" t="s">
        <v>68</v>
      </c>
      <c r="O57" s="212"/>
      <c r="P57" s="212" t="s">
        <v>1095</v>
      </c>
      <c r="Q57" s="212" t="s">
        <v>68</v>
      </c>
      <c r="R57" s="212" t="s">
        <v>1966</v>
      </c>
      <c r="S57" s="212"/>
      <c r="T57" s="212"/>
      <c r="U57" s="212"/>
      <c r="V57" s="212"/>
      <c r="W57" s="212"/>
      <c r="X57" s="212"/>
      <c r="Y57" s="212"/>
      <c r="Z57" s="212"/>
      <c r="AA57" s="212"/>
      <c r="AB57" s="212"/>
      <c r="AC57" s="212"/>
      <c r="AD57" s="212"/>
      <c r="AE57" s="212"/>
      <c r="AF57" s="212"/>
      <c r="AG57" s="212"/>
      <c r="AH57" s="212"/>
      <c r="AI57" s="212"/>
      <c r="AJ57" s="212"/>
      <c r="AK57" s="212"/>
      <c r="AL57" s="212"/>
      <c r="AM57" s="212"/>
      <c r="AN57" s="212"/>
      <c r="AO57" s="212"/>
      <c r="AP57" s="212"/>
      <c r="AQ57" s="212"/>
      <c r="AR57" s="212"/>
      <c r="AS57" s="212"/>
      <c r="AT57" s="212"/>
      <c r="AU57" s="212"/>
      <c r="AV57" s="212"/>
      <c r="AW57" s="212"/>
      <c r="AX57" s="212"/>
      <c r="AY57" s="212"/>
      <c r="AZ57" s="212"/>
      <c r="BA57" s="212"/>
      <c r="BB57" s="212"/>
      <c r="BC57" s="212"/>
      <c r="BD57" s="212"/>
      <c r="BE57" s="212"/>
      <c r="BF57" s="212"/>
      <c r="BG57" s="212"/>
      <c r="BH57" s="212"/>
      <c r="BI57" s="231" t="str">
        <f>HYPERLINK("#노임!A4","L001010101000003 →")</f>
        <v>L001010101000003 →</v>
      </c>
    </row>
    <row r="58" spans="1:61" ht="24" customHeight="1">
      <c r="A58" s="215"/>
      <c r="B58" s="215"/>
      <c r="C58" s="229"/>
      <c r="D58" s="213"/>
      <c r="E58" s="213"/>
      <c r="F58" s="213"/>
      <c r="G58" s="213"/>
      <c r="H58" s="213"/>
      <c r="I58" s="213"/>
      <c r="J58" s="213"/>
      <c r="K58" s="213"/>
      <c r="L58" s="213"/>
      <c r="M58" s="215"/>
      <c r="N58" s="212"/>
      <c r="O58" s="212"/>
      <c r="P58" s="212"/>
      <c r="Q58" s="212"/>
      <c r="R58" s="212"/>
      <c r="S58" s="212"/>
      <c r="T58" s="212"/>
      <c r="U58" s="212"/>
      <c r="V58" s="212"/>
      <c r="W58" s="212"/>
      <c r="X58" s="212"/>
      <c r="Y58" s="212"/>
      <c r="Z58" s="212"/>
      <c r="AA58" s="212"/>
      <c r="AB58" s="212"/>
      <c r="AC58" s="212"/>
      <c r="AD58" s="212"/>
      <c r="AE58" s="212"/>
      <c r="AF58" s="212"/>
      <c r="AG58" s="212"/>
      <c r="AH58" s="212"/>
      <c r="AI58" s="212"/>
      <c r="AJ58" s="212"/>
      <c r="AK58" s="212"/>
      <c r="AL58" s="212"/>
      <c r="AM58" s="212"/>
      <c r="AN58" s="212"/>
      <c r="AO58" s="212"/>
      <c r="AP58" s="212"/>
      <c r="AQ58" s="212"/>
      <c r="AR58" s="212"/>
      <c r="AS58" s="212"/>
      <c r="AT58" s="212"/>
      <c r="AU58" s="212"/>
      <c r="AV58" s="212"/>
      <c r="AW58" s="212"/>
      <c r="AX58" s="212"/>
      <c r="AY58" s="212"/>
      <c r="AZ58" s="212"/>
      <c r="BA58" s="212"/>
      <c r="BB58" s="212"/>
      <c r="BC58" s="212"/>
      <c r="BD58" s="212"/>
      <c r="BE58" s="212"/>
      <c r="BF58" s="212"/>
      <c r="BG58" s="212"/>
      <c r="BH58" s="212"/>
      <c r="BI58" s="212"/>
    </row>
    <row r="59" spans="1:61" ht="24" customHeight="1">
      <c r="A59" s="218" t="s">
        <v>1988</v>
      </c>
      <c r="B59" s="218" t="s">
        <v>433</v>
      </c>
      <c r="C59" s="228">
        <v>1</v>
      </c>
      <c r="D59" s="213" t="s">
        <v>9</v>
      </c>
      <c r="E59" s="212"/>
      <c r="F59" s="217">
        <f>TRUNC(F60,0)</f>
        <v>0</v>
      </c>
      <c r="G59" s="212"/>
      <c r="H59" s="217">
        <f>TRUNC(H60,0)</f>
        <v>0</v>
      </c>
      <c r="I59" s="212"/>
      <c r="J59" s="217">
        <f>TRUNC(J60,0)</f>
        <v>0</v>
      </c>
      <c r="K59" s="212"/>
      <c r="L59" s="217">
        <f>F59+H59+J59</f>
        <v>0</v>
      </c>
      <c r="M59" s="215" t="s">
        <v>68</v>
      </c>
      <c r="N59" s="212" t="s">
        <v>68</v>
      </c>
      <c r="O59" s="212" t="s">
        <v>1151</v>
      </c>
      <c r="P59" s="212"/>
      <c r="Q59" s="212"/>
      <c r="R59" s="212"/>
      <c r="S59" s="212"/>
      <c r="T59" s="212"/>
      <c r="U59" s="212"/>
      <c r="V59" s="212"/>
      <c r="W59" s="212"/>
      <c r="X59" s="212"/>
      <c r="Y59" s="212"/>
      <c r="Z59" s="212"/>
      <c r="AA59" s="212"/>
      <c r="AB59" s="212"/>
      <c r="AC59" s="212"/>
      <c r="AD59" s="212"/>
      <c r="AE59" s="212"/>
      <c r="AF59" s="212"/>
      <c r="AG59" s="212"/>
      <c r="AH59" s="212"/>
      <c r="AI59" s="212"/>
      <c r="AJ59" s="212"/>
      <c r="AK59" s="212"/>
      <c r="AL59" s="212"/>
      <c r="AM59" s="212"/>
      <c r="AN59" s="212"/>
      <c r="AO59" s="212"/>
      <c r="AP59" s="212"/>
      <c r="AQ59" s="212"/>
      <c r="AR59" s="212"/>
      <c r="AS59" s="212"/>
      <c r="AT59" s="212"/>
      <c r="AU59" s="212"/>
      <c r="AV59" s="212"/>
      <c r="AW59" s="212"/>
      <c r="AX59" s="212"/>
      <c r="AY59" s="212"/>
      <c r="AZ59" s="212"/>
      <c r="BA59" s="212"/>
      <c r="BB59" s="212"/>
      <c r="BC59" s="212"/>
      <c r="BD59" s="212"/>
      <c r="BE59" s="212"/>
      <c r="BF59" s="212"/>
      <c r="BG59" s="212"/>
      <c r="BH59" s="212"/>
      <c r="BI59" s="212"/>
    </row>
    <row r="60" spans="1:61" ht="24" customHeight="1">
      <c r="A60" s="218" t="s">
        <v>1989</v>
      </c>
      <c r="B60" s="218" t="s">
        <v>1708</v>
      </c>
      <c r="C60" s="229">
        <v>0.4</v>
      </c>
      <c r="D60" s="213" t="s">
        <v>9</v>
      </c>
      <c r="E60" s="217">
        <f>일위목록!E53</f>
        <v>0</v>
      </c>
      <c r="F60" s="217">
        <f>TRUNC(E60*C60,0)</f>
        <v>0</v>
      </c>
      <c r="G60" s="217">
        <f>일위목록!F53</f>
        <v>0</v>
      </c>
      <c r="H60" s="217">
        <f>TRUNC(G60*C60,0)</f>
        <v>0</v>
      </c>
      <c r="I60" s="217">
        <f>일위목록!G53</f>
        <v>0</v>
      </c>
      <c r="J60" s="217">
        <f>TRUNC(I60*C60,0)</f>
        <v>0</v>
      </c>
      <c r="K60" s="217">
        <f>E60+G60+I60</f>
        <v>0</v>
      </c>
      <c r="L60" s="217">
        <f>F60+H60+J60</f>
        <v>0</v>
      </c>
      <c r="M60" s="215" t="s">
        <v>1709</v>
      </c>
      <c r="N60" s="212" t="s">
        <v>68</v>
      </c>
      <c r="O60" s="212"/>
      <c r="P60" s="212" t="s">
        <v>1095</v>
      </c>
      <c r="Q60" s="212" t="s">
        <v>68</v>
      </c>
      <c r="R60" s="212" t="s">
        <v>1710</v>
      </c>
      <c r="S60" s="212"/>
      <c r="T60" s="212" t="s">
        <v>1129</v>
      </c>
      <c r="U60" s="212"/>
      <c r="V60" s="212"/>
      <c r="W60" s="212"/>
      <c r="X60" s="212"/>
      <c r="Y60" s="212"/>
      <c r="Z60" s="212"/>
      <c r="AA60" s="212"/>
      <c r="AB60" s="212"/>
      <c r="AC60" s="212"/>
      <c r="AD60" s="212"/>
      <c r="AE60" s="212"/>
      <c r="AF60" s="212"/>
      <c r="AG60" s="212"/>
      <c r="AH60" s="212"/>
      <c r="AI60" s="212"/>
      <c r="AJ60" s="212"/>
      <c r="AK60" s="212"/>
      <c r="AL60" s="212"/>
      <c r="AM60" s="212"/>
      <c r="AN60" s="212"/>
      <c r="AO60" s="212"/>
      <c r="AP60" s="212"/>
      <c r="AQ60" s="212"/>
      <c r="AR60" s="212"/>
      <c r="AS60" s="212"/>
      <c r="AT60" s="212"/>
      <c r="AU60" s="212"/>
      <c r="AV60" s="212"/>
      <c r="AW60" s="212"/>
      <c r="AX60" s="212"/>
      <c r="AY60" s="212"/>
      <c r="AZ60" s="212"/>
      <c r="BA60" s="212"/>
      <c r="BB60" s="212"/>
      <c r="BC60" s="212"/>
      <c r="BD60" s="212"/>
      <c r="BE60" s="212"/>
      <c r="BF60" s="212"/>
      <c r="BG60" s="212"/>
      <c r="BH60" s="212"/>
      <c r="BI60" s="231" t="str">
        <f>HYPERLINK("#일위대가목록!A53","P5-2-2/110 →")</f>
        <v>P5-2-2/110 →</v>
      </c>
    </row>
    <row r="61" spans="1:61" ht="24" customHeight="1">
      <c r="A61" s="215"/>
      <c r="B61" s="215"/>
      <c r="C61" s="229"/>
      <c r="D61" s="213"/>
      <c r="E61" s="213"/>
      <c r="F61" s="213"/>
      <c r="G61" s="213"/>
      <c r="H61" s="213"/>
      <c r="I61" s="213"/>
      <c r="J61" s="213"/>
      <c r="K61" s="213"/>
      <c r="L61" s="213"/>
      <c r="M61" s="215"/>
      <c r="N61" s="212"/>
      <c r="O61" s="212"/>
      <c r="P61" s="212"/>
      <c r="Q61" s="212"/>
      <c r="R61" s="212"/>
      <c r="S61" s="212"/>
      <c r="T61" s="212"/>
      <c r="U61" s="212"/>
      <c r="V61" s="212"/>
      <c r="W61" s="212"/>
      <c r="X61" s="212"/>
      <c r="Y61" s="212"/>
      <c r="Z61" s="212"/>
      <c r="AA61" s="212"/>
      <c r="AB61" s="212"/>
      <c r="AC61" s="212"/>
      <c r="AD61" s="212"/>
      <c r="AE61" s="212"/>
      <c r="AF61" s="212"/>
      <c r="AG61" s="212"/>
      <c r="AH61" s="212"/>
      <c r="AI61" s="212"/>
      <c r="AJ61" s="212"/>
      <c r="AK61" s="212"/>
      <c r="AL61" s="212"/>
      <c r="AM61" s="212"/>
      <c r="AN61" s="212"/>
      <c r="AO61" s="212"/>
      <c r="AP61" s="212"/>
      <c r="AQ61" s="212"/>
      <c r="AR61" s="212"/>
      <c r="AS61" s="212"/>
      <c r="AT61" s="212"/>
      <c r="AU61" s="212"/>
      <c r="AV61" s="212"/>
      <c r="AW61" s="212"/>
      <c r="AX61" s="212"/>
      <c r="AY61" s="212"/>
      <c r="AZ61" s="212"/>
      <c r="BA61" s="212"/>
      <c r="BB61" s="212"/>
      <c r="BC61" s="212"/>
      <c r="BD61" s="212"/>
      <c r="BE61" s="212"/>
      <c r="BF61" s="212"/>
      <c r="BG61" s="212"/>
      <c r="BH61" s="212"/>
      <c r="BI61" s="212"/>
    </row>
    <row r="62" spans="1:61" ht="24" customHeight="1">
      <c r="A62" s="218" t="s">
        <v>1990</v>
      </c>
      <c r="B62" s="218" t="s">
        <v>383</v>
      </c>
      <c r="C62" s="228">
        <v>1</v>
      </c>
      <c r="D62" s="213" t="s">
        <v>378</v>
      </c>
      <c r="E62" s="212"/>
      <c r="F62" s="217">
        <f>TRUNC(F63,0)</f>
        <v>0</v>
      </c>
      <c r="G62" s="212"/>
      <c r="H62" s="217">
        <f>TRUNC(H63,0)</f>
        <v>0</v>
      </c>
      <c r="I62" s="212"/>
      <c r="J62" s="217">
        <f>TRUNC(J63,0)</f>
        <v>0</v>
      </c>
      <c r="K62" s="212"/>
      <c r="L62" s="217">
        <f>F62+H62+J62</f>
        <v>0</v>
      </c>
      <c r="M62" s="215" t="s">
        <v>68</v>
      </c>
      <c r="N62" s="212" t="s">
        <v>68</v>
      </c>
      <c r="O62" s="212" t="s">
        <v>1152</v>
      </c>
      <c r="P62" s="212"/>
      <c r="Q62" s="212"/>
      <c r="R62" s="212"/>
      <c r="S62" s="212"/>
      <c r="T62" s="212"/>
      <c r="U62" s="212"/>
      <c r="V62" s="212"/>
      <c r="W62" s="212"/>
      <c r="X62" s="212"/>
      <c r="Y62" s="212"/>
      <c r="Z62" s="212"/>
      <c r="AA62" s="212"/>
      <c r="AB62" s="212"/>
      <c r="AC62" s="212"/>
      <c r="AD62" s="212"/>
      <c r="AE62" s="212"/>
      <c r="AF62" s="212"/>
      <c r="AG62" s="212"/>
      <c r="AH62" s="212"/>
      <c r="AI62" s="212"/>
      <c r="AJ62" s="212"/>
      <c r="AK62" s="212"/>
      <c r="AL62" s="212"/>
      <c r="AM62" s="212"/>
      <c r="AN62" s="212"/>
      <c r="AO62" s="212"/>
      <c r="AP62" s="212"/>
      <c r="AQ62" s="212"/>
      <c r="AR62" s="212"/>
      <c r="AS62" s="212"/>
      <c r="AT62" s="212"/>
      <c r="AU62" s="212"/>
      <c r="AV62" s="212"/>
      <c r="AW62" s="212"/>
      <c r="AX62" s="212"/>
      <c r="AY62" s="212"/>
      <c r="AZ62" s="212"/>
      <c r="BA62" s="212"/>
      <c r="BB62" s="212"/>
      <c r="BC62" s="212"/>
      <c r="BD62" s="212"/>
      <c r="BE62" s="212"/>
      <c r="BF62" s="212"/>
      <c r="BG62" s="212"/>
      <c r="BH62" s="212"/>
      <c r="BI62" s="212"/>
    </row>
    <row r="63" spans="1:61" ht="24" customHeight="1">
      <c r="A63" s="218" t="s">
        <v>1991</v>
      </c>
      <c r="B63" s="218" t="s">
        <v>993</v>
      </c>
      <c r="C63" s="228">
        <v>1</v>
      </c>
      <c r="D63" s="213" t="s">
        <v>378</v>
      </c>
      <c r="E63" s="217">
        <f>일위목록!E54</f>
        <v>0</v>
      </c>
      <c r="F63" s="217">
        <f>TRUNC(E63*C63,0)</f>
        <v>0</v>
      </c>
      <c r="G63" s="217">
        <f>일위목록!F54</f>
        <v>0</v>
      </c>
      <c r="H63" s="217">
        <f>TRUNC(G63*C63,0)</f>
        <v>0</v>
      </c>
      <c r="I63" s="217">
        <f>일위목록!G54</f>
        <v>0</v>
      </c>
      <c r="J63" s="217">
        <f>TRUNC(I63*C63,0)</f>
        <v>0</v>
      </c>
      <c r="K63" s="217">
        <f>E63+G63+I63</f>
        <v>0</v>
      </c>
      <c r="L63" s="217">
        <f>F63+H63+J63</f>
        <v>0</v>
      </c>
      <c r="M63" s="215" t="s">
        <v>68</v>
      </c>
      <c r="N63" s="212" t="s">
        <v>68</v>
      </c>
      <c r="O63" s="212"/>
      <c r="P63" s="212" t="s">
        <v>1095</v>
      </c>
      <c r="Q63" s="212" t="s">
        <v>68</v>
      </c>
      <c r="R63" s="212" t="s">
        <v>1713</v>
      </c>
      <c r="S63" s="212"/>
      <c r="T63" s="212" t="s">
        <v>1129</v>
      </c>
      <c r="U63" s="212"/>
      <c r="V63" s="212"/>
      <c r="W63" s="212"/>
      <c r="X63" s="212"/>
      <c r="Y63" s="212"/>
      <c r="Z63" s="212"/>
      <c r="AA63" s="212"/>
      <c r="AB63" s="212"/>
      <c r="AC63" s="212"/>
      <c r="AD63" s="212"/>
      <c r="AE63" s="212"/>
      <c r="AF63" s="212"/>
      <c r="AG63" s="212"/>
      <c r="AH63" s="212"/>
      <c r="AI63" s="212"/>
      <c r="AJ63" s="212"/>
      <c r="AK63" s="212"/>
      <c r="AL63" s="212"/>
      <c r="AM63" s="212"/>
      <c r="AN63" s="212"/>
      <c r="AO63" s="212"/>
      <c r="AP63" s="212"/>
      <c r="AQ63" s="212"/>
      <c r="AR63" s="212"/>
      <c r="AS63" s="212"/>
      <c r="AT63" s="212"/>
      <c r="AU63" s="212"/>
      <c r="AV63" s="212"/>
      <c r="AW63" s="212"/>
      <c r="AX63" s="212"/>
      <c r="AY63" s="212"/>
      <c r="AZ63" s="212"/>
      <c r="BA63" s="212"/>
      <c r="BB63" s="212"/>
      <c r="BC63" s="212"/>
      <c r="BD63" s="212"/>
      <c r="BE63" s="212"/>
      <c r="BF63" s="212"/>
      <c r="BG63" s="212"/>
      <c r="BH63" s="212"/>
      <c r="BI63" s="231" t="str">
        <f>HYPERLINK("#일위대가목록!A54","PP10-1-2/40 →")</f>
        <v>PP10-1-2/40 →</v>
      </c>
    </row>
    <row r="64" spans="1:61" ht="24" customHeight="1">
      <c r="A64" s="215"/>
      <c r="B64" s="215"/>
      <c r="C64" s="229"/>
      <c r="D64" s="213"/>
      <c r="E64" s="213"/>
      <c r="F64" s="213"/>
      <c r="G64" s="213"/>
      <c r="H64" s="213"/>
      <c r="I64" s="213"/>
      <c r="J64" s="213"/>
      <c r="K64" s="213"/>
      <c r="L64" s="213"/>
      <c r="M64" s="215"/>
      <c r="N64" s="212"/>
      <c r="O64" s="212"/>
      <c r="P64" s="212"/>
      <c r="Q64" s="212"/>
      <c r="R64" s="212"/>
      <c r="S64" s="212"/>
      <c r="T64" s="212"/>
      <c r="U64" s="212"/>
      <c r="V64" s="212"/>
      <c r="W64" s="212"/>
      <c r="X64" s="212"/>
      <c r="Y64" s="212"/>
      <c r="Z64" s="212"/>
      <c r="AA64" s="212"/>
      <c r="AB64" s="212"/>
      <c r="AC64" s="212"/>
      <c r="AD64" s="212"/>
      <c r="AE64" s="212"/>
      <c r="AF64" s="212"/>
      <c r="AG64" s="212"/>
      <c r="AH64" s="212"/>
      <c r="AI64" s="212"/>
      <c r="AJ64" s="212"/>
      <c r="AK64" s="212"/>
      <c r="AL64" s="212"/>
      <c r="AM64" s="212"/>
      <c r="AN64" s="212"/>
      <c r="AO64" s="212"/>
      <c r="AP64" s="212"/>
      <c r="AQ64" s="212"/>
      <c r="AR64" s="212"/>
      <c r="AS64" s="212"/>
      <c r="AT64" s="212"/>
      <c r="AU64" s="212"/>
      <c r="AV64" s="212"/>
      <c r="AW64" s="212"/>
      <c r="AX64" s="212"/>
      <c r="AY64" s="212"/>
      <c r="AZ64" s="212"/>
      <c r="BA64" s="212"/>
      <c r="BB64" s="212"/>
      <c r="BC64" s="212"/>
      <c r="BD64" s="212"/>
      <c r="BE64" s="212"/>
      <c r="BF64" s="212"/>
      <c r="BG64" s="212"/>
      <c r="BH64" s="212"/>
      <c r="BI64" s="212"/>
    </row>
    <row r="65" spans="1:61" ht="24" customHeight="1">
      <c r="A65" s="218" t="s">
        <v>1992</v>
      </c>
      <c r="B65" s="218" t="s">
        <v>413</v>
      </c>
      <c r="C65" s="228">
        <v>1</v>
      </c>
      <c r="D65" s="213" t="s">
        <v>378</v>
      </c>
      <c r="E65" s="212"/>
      <c r="F65" s="217">
        <f>TRUNC(F66,0)</f>
        <v>0</v>
      </c>
      <c r="G65" s="212"/>
      <c r="H65" s="217">
        <f>TRUNC(H66,0)</f>
        <v>0</v>
      </c>
      <c r="I65" s="212"/>
      <c r="J65" s="217">
        <f>TRUNC(J66,0)</f>
        <v>0</v>
      </c>
      <c r="K65" s="212"/>
      <c r="L65" s="217">
        <f>F65+H65+J65</f>
        <v>0</v>
      </c>
      <c r="M65" s="215" t="s">
        <v>68</v>
      </c>
      <c r="N65" s="212" t="s">
        <v>68</v>
      </c>
      <c r="O65" s="212" t="s">
        <v>1153</v>
      </c>
      <c r="P65" s="212"/>
      <c r="Q65" s="212"/>
      <c r="R65" s="212"/>
      <c r="S65" s="212"/>
      <c r="T65" s="212"/>
      <c r="U65" s="212"/>
      <c r="V65" s="212"/>
      <c r="W65" s="212"/>
      <c r="X65" s="212"/>
      <c r="Y65" s="212"/>
      <c r="Z65" s="212"/>
      <c r="AA65" s="212"/>
      <c r="AB65" s="212"/>
      <c r="AC65" s="212"/>
      <c r="AD65" s="212"/>
      <c r="AE65" s="212"/>
      <c r="AF65" s="212"/>
      <c r="AG65" s="212"/>
      <c r="AH65" s="212"/>
      <c r="AI65" s="212"/>
      <c r="AJ65" s="212"/>
      <c r="AK65" s="212"/>
      <c r="AL65" s="212"/>
      <c r="AM65" s="212"/>
      <c r="AN65" s="212"/>
      <c r="AO65" s="212"/>
      <c r="AP65" s="212"/>
      <c r="AQ65" s="212"/>
      <c r="AR65" s="212"/>
      <c r="AS65" s="212"/>
      <c r="AT65" s="212"/>
      <c r="AU65" s="212"/>
      <c r="AV65" s="212"/>
      <c r="AW65" s="212"/>
      <c r="AX65" s="212"/>
      <c r="AY65" s="212"/>
      <c r="AZ65" s="212"/>
      <c r="BA65" s="212"/>
      <c r="BB65" s="212"/>
      <c r="BC65" s="212"/>
      <c r="BD65" s="212"/>
      <c r="BE65" s="212"/>
      <c r="BF65" s="212"/>
      <c r="BG65" s="212"/>
      <c r="BH65" s="212"/>
      <c r="BI65" s="212"/>
    </row>
    <row r="66" spans="1:61" ht="24" customHeight="1">
      <c r="A66" s="218" t="s">
        <v>1991</v>
      </c>
      <c r="B66" s="218" t="s">
        <v>1715</v>
      </c>
      <c r="C66" s="228">
        <v>1</v>
      </c>
      <c r="D66" s="213" t="s">
        <v>378</v>
      </c>
      <c r="E66" s="217">
        <f>일위목록!E55</f>
        <v>0</v>
      </c>
      <c r="F66" s="217">
        <f>TRUNC(E66*C66,0)</f>
        <v>0</v>
      </c>
      <c r="G66" s="217">
        <f>일위목록!F55</f>
        <v>0</v>
      </c>
      <c r="H66" s="217">
        <f>TRUNC(G66*C66,0)</f>
        <v>0</v>
      </c>
      <c r="I66" s="217">
        <f>일위목록!G55</f>
        <v>0</v>
      </c>
      <c r="J66" s="217">
        <f>TRUNC(I66*C66,0)</f>
        <v>0</v>
      </c>
      <c r="K66" s="217">
        <f>E66+G66+I66</f>
        <v>0</v>
      </c>
      <c r="L66" s="217">
        <f>F66+H66+J66</f>
        <v>0</v>
      </c>
      <c r="M66" s="215" t="s">
        <v>68</v>
      </c>
      <c r="N66" s="212" t="s">
        <v>68</v>
      </c>
      <c r="O66" s="212"/>
      <c r="P66" s="212" t="s">
        <v>1095</v>
      </c>
      <c r="Q66" s="212" t="s">
        <v>68</v>
      </c>
      <c r="R66" s="212" t="s">
        <v>1716</v>
      </c>
      <c r="S66" s="212"/>
      <c r="T66" s="212" t="s">
        <v>1129</v>
      </c>
      <c r="U66" s="212"/>
      <c r="V66" s="212"/>
      <c r="W66" s="212"/>
      <c r="X66" s="212"/>
      <c r="Y66" s="212"/>
      <c r="Z66" s="212"/>
      <c r="AA66" s="212"/>
      <c r="AB66" s="212"/>
      <c r="AC66" s="212"/>
      <c r="AD66" s="212"/>
      <c r="AE66" s="212"/>
      <c r="AF66" s="212"/>
      <c r="AG66" s="212"/>
      <c r="AH66" s="212"/>
      <c r="AI66" s="212"/>
      <c r="AJ66" s="212"/>
      <c r="AK66" s="212"/>
      <c r="AL66" s="212"/>
      <c r="AM66" s="212"/>
      <c r="AN66" s="212"/>
      <c r="AO66" s="212"/>
      <c r="AP66" s="212"/>
      <c r="AQ66" s="212"/>
      <c r="AR66" s="212"/>
      <c r="AS66" s="212"/>
      <c r="AT66" s="212"/>
      <c r="AU66" s="212"/>
      <c r="AV66" s="212"/>
      <c r="AW66" s="212"/>
      <c r="AX66" s="212"/>
      <c r="AY66" s="212"/>
      <c r="AZ66" s="212"/>
      <c r="BA66" s="212"/>
      <c r="BB66" s="212"/>
      <c r="BC66" s="212"/>
      <c r="BD66" s="212"/>
      <c r="BE66" s="212"/>
      <c r="BF66" s="212"/>
      <c r="BG66" s="212"/>
      <c r="BH66" s="212"/>
      <c r="BI66" s="231" t="str">
        <f>HYPERLINK("#일위대가목록!A55","PP10-1-2/30 →")</f>
        <v>PP10-1-2/30 →</v>
      </c>
    </row>
    <row r="67" spans="1:61" ht="24" customHeight="1">
      <c r="A67" s="215"/>
      <c r="B67" s="215"/>
      <c r="C67" s="229"/>
      <c r="D67" s="213"/>
      <c r="E67" s="213"/>
      <c r="F67" s="213"/>
      <c r="G67" s="213"/>
      <c r="H67" s="213"/>
      <c r="I67" s="213"/>
      <c r="J67" s="213"/>
      <c r="K67" s="213"/>
      <c r="L67" s="213"/>
      <c r="M67" s="215"/>
      <c r="N67" s="212"/>
      <c r="O67" s="212"/>
      <c r="P67" s="212"/>
      <c r="Q67" s="212"/>
      <c r="R67" s="212"/>
      <c r="S67" s="212"/>
      <c r="T67" s="212"/>
      <c r="U67" s="212"/>
      <c r="V67" s="212"/>
      <c r="W67" s="212"/>
      <c r="X67" s="212"/>
      <c r="Y67" s="212"/>
      <c r="Z67" s="212"/>
      <c r="AA67" s="212"/>
      <c r="AB67" s="212"/>
      <c r="AC67" s="212"/>
      <c r="AD67" s="212"/>
      <c r="AE67" s="212"/>
      <c r="AF67" s="212"/>
      <c r="AG67" s="212"/>
      <c r="AH67" s="212"/>
      <c r="AI67" s="212"/>
      <c r="AJ67" s="212"/>
      <c r="AK67" s="212"/>
      <c r="AL67" s="212"/>
      <c r="AM67" s="212"/>
      <c r="AN67" s="212"/>
      <c r="AO67" s="212"/>
      <c r="AP67" s="212"/>
      <c r="AQ67" s="212"/>
      <c r="AR67" s="212"/>
      <c r="AS67" s="212"/>
      <c r="AT67" s="212"/>
      <c r="AU67" s="212"/>
      <c r="AV67" s="212"/>
      <c r="AW67" s="212"/>
      <c r="AX67" s="212"/>
      <c r="AY67" s="212"/>
      <c r="AZ67" s="212"/>
      <c r="BA67" s="212"/>
      <c r="BB67" s="212"/>
      <c r="BC67" s="212"/>
      <c r="BD67" s="212"/>
      <c r="BE67" s="212"/>
      <c r="BF67" s="212"/>
      <c r="BG67" s="212"/>
      <c r="BH67" s="212"/>
      <c r="BI67" s="212"/>
    </row>
    <row r="68" spans="1:61" ht="24" customHeight="1">
      <c r="A68" s="218" t="s">
        <v>1993</v>
      </c>
      <c r="B68" s="218" t="s">
        <v>1155</v>
      </c>
      <c r="C68" s="228">
        <v>1</v>
      </c>
      <c r="D68" s="213" t="s">
        <v>378</v>
      </c>
      <c r="E68" s="212"/>
      <c r="F68" s="217">
        <f>TRUNC(F69,0)</f>
        <v>0</v>
      </c>
      <c r="G68" s="212"/>
      <c r="H68" s="217">
        <f>TRUNC(H69,0)</f>
        <v>0</v>
      </c>
      <c r="I68" s="212"/>
      <c r="J68" s="217">
        <f>TRUNC(J69,0)</f>
        <v>0</v>
      </c>
      <c r="K68" s="212"/>
      <c r="L68" s="217">
        <f>F68+H68+J68</f>
        <v>0</v>
      </c>
      <c r="M68" s="215" t="s">
        <v>68</v>
      </c>
      <c r="N68" s="212" t="s">
        <v>68</v>
      </c>
      <c r="O68" s="212" t="s">
        <v>1156</v>
      </c>
      <c r="P68" s="212"/>
      <c r="Q68" s="212"/>
      <c r="R68" s="212"/>
      <c r="S68" s="212"/>
      <c r="T68" s="212"/>
      <c r="U68" s="212"/>
      <c r="V68" s="212"/>
      <c r="W68" s="212"/>
      <c r="X68" s="212"/>
      <c r="Y68" s="212"/>
      <c r="Z68" s="212"/>
      <c r="AA68" s="212"/>
      <c r="AB68" s="212"/>
      <c r="AC68" s="212"/>
      <c r="AD68" s="212"/>
      <c r="AE68" s="212"/>
      <c r="AF68" s="212"/>
      <c r="AG68" s="212"/>
      <c r="AH68" s="212"/>
      <c r="AI68" s="212"/>
      <c r="AJ68" s="212"/>
      <c r="AK68" s="212"/>
      <c r="AL68" s="212"/>
      <c r="AM68" s="212"/>
      <c r="AN68" s="212"/>
      <c r="AO68" s="212"/>
      <c r="AP68" s="212"/>
      <c r="AQ68" s="212"/>
      <c r="AR68" s="212"/>
      <c r="AS68" s="212"/>
      <c r="AT68" s="212"/>
      <c r="AU68" s="212"/>
      <c r="AV68" s="212"/>
      <c r="AW68" s="212"/>
      <c r="AX68" s="212"/>
      <c r="AY68" s="212"/>
      <c r="AZ68" s="212"/>
      <c r="BA68" s="212"/>
      <c r="BB68" s="212"/>
      <c r="BC68" s="212"/>
      <c r="BD68" s="212"/>
      <c r="BE68" s="212"/>
      <c r="BF68" s="212"/>
      <c r="BG68" s="212"/>
      <c r="BH68" s="212"/>
      <c r="BI68" s="212"/>
    </row>
    <row r="69" spans="1:61" ht="24" customHeight="1">
      <c r="A69" s="218" t="s">
        <v>1994</v>
      </c>
      <c r="B69" s="218" t="s">
        <v>1718</v>
      </c>
      <c r="C69" s="228">
        <v>1</v>
      </c>
      <c r="D69" s="213" t="s">
        <v>378</v>
      </c>
      <c r="E69" s="217">
        <f>일위목록!E56</f>
        <v>0</v>
      </c>
      <c r="F69" s="217">
        <f>TRUNC(E69*C69,0)</f>
        <v>0</v>
      </c>
      <c r="G69" s="217">
        <f>일위목록!F56</f>
        <v>0</v>
      </c>
      <c r="H69" s="217">
        <f>TRUNC(G69*C69,0)</f>
        <v>0</v>
      </c>
      <c r="I69" s="217">
        <f>일위목록!G56</f>
        <v>0</v>
      </c>
      <c r="J69" s="217">
        <f>TRUNC(I69*C69,0)</f>
        <v>0</v>
      </c>
      <c r="K69" s="217">
        <f>E69+G69+I69</f>
        <v>0</v>
      </c>
      <c r="L69" s="217">
        <f>F69+H69+J69</f>
        <v>0</v>
      </c>
      <c r="M69" s="215" t="s">
        <v>68</v>
      </c>
      <c r="N69" s="212" t="s">
        <v>68</v>
      </c>
      <c r="O69" s="212"/>
      <c r="P69" s="212" t="s">
        <v>1095</v>
      </c>
      <c r="Q69" s="212" t="s">
        <v>68</v>
      </c>
      <c r="R69" s="212" t="s">
        <v>1720</v>
      </c>
      <c r="S69" s="212"/>
      <c r="T69" s="212" t="s">
        <v>1129</v>
      </c>
      <c r="U69" s="212"/>
      <c r="V69" s="212"/>
      <c r="W69" s="212"/>
      <c r="X69" s="212"/>
      <c r="Y69" s="212"/>
      <c r="Z69" s="212"/>
      <c r="AA69" s="212"/>
      <c r="AB69" s="212"/>
      <c r="AC69" s="212"/>
      <c r="AD69" s="212"/>
      <c r="AE69" s="212"/>
      <c r="AF69" s="212"/>
      <c r="AG69" s="212"/>
      <c r="AH69" s="212"/>
      <c r="AI69" s="212"/>
      <c r="AJ69" s="212"/>
      <c r="AK69" s="212"/>
      <c r="AL69" s="212"/>
      <c r="AM69" s="212"/>
      <c r="AN69" s="212"/>
      <c r="AO69" s="212"/>
      <c r="AP69" s="212"/>
      <c r="AQ69" s="212"/>
      <c r="AR69" s="212"/>
      <c r="AS69" s="212"/>
      <c r="AT69" s="212"/>
      <c r="AU69" s="212"/>
      <c r="AV69" s="212"/>
      <c r="AW69" s="212"/>
      <c r="AX69" s="212"/>
      <c r="AY69" s="212"/>
      <c r="AZ69" s="212"/>
      <c r="BA69" s="212"/>
      <c r="BB69" s="212"/>
      <c r="BC69" s="212"/>
      <c r="BD69" s="212"/>
      <c r="BE69" s="212"/>
      <c r="BF69" s="212"/>
      <c r="BG69" s="212"/>
      <c r="BH69" s="212"/>
      <c r="BI69" s="231" t="str">
        <f>HYPERLINK("#일위대가목록!A56","PP10-1-3/10 →")</f>
        <v>PP10-1-3/10 →</v>
      </c>
    </row>
    <row r="70" spans="1:61" ht="24" customHeight="1">
      <c r="A70" s="215"/>
      <c r="B70" s="215"/>
      <c r="C70" s="229"/>
      <c r="D70" s="213"/>
      <c r="E70" s="213"/>
      <c r="F70" s="213"/>
      <c r="G70" s="213"/>
      <c r="H70" s="213"/>
      <c r="I70" s="213"/>
      <c r="J70" s="213"/>
      <c r="K70" s="213"/>
      <c r="L70" s="213"/>
      <c r="M70" s="215"/>
      <c r="N70" s="212"/>
      <c r="O70" s="212"/>
      <c r="P70" s="212"/>
      <c r="Q70" s="212"/>
      <c r="R70" s="212"/>
      <c r="S70" s="212"/>
      <c r="T70" s="212"/>
      <c r="U70" s="212"/>
      <c r="V70" s="212"/>
      <c r="W70" s="212"/>
      <c r="X70" s="212"/>
      <c r="Y70" s="212"/>
      <c r="Z70" s="212"/>
      <c r="AA70" s="212"/>
      <c r="AB70" s="212"/>
      <c r="AC70" s="212"/>
      <c r="AD70" s="212"/>
      <c r="AE70" s="212"/>
      <c r="AF70" s="212"/>
      <c r="AG70" s="212"/>
      <c r="AH70" s="212"/>
      <c r="AI70" s="212"/>
      <c r="AJ70" s="212"/>
      <c r="AK70" s="212"/>
      <c r="AL70" s="212"/>
      <c r="AM70" s="212"/>
      <c r="AN70" s="212"/>
      <c r="AO70" s="212"/>
      <c r="AP70" s="212"/>
      <c r="AQ70" s="212"/>
      <c r="AR70" s="212"/>
      <c r="AS70" s="212"/>
      <c r="AT70" s="212"/>
      <c r="AU70" s="212"/>
      <c r="AV70" s="212"/>
      <c r="AW70" s="212"/>
      <c r="AX70" s="212"/>
      <c r="AY70" s="212"/>
      <c r="AZ70" s="212"/>
      <c r="BA70" s="212"/>
      <c r="BB70" s="212"/>
      <c r="BC70" s="212"/>
      <c r="BD70" s="212"/>
      <c r="BE70" s="212"/>
      <c r="BF70" s="212"/>
      <c r="BG70" s="212"/>
      <c r="BH70" s="212"/>
      <c r="BI70" s="212"/>
    </row>
    <row r="71" spans="1:61" ht="24" customHeight="1">
      <c r="A71" s="218" t="s">
        <v>1995</v>
      </c>
      <c r="B71" s="218" t="s">
        <v>376</v>
      </c>
      <c r="C71" s="228">
        <v>1</v>
      </c>
      <c r="D71" s="213" t="s">
        <v>378</v>
      </c>
      <c r="E71" s="212"/>
      <c r="F71" s="217">
        <f>TRUNC(F72,0)</f>
        <v>0</v>
      </c>
      <c r="G71" s="212"/>
      <c r="H71" s="217">
        <f>TRUNC(H72,0)</f>
        <v>0</v>
      </c>
      <c r="I71" s="212"/>
      <c r="J71" s="217">
        <f>TRUNC(J72,0)</f>
        <v>0</v>
      </c>
      <c r="K71" s="212"/>
      <c r="L71" s="217">
        <f>F71+H71+J71</f>
        <v>0</v>
      </c>
      <c r="M71" s="215" t="s">
        <v>68</v>
      </c>
      <c r="N71" s="212" t="s">
        <v>68</v>
      </c>
      <c r="O71" s="212" t="s">
        <v>1157</v>
      </c>
      <c r="P71" s="212"/>
      <c r="Q71" s="212"/>
      <c r="R71" s="212"/>
      <c r="S71" s="212"/>
      <c r="T71" s="212"/>
      <c r="U71" s="212"/>
      <c r="V71" s="212"/>
      <c r="W71" s="212"/>
      <c r="X71" s="212"/>
      <c r="Y71" s="212"/>
      <c r="Z71" s="212"/>
      <c r="AA71" s="212"/>
      <c r="AB71" s="212"/>
      <c r="AC71" s="212"/>
      <c r="AD71" s="212"/>
      <c r="AE71" s="212"/>
      <c r="AF71" s="212"/>
      <c r="AG71" s="212"/>
      <c r="AH71" s="212"/>
      <c r="AI71" s="212"/>
      <c r="AJ71" s="212"/>
      <c r="AK71" s="212"/>
      <c r="AL71" s="212"/>
      <c r="AM71" s="212"/>
      <c r="AN71" s="212"/>
      <c r="AO71" s="212"/>
      <c r="AP71" s="212"/>
      <c r="AQ71" s="212"/>
      <c r="AR71" s="212"/>
      <c r="AS71" s="212"/>
      <c r="AT71" s="212"/>
      <c r="AU71" s="212"/>
      <c r="AV71" s="212"/>
      <c r="AW71" s="212"/>
      <c r="AX71" s="212"/>
      <c r="AY71" s="212"/>
      <c r="AZ71" s="212"/>
      <c r="BA71" s="212"/>
      <c r="BB71" s="212"/>
      <c r="BC71" s="212"/>
      <c r="BD71" s="212"/>
      <c r="BE71" s="212"/>
      <c r="BF71" s="212"/>
      <c r="BG71" s="212"/>
      <c r="BH71" s="212"/>
      <c r="BI71" s="212"/>
    </row>
    <row r="72" spans="1:61" ht="24" customHeight="1">
      <c r="A72" s="218" t="s">
        <v>1994</v>
      </c>
      <c r="B72" s="218" t="s">
        <v>1715</v>
      </c>
      <c r="C72" s="228">
        <v>1</v>
      </c>
      <c r="D72" s="213" t="s">
        <v>378</v>
      </c>
      <c r="E72" s="217">
        <f>일위목록!E57</f>
        <v>0</v>
      </c>
      <c r="F72" s="217">
        <f>TRUNC(E72*C72,0)</f>
        <v>0</v>
      </c>
      <c r="G72" s="217">
        <f>일위목록!F57</f>
        <v>0</v>
      </c>
      <c r="H72" s="217">
        <f>TRUNC(G72*C72,0)</f>
        <v>0</v>
      </c>
      <c r="I72" s="217">
        <f>일위목록!G57</f>
        <v>0</v>
      </c>
      <c r="J72" s="217">
        <f>TRUNC(I72*C72,0)</f>
        <v>0</v>
      </c>
      <c r="K72" s="217">
        <f>E72+G72+I72</f>
        <v>0</v>
      </c>
      <c r="L72" s="217">
        <f>F72+H72+J72</f>
        <v>0</v>
      </c>
      <c r="M72" s="215" t="s">
        <v>68</v>
      </c>
      <c r="N72" s="212" t="s">
        <v>68</v>
      </c>
      <c r="O72" s="212"/>
      <c r="P72" s="212" t="s">
        <v>1095</v>
      </c>
      <c r="Q72" s="212" t="s">
        <v>68</v>
      </c>
      <c r="R72" s="212" t="s">
        <v>1722</v>
      </c>
      <c r="S72" s="212"/>
      <c r="T72" s="212" t="s">
        <v>1129</v>
      </c>
      <c r="U72" s="212"/>
      <c r="V72" s="212"/>
      <c r="W72" s="212"/>
      <c r="X72" s="212"/>
      <c r="Y72" s="212"/>
      <c r="Z72" s="212"/>
      <c r="AA72" s="212"/>
      <c r="AB72" s="212"/>
      <c r="AC72" s="212"/>
      <c r="AD72" s="212"/>
      <c r="AE72" s="212"/>
      <c r="AF72" s="212"/>
      <c r="AG72" s="212"/>
      <c r="AH72" s="212"/>
      <c r="AI72" s="212"/>
      <c r="AJ72" s="212"/>
      <c r="AK72" s="212"/>
      <c r="AL72" s="212"/>
      <c r="AM72" s="212"/>
      <c r="AN72" s="212"/>
      <c r="AO72" s="212"/>
      <c r="AP72" s="212"/>
      <c r="AQ72" s="212"/>
      <c r="AR72" s="212"/>
      <c r="AS72" s="212"/>
      <c r="AT72" s="212"/>
      <c r="AU72" s="212"/>
      <c r="AV72" s="212"/>
      <c r="AW72" s="212"/>
      <c r="AX72" s="212"/>
      <c r="AY72" s="212"/>
      <c r="AZ72" s="212"/>
      <c r="BA72" s="212"/>
      <c r="BB72" s="212"/>
      <c r="BC72" s="212"/>
      <c r="BD72" s="212"/>
      <c r="BE72" s="212"/>
      <c r="BF72" s="212"/>
      <c r="BG72" s="212"/>
      <c r="BH72" s="212"/>
      <c r="BI72" s="231" t="str">
        <f>HYPERLINK("#일위대가목록!A57","PP10-1-3/30 →")</f>
        <v>PP10-1-3/30 →</v>
      </c>
    </row>
    <row r="73" spans="1:61" ht="24" customHeight="1">
      <c r="A73" s="215"/>
      <c r="B73" s="215"/>
      <c r="C73" s="229"/>
      <c r="D73" s="213"/>
      <c r="E73" s="213"/>
      <c r="F73" s="213"/>
      <c r="G73" s="213"/>
      <c r="H73" s="213"/>
      <c r="I73" s="213"/>
      <c r="J73" s="213"/>
      <c r="K73" s="213"/>
      <c r="L73" s="213"/>
      <c r="M73" s="215"/>
      <c r="N73" s="212"/>
      <c r="O73" s="212"/>
      <c r="P73" s="212"/>
      <c r="Q73" s="212"/>
      <c r="R73" s="212"/>
      <c r="S73" s="212"/>
      <c r="T73" s="212"/>
      <c r="U73" s="212"/>
      <c r="V73" s="212"/>
      <c r="W73" s="212"/>
      <c r="X73" s="212"/>
      <c r="Y73" s="212"/>
      <c r="Z73" s="212"/>
      <c r="AA73" s="212"/>
      <c r="AB73" s="212"/>
      <c r="AC73" s="212"/>
      <c r="AD73" s="212"/>
      <c r="AE73" s="212"/>
      <c r="AF73" s="212"/>
      <c r="AG73" s="212"/>
      <c r="AH73" s="212"/>
      <c r="AI73" s="212"/>
      <c r="AJ73" s="212"/>
      <c r="AK73" s="212"/>
      <c r="AL73" s="212"/>
      <c r="AM73" s="212"/>
      <c r="AN73" s="212"/>
      <c r="AO73" s="212"/>
      <c r="AP73" s="212"/>
      <c r="AQ73" s="212"/>
      <c r="AR73" s="212"/>
      <c r="AS73" s="212"/>
      <c r="AT73" s="212"/>
      <c r="AU73" s="212"/>
      <c r="AV73" s="212"/>
      <c r="AW73" s="212"/>
      <c r="AX73" s="212"/>
      <c r="AY73" s="212"/>
      <c r="AZ73" s="212"/>
      <c r="BA73" s="212"/>
      <c r="BB73" s="212"/>
      <c r="BC73" s="212"/>
      <c r="BD73" s="212"/>
      <c r="BE73" s="212"/>
      <c r="BF73" s="212"/>
      <c r="BG73" s="212"/>
      <c r="BH73" s="212"/>
      <c r="BI73" s="212"/>
    </row>
    <row r="74" spans="1:61" ht="24" customHeight="1">
      <c r="A74" s="218" t="s">
        <v>1996</v>
      </c>
      <c r="B74" s="218" t="s">
        <v>415</v>
      </c>
      <c r="C74" s="228">
        <v>1</v>
      </c>
      <c r="D74" s="213" t="s">
        <v>378</v>
      </c>
      <c r="E74" s="212"/>
      <c r="F74" s="217">
        <f>TRUNC(F75,0)</f>
        <v>0</v>
      </c>
      <c r="G74" s="212"/>
      <c r="H74" s="217">
        <f>TRUNC(H75,0)</f>
        <v>0</v>
      </c>
      <c r="I74" s="212"/>
      <c r="J74" s="217">
        <f>TRUNC(J75,0)</f>
        <v>0</v>
      </c>
      <c r="K74" s="212"/>
      <c r="L74" s="217">
        <f>F74+H74+J74</f>
        <v>0</v>
      </c>
      <c r="M74" s="215" t="s">
        <v>68</v>
      </c>
      <c r="N74" s="212" t="s">
        <v>68</v>
      </c>
      <c r="O74" s="212" t="s">
        <v>1158</v>
      </c>
      <c r="P74" s="212"/>
      <c r="Q74" s="212"/>
      <c r="R74" s="212"/>
      <c r="S74" s="212"/>
      <c r="T74" s="212"/>
      <c r="U74" s="212"/>
      <c r="V74" s="212"/>
      <c r="W74" s="212"/>
      <c r="X74" s="212"/>
      <c r="Y74" s="212"/>
      <c r="Z74" s="212"/>
      <c r="AA74" s="212"/>
      <c r="AB74" s="212"/>
      <c r="AC74" s="212"/>
      <c r="AD74" s="212"/>
      <c r="AE74" s="212"/>
      <c r="AF74" s="212"/>
      <c r="AG74" s="212"/>
      <c r="AH74" s="212"/>
      <c r="AI74" s="212"/>
      <c r="AJ74" s="212"/>
      <c r="AK74" s="212"/>
      <c r="AL74" s="212"/>
      <c r="AM74" s="212"/>
      <c r="AN74" s="212"/>
      <c r="AO74" s="212"/>
      <c r="AP74" s="212"/>
      <c r="AQ74" s="212"/>
      <c r="AR74" s="212"/>
      <c r="AS74" s="212"/>
      <c r="AT74" s="212"/>
      <c r="AU74" s="212"/>
      <c r="AV74" s="212"/>
      <c r="AW74" s="212"/>
      <c r="AX74" s="212"/>
      <c r="AY74" s="212"/>
      <c r="AZ74" s="212"/>
      <c r="BA74" s="212"/>
      <c r="BB74" s="212"/>
      <c r="BC74" s="212"/>
      <c r="BD74" s="212"/>
      <c r="BE74" s="212"/>
      <c r="BF74" s="212"/>
      <c r="BG74" s="212"/>
      <c r="BH74" s="212"/>
      <c r="BI74" s="212"/>
    </row>
    <row r="75" spans="1:61" ht="24" customHeight="1">
      <c r="A75" s="218" t="s">
        <v>1994</v>
      </c>
      <c r="B75" s="218" t="s">
        <v>1724</v>
      </c>
      <c r="C75" s="228">
        <v>1</v>
      </c>
      <c r="D75" s="213" t="s">
        <v>378</v>
      </c>
      <c r="E75" s="217">
        <f>일위목록!E58</f>
        <v>0</v>
      </c>
      <c r="F75" s="217">
        <f>TRUNC(E75*C75,0)</f>
        <v>0</v>
      </c>
      <c r="G75" s="217">
        <f>일위목록!F58</f>
        <v>0</v>
      </c>
      <c r="H75" s="217">
        <f>TRUNC(G75*C75,0)</f>
        <v>0</v>
      </c>
      <c r="I75" s="217">
        <f>일위목록!G58</f>
        <v>0</v>
      </c>
      <c r="J75" s="217">
        <f>TRUNC(I75*C75,0)</f>
        <v>0</v>
      </c>
      <c r="K75" s="217">
        <f>E75+G75+I75</f>
        <v>0</v>
      </c>
      <c r="L75" s="217">
        <f>F75+H75+J75</f>
        <v>0</v>
      </c>
      <c r="M75" s="215" t="s">
        <v>68</v>
      </c>
      <c r="N75" s="212" t="s">
        <v>68</v>
      </c>
      <c r="O75" s="212"/>
      <c r="P75" s="212" t="s">
        <v>1095</v>
      </c>
      <c r="Q75" s="212" t="s">
        <v>68</v>
      </c>
      <c r="R75" s="212" t="s">
        <v>1725</v>
      </c>
      <c r="S75" s="212"/>
      <c r="T75" s="212" t="s">
        <v>1129</v>
      </c>
      <c r="U75" s="212"/>
      <c r="V75" s="212"/>
      <c r="W75" s="212"/>
      <c r="X75" s="212"/>
      <c r="Y75" s="212"/>
      <c r="Z75" s="212"/>
      <c r="AA75" s="212"/>
      <c r="AB75" s="212"/>
      <c r="AC75" s="212"/>
      <c r="AD75" s="212"/>
      <c r="AE75" s="212"/>
      <c r="AF75" s="212"/>
      <c r="AG75" s="212"/>
      <c r="AH75" s="212"/>
      <c r="AI75" s="212"/>
      <c r="AJ75" s="212"/>
      <c r="AK75" s="212"/>
      <c r="AL75" s="212"/>
      <c r="AM75" s="212"/>
      <c r="AN75" s="212"/>
      <c r="AO75" s="212"/>
      <c r="AP75" s="212"/>
      <c r="AQ75" s="212"/>
      <c r="AR75" s="212"/>
      <c r="AS75" s="212"/>
      <c r="AT75" s="212"/>
      <c r="AU75" s="212"/>
      <c r="AV75" s="212"/>
      <c r="AW75" s="212"/>
      <c r="AX75" s="212"/>
      <c r="AY75" s="212"/>
      <c r="AZ75" s="212"/>
      <c r="BA75" s="212"/>
      <c r="BB75" s="212"/>
      <c r="BC75" s="212"/>
      <c r="BD75" s="212"/>
      <c r="BE75" s="212"/>
      <c r="BF75" s="212"/>
      <c r="BG75" s="212"/>
      <c r="BH75" s="212"/>
      <c r="BI75" s="231" t="str">
        <f>HYPERLINK("#일위대가목록!A58","PP10-1-3/50 →")</f>
        <v>PP10-1-3/50 →</v>
      </c>
    </row>
    <row r="76" spans="1:61" ht="24" customHeight="1">
      <c r="A76" s="215"/>
      <c r="B76" s="215"/>
      <c r="C76" s="229"/>
      <c r="D76" s="213"/>
      <c r="E76" s="213"/>
      <c r="F76" s="213"/>
      <c r="G76" s="213"/>
      <c r="H76" s="213"/>
      <c r="I76" s="213"/>
      <c r="J76" s="213"/>
      <c r="K76" s="213"/>
      <c r="L76" s="213"/>
      <c r="M76" s="215"/>
      <c r="N76" s="212"/>
      <c r="O76" s="212"/>
      <c r="P76" s="212"/>
      <c r="Q76" s="212"/>
      <c r="R76" s="212"/>
      <c r="S76" s="212"/>
      <c r="T76" s="212"/>
      <c r="U76" s="212"/>
      <c r="V76" s="212"/>
      <c r="W76" s="212"/>
      <c r="X76" s="212"/>
      <c r="Y76" s="212"/>
      <c r="Z76" s="212"/>
      <c r="AA76" s="212"/>
      <c r="AB76" s="212"/>
      <c r="AC76" s="212"/>
      <c r="AD76" s="212"/>
      <c r="AE76" s="212"/>
      <c r="AF76" s="212"/>
      <c r="AG76" s="212"/>
      <c r="AH76" s="212"/>
      <c r="AI76" s="212"/>
      <c r="AJ76" s="212"/>
      <c r="AK76" s="212"/>
      <c r="AL76" s="212"/>
      <c r="AM76" s="212"/>
      <c r="AN76" s="212"/>
      <c r="AO76" s="212"/>
      <c r="AP76" s="212"/>
      <c r="AQ76" s="212"/>
      <c r="AR76" s="212"/>
      <c r="AS76" s="212"/>
      <c r="AT76" s="212"/>
      <c r="AU76" s="212"/>
      <c r="AV76" s="212"/>
      <c r="AW76" s="212"/>
      <c r="AX76" s="212"/>
      <c r="AY76" s="212"/>
      <c r="AZ76" s="212"/>
      <c r="BA76" s="212"/>
      <c r="BB76" s="212"/>
      <c r="BC76" s="212"/>
      <c r="BD76" s="212"/>
      <c r="BE76" s="212"/>
      <c r="BF76" s="212"/>
      <c r="BG76" s="212"/>
      <c r="BH76" s="212"/>
      <c r="BI76" s="212"/>
    </row>
    <row r="77" spans="1:61" ht="24" customHeight="1">
      <c r="A77" s="218" t="s">
        <v>1997</v>
      </c>
      <c r="B77" s="218" t="s">
        <v>407</v>
      </c>
      <c r="C77" s="228">
        <v>1</v>
      </c>
      <c r="D77" s="213" t="s">
        <v>378</v>
      </c>
      <c r="E77" s="212"/>
      <c r="F77" s="217">
        <f>TRUNC(F78,0)</f>
        <v>0</v>
      </c>
      <c r="G77" s="212"/>
      <c r="H77" s="217">
        <f>TRUNC(H78,0)</f>
        <v>0</v>
      </c>
      <c r="I77" s="212"/>
      <c r="J77" s="217">
        <f>TRUNC(J78,0)</f>
        <v>0</v>
      </c>
      <c r="K77" s="212"/>
      <c r="L77" s="217">
        <f>F77+H77+J77</f>
        <v>0</v>
      </c>
      <c r="M77" s="215" t="s">
        <v>68</v>
      </c>
      <c r="N77" s="212" t="s">
        <v>68</v>
      </c>
      <c r="O77" s="212" t="s">
        <v>1159</v>
      </c>
      <c r="P77" s="212"/>
      <c r="Q77" s="212"/>
      <c r="R77" s="212"/>
      <c r="S77" s="212"/>
      <c r="T77" s="212"/>
      <c r="U77" s="212"/>
      <c r="V77" s="212"/>
      <c r="W77" s="212"/>
      <c r="X77" s="212"/>
      <c r="Y77" s="212"/>
      <c r="Z77" s="212"/>
      <c r="AA77" s="212"/>
      <c r="AB77" s="212"/>
      <c r="AC77" s="212"/>
      <c r="AD77" s="212"/>
      <c r="AE77" s="212"/>
      <c r="AF77" s="212"/>
      <c r="AG77" s="212"/>
      <c r="AH77" s="212"/>
      <c r="AI77" s="212"/>
      <c r="AJ77" s="212"/>
      <c r="AK77" s="212"/>
      <c r="AL77" s="212"/>
      <c r="AM77" s="212"/>
      <c r="AN77" s="212"/>
      <c r="AO77" s="212"/>
      <c r="AP77" s="212"/>
      <c r="AQ77" s="212"/>
      <c r="AR77" s="212"/>
      <c r="AS77" s="212"/>
      <c r="AT77" s="212"/>
      <c r="AU77" s="212"/>
      <c r="AV77" s="212"/>
      <c r="AW77" s="212"/>
      <c r="AX77" s="212"/>
      <c r="AY77" s="212"/>
      <c r="AZ77" s="212"/>
      <c r="BA77" s="212"/>
      <c r="BB77" s="212"/>
      <c r="BC77" s="212"/>
      <c r="BD77" s="212"/>
      <c r="BE77" s="212"/>
      <c r="BF77" s="212"/>
      <c r="BG77" s="212"/>
      <c r="BH77" s="212"/>
      <c r="BI77" s="212"/>
    </row>
    <row r="78" spans="1:61" ht="24" customHeight="1">
      <c r="A78" s="218" t="s">
        <v>1994</v>
      </c>
      <c r="B78" s="218" t="s">
        <v>1718</v>
      </c>
      <c r="C78" s="228">
        <v>1</v>
      </c>
      <c r="D78" s="213" t="s">
        <v>378</v>
      </c>
      <c r="E78" s="217">
        <f>일위목록!E56</f>
        <v>0</v>
      </c>
      <c r="F78" s="217">
        <f>TRUNC(E78*C78,0)</f>
        <v>0</v>
      </c>
      <c r="G78" s="217">
        <f>일위목록!F56</f>
        <v>0</v>
      </c>
      <c r="H78" s="217">
        <f>TRUNC(G78*C78,0)</f>
        <v>0</v>
      </c>
      <c r="I78" s="217">
        <f>일위목록!G56</f>
        <v>0</v>
      </c>
      <c r="J78" s="217">
        <f>TRUNC(I78*C78,0)</f>
        <v>0</v>
      </c>
      <c r="K78" s="217">
        <f>E78+G78+I78</f>
        <v>0</v>
      </c>
      <c r="L78" s="217">
        <f>F78+H78+J78</f>
        <v>0</v>
      </c>
      <c r="M78" s="215" t="s">
        <v>68</v>
      </c>
      <c r="N78" s="212" t="s">
        <v>68</v>
      </c>
      <c r="O78" s="212"/>
      <c r="P78" s="212" t="s">
        <v>1095</v>
      </c>
      <c r="Q78" s="212" t="s">
        <v>68</v>
      </c>
      <c r="R78" s="212" t="s">
        <v>1720</v>
      </c>
      <c r="S78" s="212"/>
      <c r="T78" s="212" t="s">
        <v>1129</v>
      </c>
      <c r="U78" s="212"/>
      <c r="V78" s="212"/>
      <c r="W78" s="212"/>
      <c r="X78" s="212"/>
      <c r="Y78" s="212"/>
      <c r="Z78" s="212"/>
      <c r="AA78" s="212"/>
      <c r="AB78" s="212"/>
      <c r="AC78" s="212"/>
      <c r="AD78" s="212"/>
      <c r="AE78" s="212"/>
      <c r="AF78" s="212"/>
      <c r="AG78" s="212"/>
      <c r="AH78" s="212"/>
      <c r="AI78" s="212"/>
      <c r="AJ78" s="212"/>
      <c r="AK78" s="212"/>
      <c r="AL78" s="212"/>
      <c r="AM78" s="212"/>
      <c r="AN78" s="212"/>
      <c r="AO78" s="212"/>
      <c r="AP78" s="212"/>
      <c r="AQ78" s="212"/>
      <c r="AR78" s="212"/>
      <c r="AS78" s="212"/>
      <c r="AT78" s="212"/>
      <c r="AU78" s="212"/>
      <c r="AV78" s="212"/>
      <c r="AW78" s="212"/>
      <c r="AX78" s="212"/>
      <c r="AY78" s="212"/>
      <c r="AZ78" s="212"/>
      <c r="BA78" s="212"/>
      <c r="BB78" s="212"/>
      <c r="BC78" s="212"/>
      <c r="BD78" s="212"/>
      <c r="BE78" s="212"/>
      <c r="BF78" s="212"/>
      <c r="BG78" s="212"/>
      <c r="BH78" s="212"/>
      <c r="BI78" s="231" t="str">
        <f>HYPERLINK("#일위대가목록!A56","PP10-1-3/10 →")</f>
        <v>PP10-1-3/10 →</v>
      </c>
    </row>
    <row r="79" spans="1:61" ht="24" customHeight="1">
      <c r="A79" s="215"/>
      <c r="B79" s="215"/>
      <c r="C79" s="229"/>
      <c r="D79" s="213"/>
      <c r="E79" s="213"/>
      <c r="F79" s="213"/>
      <c r="G79" s="213"/>
      <c r="H79" s="213"/>
      <c r="I79" s="213"/>
      <c r="J79" s="213"/>
      <c r="K79" s="213"/>
      <c r="L79" s="213"/>
      <c r="M79" s="215"/>
      <c r="N79" s="212"/>
      <c r="O79" s="212"/>
      <c r="P79" s="212"/>
      <c r="Q79" s="212"/>
      <c r="R79" s="212"/>
      <c r="S79" s="212"/>
      <c r="T79" s="212"/>
      <c r="U79" s="212"/>
      <c r="V79" s="212"/>
      <c r="W79" s="212"/>
      <c r="X79" s="212"/>
      <c r="Y79" s="212"/>
      <c r="Z79" s="212"/>
      <c r="AA79" s="212"/>
      <c r="AB79" s="212"/>
      <c r="AC79" s="212"/>
      <c r="AD79" s="212"/>
      <c r="AE79" s="212"/>
      <c r="AF79" s="212"/>
      <c r="AG79" s="212"/>
      <c r="AH79" s="212"/>
      <c r="AI79" s="212"/>
      <c r="AJ79" s="212"/>
      <c r="AK79" s="212"/>
      <c r="AL79" s="212"/>
      <c r="AM79" s="212"/>
      <c r="AN79" s="212"/>
      <c r="AO79" s="212"/>
      <c r="AP79" s="212"/>
      <c r="AQ79" s="212"/>
      <c r="AR79" s="212"/>
      <c r="AS79" s="212"/>
      <c r="AT79" s="212"/>
      <c r="AU79" s="212"/>
      <c r="AV79" s="212"/>
      <c r="AW79" s="212"/>
      <c r="AX79" s="212"/>
      <c r="AY79" s="212"/>
      <c r="AZ79" s="212"/>
      <c r="BA79" s="212"/>
      <c r="BB79" s="212"/>
      <c r="BC79" s="212"/>
      <c r="BD79" s="212"/>
      <c r="BE79" s="212"/>
      <c r="BF79" s="212"/>
      <c r="BG79" s="212"/>
      <c r="BH79" s="212"/>
      <c r="BI79" s="212"/>
    </row>
    <row r="80" spans="1:61" ht="24" customHeight="1">
      <c r="A80" s="218" t="s">
        <v>1998</v>
      </c>
      <c r="B80" s="218" t="s">
        <v>409</v>
      </c>
      <c r="C80" s="228">
        <v>1</v>
      </c>
      <c r="D80" s="213" t="s">
        <v>378</v>
      </c>
      <c r="E80" s="212"/>
      <c r="F80" s="217">
        <f>TRUNC(F81,0)</f>
        <v>0</v>
      </c>
      <c r="G80" s="212"/>
      <c r="H80" s="217">
        <f>TRUNC(H81,0)</f>
        <v>0</v>
      </c>
      <c r="I80" s="212"/>
      <c r="J80" s="217">
        <f>TRUNC(J81,0)</f>
        <v>0</v>
      </c>
      <c r="K80" s="212"/>
      <c r="L80" s="217">
        <f>F80+H80+J80</f>
        <v>0</v>
      </c>
      <c r="M80" s="215" t="s">
        <v>68</v>
      </c>
      <c r="N80" s="212" t="s">
        <v>68</v>
      </c>
      <c r="O80" s="212" t="s">
        <v>1160</v>
      </c>
      <c r="P80" s="212"/>
      <c r="Q80" s="212"/>
      <c r="R80" s="212"/>
      <c r="S80" s="212"/>
      <c r="T80" s="212"/>
      <c r="U80" s="212"/>
      <c r="V80" s="212"/>
      <c r="W80" s="212"/>
      <c r="X80" s="212"/>
      <c r="Y80" s="212"/>
      <c r="Z80" s="212"/>
      <c r="AA80" s="212"/>
      <c r="AB80" s="212"/>
      <c r="AC80" s="212"/>
      <c r="AD80" s="212"/>
      <c r="AE80" s="212"/>
      <c r="AF80" s="212"/>
      <c r="AG80" s="212"/>
      <c r="AH80" s="212"/>
      <c r="AI80" s="212"/>
      <c r="AJ80" s="212"/>
      <c r="AK80" s="212"/>
      <c r="AL80" s="212"/>
      <c r="AM80" s="212"/>
      <c r="AN80" s="212"/>
      <c r="AO80" s="212"/>
      <c r="AP80" s="212"/>
      <c r="AQ80" s="212"/>
      <c r="AR80" s="212"/>
      <c r="AS80" s="212"/>
      <c r="AT80" s="212"/>
      <c r="AU80" s="212"/>
      <c r="AV80" s="212"/>
      <c r="AW80" s="212"/>
      <c r="AX80" s="212"/>
      <c r="AY80" s="212"/>
      <c r="AZ80" s="212"/>
      <c r="BA80" s="212"/>
      <c r="BB80" s="212"/>
      <c r="BC80" s="212"/>
      <c r="BD80" s="212"/>
      <c r="BE80" s="212"/>
      <c r="BF80" s="212"/>
      <c r="BG80" s="212"/>
      <c r="BH80" s="212"/>
      <c r="BI80" s="212"/>
    </row>
    <row r="81" spans="1:61" ht="24" customHeight="1">
      <c r="A81" s="218" t="s">
        <v>1994</v>
      </c>
      <c r="B81" s="218" t="s">
        <v>1718</v>
      </c>
      <c r="C81" s="228">
        <v>1</v>
      </c>
      <c r="D81" s="213" t="s">
        <v>378</v>
      </c>
      <c r="E81" s="217">
        <f>일위목록!E56</f>
        <v>0</v>
      </c>
      <c r="F81" s="217">
        <f>TRUNC(E81*C81,0)</f>
        <v>0</v>
      </c>
      <c r="G81" s="217">
        <f>일위목록!F56</f>
        <v>0</v>
      </c>
      <c r="H81" s="217">
        <f>TRUNC(G81*C81,0)</f>
        <v>0</v>
      </c>
      <c r="I81" s="217">
        <f>일위목록!G56</f>
        <v>0</v>
      </c>
      <c r="J81" s="217">
        <f>TRUNC(I81*C81,0)</f>
        <v>0</v>
      </c>
      <c r="K81" s="217">
        <f>E81+G81+I81</f>
        <v>0</v>
      </c>
      <c r="L81" s="217">
        <f>F81+H81+J81</f>
        <v>0</v>
      </c>
      <c r="M81" s="215" t="s">
        <v>68</v>
      </c>
      <c r="N81" s="212" t="s">
        <v>68</v>
      </c>
      <c r="O81" s="212"/>
      <c r="P81" s="212" t="s">
        <v>1095</v>
      </c>
      <c r="Q81" s="212" t="s">
        <v>68</v>
      </c>
      <c r="R81" s="212" t="s">
        <v>1720</v>
      </c>
      <c r="S81" s="212"/>
      <c r="T81" s="212" t="s">
        <v>1129</v>
      </c>
      <c r="U81" s="212"/>
      <c r="V81" s="212"/>
      <c r="W81" s="212"/>
      <c r="X81" s="212"/>
      <c r="Y81" s="212"/>
      <c r="Z81" s="212"/>
      <c r="AA81" s="212"/>
      <c r="AB81" s="212"/>
      <c r="AC81" s="212"/>
      <c r="AD81" s="212"/>
      <c r="AE81" s="212"/>
      <c r="AF81" s="212"/>
      <c r="AG81" s="212"/>
      <c r="AH81" s="212"/>
      <c r="AI81" s="212"/>
      <c r="AJ81" s="212"/>
      <c r="AK81" s="212"/>
      <c r="AL81" s="212"/>
      <c r="AM81" s="212"/>
      <c r="AN81" s="212"/>
      <c r="AO81" s="212"/>
      <c r="AP81" s="212"/>
      <c r="AQ81" s="212"/>
      <c r="AR81" s="212"/>
      <c r="AS81" s="212"/>
      <c r="AT81" s="212"/>
      <c r="AU81" s="212"/>
      <c r="AV81" s="212"/>
      <c r="AW81" s="212"/>
      <c r="AX81" s="212"/>
      <c r="AY81" s="212"/>
      <c r="AZ81" s="212"/>
      <c r="BA81" s="212"/>
      <c r="BB81" s="212"/>
      <c r="BC81" s="212"/>
      <c r="BD81" s="212"/>
      <c r="BE81" s="212"/>
      <c r="BF81" s="212"/>
      <c r="BG81" s="212"/>
      <c r="BH81" s="212"/>
      <c r="BI81" s="231" t="str">
        <f>HYPERLINK("#일위대가목록!A56","PP10-1-3/10 →")</f>
        <v>PP10-1-3/10 →</v>
      </c>
    </row>
    <row r="82" spans="1:61" ht="24" customHeight="1">
      <c r="A82" s="215"/>
      <c r="B82" s="215"/>
      <c r="C82" s="229"/>
      <c r="D82" s="213"/>
      <c r="E82" s="213"/>
      <c r="F82" s="213"/>
      <c r="G82" s="213"/>
      <c r="H82" s="213"/>
      <c r="I82" s="213"/>
      <c r="J82" s="213"/>
      <c r="K82" s="213"/>
      <c r="L82" s="213"/>
      <c r="M82" s="215"/>
      <c r="N82" s="212"/>
      <c r="O82" s="212"/>
      <c r="P82" s="212"/>
      <c r="Q82" s="212"/>
      <c r="R82" s="212"/>
      <c r="S82" s="212"/>
      <c r="T82" s="212"/>
      <c r="U82" s="212"/>
      <c r="V82" s="212"/>
      <c r="W82" s="212"/>
      <c r="X82" s="212"/>
      <c r="Y82" s="212"/>
      <c r="Z82" s="212"/>
      <c r="AA82" s="212"/>
      <c r="AB82" s="212"/>
      <c r="AC82" s="212"/>
      <c r="AD82" s="212"/>
      <c r="AE82" s="212"/>
      <c r="AF82" s="212"/>
      <c r="AG82" s="212"/>
      <c r="AH82" s="212"/>
      <c r="AI82" s="212"/>
      <c r="AJ82" s="212"/>
      <c r="AK82" s="212"/>
      <c r="AL82" s="212"/>
      <c r="AM82" s="212"/>
      <c r="AN82" s="212"/>
      <c r="AO82" s="212"/>
      <c r="AP82" s="212"/>
      <c r="AQ82" s="212"/>
      <c r="AR82" s="212"/>
      <c r="AS82" s="212"/>
      <c r="AT82" s="212"/>
      <c r="AU82" s="212"/>
      <c r="AV82" s="212"/>
      <c r="AW82" s="212"/>
      <c r="AX82" s="212"/>
      <c r="AY82" s="212"/>
      <c r="AZ82" s="212"/>
      <c r="BA82" s="212"/>
      <c r="BB82" s="212"/>
      <c r="BC82" s="212"/>
      <c r="BD82" s="212"/>
      <c r="BE82" s="212"/>
      <c r="BF82" s="212"/>
      <c r="BG82" s="212"/>
      <c r="BH82" s="212"/>
      <c r="BI82" s="212"/>
    </row>
    <row r="83" spans="1:61" ht="24" customHeight="1">
      <c r="A83" s="218" t="s">
        <v>1999</v>
      </c>
      <c r="B83" s="218" t="s">
        <v>411</v>
      </c>
      <c r="C83" s="228">
        <v>1</v>
      </c>
      <c r="D83" s="213" t="s">
        <v>378</v>
      </c>
      <c r="E83" s="212"/>
      <c r="F83" s="217">
        <f>TRUNC(F84,0)</f>
        <v>0</v>
      </c>
      <c r="G83" s="212"/>
      <c r="H83" s="217">
        <f>TRUNC(H84,0)</f>
        <v>0</v>
      </c>
      <c r="I83" s="212"/>
      <c r="J83" s="217">
        <f>TRUNC(J84,0)</f>
        <v>0</v>
      </c>
      <c r="K83" s="212"/>
      <c r="L83" s="217">
        <f>F83+H83+J83</f>
        <v>0</v>
      </c>
      <c r="M83" s="215" t="s">
        <v>68</v>
      </c>
      <c r="N83" s="212" t="s">
        <v>68</v>
      </c>
      <c r="O83" s="212" t="s">
        <v>1161</v>
      </c>
      <c r="P83" s="212"/>
      <c r="Q83" s="212"/>
      <c r="R83" s="212"/>
      <c r="S83" s="212"/>
      <c r="T83" s="212"/>
      <c r="U83" s="212"/>
      <c r="V83" s="212"/>
      <c r="W83" s="212"/>
      <c r="X83" s="212"/>
      <c r="Y83" s="212"/>
      <c r="Z83" s="212"/>
      <c r="AA83" s="212"/>
      <c r="AB83" s="212"/>
      <c r="AC83" s="212"/>
      <c r="AD83" s="212"/>
      <c r="AE83" s="212"/>
      <c r="AF83" s="212"/>
      <c r="AG83" s="212"/>
      <c r="AH83" s="212"/>
      <c r="AI83" s="212"/>
      <c r="AJ83" s="212"/>
      <c r="AK83" s="212"/>
      <c r="AL83" s="212"/>
      <c r="AM83" s="212"/>
      <c r="AN83" s="212"/>
      <c r="AO83" s="212"/>
      <c r="AP83" s="212"/>
      <c r="AQ83" s="212"/>
      <c r="AR83" s="212"/>
      <c r="AS83" s="212"/>
      <c r="AT83" s="212"/>
      <c r="AU83" s="212"/>
      <c r="AV83" s="212"/>
      <c r="AW83" s="212"/>
      <c r="AX83" s="212"/>
      <c r="AY83" s="212"/>
      <c r="AZ83" s="212"/>
      <c r="BA83" s="212"/>
      <c r="BB83" s="212"/>
      <c r="BC83" s="212"/>
      <c r="BD83" s="212"/>
      <c r="BE83" s="212"/>
      <c r="BF83" s="212"/>
      <c r="BG83" s="212"/>
      <c r="BH83" s="212"/>
      <c r="BI83" s="212"/>
    </row>
    <row r="84" spans="1:61" ht="24" customHeight="1">
      <c r="A84" s="218" t="s">
        <v>1994</v>
      </c>
      <c r="B84" s="218" t="s">
        <v>1727</v>
      </c>
      <c r="C84" s="228">
        <v>1</v>
      </c>
      <c r="D84" s="213" t="s">
        <v>378</v>
      </c>
      <c r="E84" s="217">
        <f>일위목록!E59</f>
        <v>0</v>
      </c>
      <c r="F84" s="217">
        <f>TRUNC(E84*C84,0)</f>
        <v>0</v>
      </c>
      <c r="G84" s="217">
        <f>일위목록!F59</f>
        <v>0</v>
      </c>
      <c r="H84" s="217">
        <f>TRUNC(G84*C84,0)</f>
        <v>0</v>
      </c>
      <c r="I84" s="217">
        <f>일위목록!G59</f>
        <v>0</v>
      </c>
      <c r="J84" s="217">
        <f>TRUNC(I84*C84,0)</f>
        <v>0</v>
      </c>
      <c r="K84" s="217">
        <f>E84+G84+I84</f>
        <v>0</v>
      </c>
      <c r="L84" s="217">
        <f>F84+H84+J84</f>
        <v>0</v>
      </c>
      <c r="M84" s="215" t="s">
        <v>68</v>
      </c>
      <c r="N84" s="212" t="s">
        <v>68</v>
      </c>
      <c r="O84" s="212"/>
      <c r="P84" s="212" t="s">
        <v>1095</v>
      </c>
      <c r="Q84" s="212" t="s">
        <v>68</v>
      </c>
      <c r="R84" s="212" t="s">
        <v>1728</v>
      </c>
      <c r="S84" s="212"/>
      <c r="T84" s="212" t="s">
        <v>1129</v>
      </c>
      <c r="U84" s="212"/>
      <c r="V84" s="212"/>
      <c r="W84" s="212"/>
      <c r="X84" s="212"/>
      <c r="Y84" s="212"/>
      <c r="Z84" s="212"/>
      <c r="AA84" s="212"/>
      <c r="AB84" s="212"/>
      <c r="AC84" s="212"/>
      <c r="AD84" s="212"/>
      <c r="AE84" s="212"/>
      <c r="AF84" s="212"/>
      <c r="AG84" s="212"/>
      <c r="AH84" s="212"/>
      <c r="AI84" s="212"/>
      <c r="AJ84" s="212"/>
      <c r="AK84" s="212"/>
      <c r="AL84" s="212"/>
      <c r="AM84" s="212"/>
      <c r="AN84" s="212"/>
      <c r="AO84" s="212"/>
      <c r="AP84" s="212"/>
      <c r="AQ84" s="212"/>
      <c r="AR84" s="212"/>
      <c r="AS84" s="212"/>
      <c r="AT84" s="212"/>
      <c r="AU84" s="212"/>
      <c r="AV84" s="212"/>
      <c r="AW84" s="212"/>
      <c r="AX84" s="212"/>
      <c r="AY84" s="212"/>
      <c r="AZ84" s="212"/>
      <c r="BA84" s="212"/>
      <c r="BB84" s="212"/>
      <c r="BC84" s="212"/>
      <c r="BD84" s="212"/>
      <c r="BE84" s="212"/>
      <c r="BF84" s="212"/>
      <c r="BG84" s="212"/>
      <c r="BH84" s="212"/>
      <c r="BI84" s="231" t="str">
        <f>HYPERLINK("#일위대가목록!A59","PP10-1-3/20 →")</f>
        <v>PP10-1-3/20 →</v>
      </c>
    </row>
    <row r="85" spans="1:61" ht="24" customHeight="1">
      <c r="A85" s="215"/>
      <c r="B85" s="215"/>
      <c r="C85" s="229"/>
      <c r="D85" s="213"/>
      <c r="E85" s="213"/>
      <c r="F85" s="213"/>
      <c r="G85" s="213"/>
      <c r="H85" s="213"/>
      <c r="I85" s="213"/>
      <c r="J85" s="213"/>
      <c r="K85" s="213"/>
      <c r="L85" s="213"/>
      <c r="M85" s="215"/>
      <c r="N85" s="212"/>
      <c r="O85" s="212"/>
      <c r="P85" s="212"/>
      <c r="Q85" s="212"/>
      <c r="R85" s="212"/>
      <c r="S85" s="212"/>
      <c r="T85" s="212"/>
      <c r="U85" s="212"/>
      <c r="V85" s="212"/>
      <c r="W85" s="212"/>
      <c r="X85" s="212"/>
      <c r="Y85" s="212"/>
      <c r="Z85" s="212"/>
      <c r="AA85" s="212"/>
      <c r="AB85" s="212"/>
      <c r="AC85" s="212"/>
      <c r="AD85" s="212"/>
      <c r="AE85" s="212"/>
      <c r="AF85" s="212"/>
      <c r="AG85" s="212"/>
      <c r="AH85" s="212"/>
      <c r="AI85" s="212"/>
      <c r="AJ85" s="212"/>
      <c r="AK85" s="212"/>
      <c r="AL85" s="212"/>
      <c r="AM85" s="212"/>
      <c r="AN85" s="212"/>
      <c r="AO85" s="212"/>
      <c r="AP85" s="212"/>
      <c r="AQ85" s="212"/>
      <c r="AR85" s="212"/>
      <c r="AS85" s="212"/>
      <c r="AT85" s="212"/>
      <c r="AU85" s="212"/>
      <c r="AV85" s="212"/>
      <c r="AW85" s="212"/>
      <c r="AX85" s="212"/>
      <c r="AY85" s="212"/>
      <c r="AZ85" s="212"/>
      <c r="BA85" s="212"/>
      <c r="BB85" s="212"/>
      <c r="BC85" s="212"/>
      <c r="BD85" s="212"/>
      <c r="BE85" s="212"/>
      <c r="BF85" s="212"/>
      <c r="BG85" s="212"/>
      <c r="BH85" s="212"/>
      <c r="BI85" s="212"/>
    </row>
    <row r="86" spans="1:61" ht="24" customHeight="1">
      <c r="A86" s="218" t="s">
        <v>2000</v>
      </c>
      <c r="B86" s="218" t="s">
        <v>419</v>
      </c>
      <c r="C86" s="228">
        <v>1</v>
      </c>
      <c r="D86" s="213" t="s">
        <v>378</v>
      </c>
      <c r="E86" s="212"/>
      <c r="F86" s="217">
        <f>TRUNC(F87,0)</f>
        <v>0</v>
      </c>
      <c r="G86" s="212"/>
      <c r="H86" s="217">
        <f>TRUNC(H87,0)</f>
        <v>0</v>
      </c>
      <c r="I86" s="212"/>
      <c r="J86" s="217">
        <f>TRUNC(J87,0)</f>
        <v>0</v>
      </c>
      <c r="K86" s="212"/>
      <c r="L86" s="217">
        <f>F86+H86+J86</f>
        <v>0</v>
      </c>
      <c r="M86" s="215" t="s">
        <v>68</v>
      </c>
      <c r="N86" s="212" t="s">
        <v>68</v>
      </c>
      <c r="O86" s="212" t="s">
        <v>1162</v>
      </c>
      <c r="P86" s="212"/>
      <c r="Q86" s="212"/>
      <c r="R86" s="212"/>
      <c r="S86" s="212"/>
      <c r="T86" s="212"/>
      <c r="U86" s="212"/>
      <c r="V86" s="212"/>
      <c r="W86" s="212"/>
      <c r="X86" s="212"/>
      <c r="Y86" s="212"/>
      <c r="Z86" s="212"/>
      <c r="AA86" s="212"/>
      <c r="AB86" s="212"/>
      <c r="AC86" s="212"/>
      <c r="AD86" s="212"/>
      <c r="AE86" s="212"/>
      <c r="AF86" s="212"/>
      <c r="AG86" s="212"/>
      <c r="AH86" s="212"/>
      <c r="AI86" s="212"/>
      <c r="AJ86" s="212"/>
      <c r="AK86" s="212"/>
      <c r="AL86" s="212"/>
      <c r="AM86" s="212"/>
      <c r="AN86" s="212"/>
      <c r="AO86" s="212"/>
      <c r="AP86" s="212"/>
      <c r="AQ86" s="212"/>
      <c r="AR86" s="212"/>
      <c r="AS86" s="212"/>
      <c r="AT86" s="212"/>
      <c r="AU86" s="212"/>
      <c r="AV86" s="212"/>
      <c r="AW86" s="212"/>
      <c r="AX86" s="212"/>
      <c r="AY86" s="212"/>
      <c r="AZ86" s="212"/>
      <c r="BA86" s="212"/>
      <c r="BB86" s="212"/>
      <c r="BC86" s="212"/>
      <c r="BD86" s="212"/>
      <c r="BE86" s="212"/>
      <c r="BF86" s="212"/>
      <c r="BG86" s="212"/>
      <c r="BH86" s="212"/>
      <c r="BI86" s="212"/>
    </row>
    <row r="87" spans="1:61" ht="24" customHeight="1">
      <c r="A87" s="218" t="s">
        <v>1994</v>
      </c>
      <c r="B87" s="218" t="s">
        <v>1715</v>
      </c>
      <c r="C87" s="228">
        <v>1</v>
      </c>
      <c r="D87" s="213" t="s">
        <v>378</v>
      </c>
      <c r="E87" s="217">
        <f>일위목록!E57</f>
        <v>0</v>
      </c>
      <c r="F87" s="217">
        <f>TRUNC(E87*C87,0)</f>
        <v>0</v>
      </c>
      <c r="G87" s="217">
        <f>일위목록!F57</f>
        <v>0</v>
      </c>
      <c r="H87" s="217">
        <f>TRUNC(G87*C87,0)</f>
        <v>0</v>
      </c>
      <c r="I87" s="217">
        <f>일위목록!G57</f>
        <v>0</v>
      </c>
      <c r="J87" s="217">
        <f>TRUNC(I87*C87,0)</f>
        <v>0</v>
      </c>
      <c r="K87" s="217">
        <f>E87+G87+I87</f>
        <v>0</v>
      </c>
      <c r="L87" s="217">
        <f>F87+H87+J87</f>
        <v>0</v>
      </c>
      <c r="M87" s="215" t="s">
        <v>68</v>
      </c>
      <c r="N87" s="212" t="s">
        <v>68</v>
      </c>
      <c r="O87" s="212"/>
      <c r="P87" s="212" t="s">
        <v>1095</v>
      </c>
      <c r="Q87" s="212" t="s">
        <v>68</v>
      </c>
      <c r="R87" s="212" t="s">
        <v>1722</v>
      </c>
      <c r="S87" s="212"/>
      <c r="T87" s="212" t="s">
        <v>1129</v>
      </c>
      <c r="U87" s="212"/>
      <c r="V87" s="212"/>
      <c r="W87" s="212"/>
      <c r="X87" s="212"/>
      <c r="Y87" s="212"/>
      <c r="Z87" s="212"/>
      <c r="AA87" s="212"/>
      <c r="AB87" s="212"/>
      <c r="AC87" s="212"/>
      <c r="AD87" s="212"/>
      <c r="AE87" s="212"/>
      <c r="AF87" s="212"/>
      <c r="AG87" s="212"/>
      <c r="AH87" s="212"/>
      <c r="AI87" s="212"/>
      <c r="AJ87" s="212"/>
      <c r="AK87" s="212"/>
      <c r="AL87" s="212"/>
      <c r="AM87" s="212"/>
      <c r="AN87" s="212"/>
      <c r="AO87" s="212"/>
      <c r="AP87" s="212"/>
      <c r="AQ87" s="212"/>
      <c r="AR87" s="212"/>
      <c r="AS87" s="212"/>
      <c r="AT87" s="212"/>
      <c r="AU87" s="212"/>
      <c r="AV87" s="212"/>
      <c r="AW87" s="212"/>
      <c r="AX87" s="212"/>
      <c r="AY87" s="212"/>
      <c r="AZ87" s="212"/>
      <c r="BA87" s="212"/>
      <c r="BB87" s="212"/>
      <c r="BC87" s="212"/>
      <c r="BD87" s="212"/>
      <c r="BE87" s="212"/>
      <c r="BF87" s="212"/>
      <c r="BG87" s="212"/>
      <c r="BH87" s="212"/>
      <c r="BI87" s="231" t="str">
        <f>HYPERLINK("#일위대가목록!A57","PP10-1-3/30 →")</f>
        <v>PP10-1-3/30 →</v>
      </c>
    </row>
    <row r="88" spans="1:61" ht="24" customHeight="1">
      <c r="A88" s="215"/>
      <c r="B88" s="215"/>
      <c r="C88" s="229"/>
      <c r="D88" s="213"/>
      <c r="E88" s="213"/>
      <c r="F88" s="213"/>
      <c r="G88" s="213"/>
      <c r="H88" s="213"/>
      <c r="I88" s="213"/>
      <c r="J88" s="213"/>
      <c r="K88" s="213"/>
      <c r="L88" s="213"/>
      <c r="M88" s="215"/>
      <c r="N88" s="212"/>
      <c r="O88" s="212"/>
      <c r="P88" s="212"/>
      <c r="Q88" s="212"/>
      <c r="R88" s="212"/>
      <c r="S88" s="212"/>
      <c r="T88" s="212"/>
      <c r="U88" s="212"/>
      <c r="V88" s="212"/>
      <c r="W88" s="212"/>
      <c r="X88" s="212"/>
      <c r="Y88" s="212"/>
      <c r="Z88" s="212"/>
      <c r="AA88" s="212"/>
      <c r="AB88" s="212"/>
      <c r="AC88" s="212"/>
      <c r="AD88" s="212"/>
      <c r="AE88" s="212"/>
      <c r="AF88" s="212"/>
      <c r="AG88" s="212"/>
      <c r="AH88" s="212"/>
      <c r="AI88" s="212"/>
      <c r="AJ88" s="212"/>
      <c r="AK88" s="212"/>
      <c r="AL88" s="212"/>
      <c r="AM88" s="212"/>
      <c r="AN88" s="212"/>
      <c r="AO88" s="212"/>
      <c r="AP88" s="212"/>
      <c r="AQ88" s="212"/>
      <c r="AR88" s="212"/>
      <c r="AS88" s="212"/>
      <c r="AT88" s="212"/>
      <c r="AU88" s="212"/>
      <c r="AV88" s="212"/>
      <c r="AW88" s="212"/>
      <c r="AX88" s="212"/>
      <c r="AY88" s="212"/>
      <c r="AZ88" s="212"/>
      <c r="BA88" s="212"/>
      <c r="BB88" s="212"/>
      <c r="BC88" s="212"/>
      <c r="BD88" s="212"/>
      <c r="BE88" s="212"/>
      <c r="BF88" s="212"/>
      <c r="BG88" s="212"/>
      <c r="BH88" s="212"/>
      <c r="BI88" s="212"/>
    </row>
    <row r="89" spans="1:61" ht="24" customHeight="1">
      <c r="A89" s="218" t="s">
        <v>2001</v>
      </c>
      <c r="B89" s="218" t="s">
        <v>423</v>
      </c>
      <c r="C89" s="228">
        <v>1</v>
      </c>
      <c r="D89" s="213" t="s">
        <v>378</v>
      </c>
      <c r="E89" s="212"/>
      <c r="F89" s="217">
        <f>TRUNC(F90,0)</f>
        <v>0</v>
      </c>
      <c r="G89" s="212"/>
      <c r="H89" s="217">
        <f>TRUNC(H90,0)</f>
        <v>0</v>
      </c>
      <c r="I89" s="212"/>
      <c r="J89" s="217">
        <f>TRUNC(J90,0)</f>
        <v>0</v>
      </c>
      <c r="K89" s="212"/>
      <c r="L89" s="217">
        <f>F89+H89+J89</f>
        <v>0</v>
      </c>
      <c r="M89" s="215" t="s">
        <v>68</v>
      </c>
      <c r="N89" s="212" t="s">
        <v>68</v>
      </c>
      <c r="O89" s="212" t="s">
        <v>1163</v>
      </c>
      <c r="P89" s="212"/>
      <c r="Q89" s="212"/>
      <c r="R89" s="212"/>
      <c r="S89" s="212"/>
      <c r="T89" s="212"/>
      <c r="U89" s="212"/>
      <c r="V89" s="212"/>
      <c r="W89" s="212"/>
      <c r="X89" s="212"/>
      <c r="Y89" s="212"/>
      <c r="Z89" s="212"/>
      <c r="AA89" s="212"/>
      <c r="AB89" s="212"/>
      <c r="AC89" s="212"/>
      <c r="AD89" s="212"/>
      <c r="AE89" s="212"/>
      <c r="AF89" s="212"/>
      <c r="AG89" s="212"/>
      <c r="AH89" s="212"/>
      <c r="AI89" s="212"/>
      <c r="AJ89" s="212"/>
      <c r="AK89" s="212"/>
      <c r="AL89" s="212"/>
      <c r="AM89" s="212"/>
      <c r="AN89" s="212"/>
      <c r="AO89" s="212"/>
      <c r="AP89" s="212"/>
      <c r="AQ89" s="212"/>
      <c r="AR89" s="212"/>
      <c r="AS89" s="212"/>
      <c r="AT89" s="212"/>
      <c r="AU89" s="212"/>
      <c r="AV89" s="212"/>
      <c r="AW89" s="212"/>
      <c r="AX89" s="212"/>
      <c r="AY89" s="212"/>
      <c r="AZ89" s="212"/>
      <c r="BA89" s="212"/>
      <c r="BB89" s="212"/>
      <c r="BC89" s="212"/>
      <c r="BD89" s="212"/>
      <c r="BE89" s="212"/>
      <c r="BF89" s="212"/>
      <c r="BG89" s="212"/>
      <c r="BH89" s="212"/>
      <c r="BI89" s="212"/>
    </row>
    <row r="90" spans="1:61" ht="24" customHeight="1">
      <c r="A90" s="218" t="s">
        <v>1994</v>
      </c>
      <c r="B90" s="218" t="s">
        <v>1727</v>
      </c>
      <c r="C90" s="228">
        <v>1</v>
      </c>
      <c r="D90" s="213" t="s">
        <v>378</v>
      </c>
      <c r="E90" s="217">
        <f>일위목록!E59</f>
        <v>0</v>
      </c>
      <c r="F90" s="217">
        <f>TRUNC(E90*C90,0)</f>
        <v>0</v>
      </c>
      <c r="G90" s="217">
        <f>일위목록!F59</f>
        <v>0</v>
      </c>
      <c r="H90" s="217">
        <f>TRUNC(G90*C90,0)</f>
        <v>0</v>
      </c>
      <c r="I90" s="217">
        <f>일위목록!G59</f>
        <v>0</v>
      </c>
      <c r="J90" s="217">
        <f>TRUNC(I90*C90,0)</f>
        <v>0</v>
      </c>
      <c r="K90" s="217">
        <f>E90+G90+I90</f>
        <v>0</v>
      </c>
      <c r="L90" s="217">
        <f>F90+H90+J90</f>
        <v>0</v>
      </c>
      <c r="M90" s="215" t="s">
        <v>68</v>
      </c>
      <c r="N90" s="212" t="s">
        <v>68</v>
      </c>
      <c r="O90" s="212"/>
      <c r="P90" s="212" t="s">
        <v>1095</v>
      </c>
      <c r="Q90" s="212" t="s">
        <v>68</v>
      </c>
      <c r="R90" s="212" t="s">
        <v>1728</v>
      </c>
      <c r="S90" s="212"/>
      <c r="T90" s="212" t="s">
        <v>1129</v>
      </c>
      <c r="U90" s="212"/>
      <c r="V90" s="212"/>
      <c r="W90" s="212"/>
      <c r="X90" s="212"/>
      <c r="Y90" s="212"/>
      <c r="Z90" s="212"/>
      <c r="AA90" s="212"/>
      <c r="AB90" s="212"/>
      <c r="AC90" s="212"/>
      <c r="AD90" s="212"/>
      <c r="AE90" s="212"/>
      <c r="AF90" s="212"/>
      <c r="AG90" s="212"/>
      <c r="AH90" s="212"/>
      <c r="AI90" s="212"/>
      <c r="AJ90" s="212"/>
      <c r="AK90" s="212"/>
      <c r="AL90" s="212"/>
      <c r="AM90" s="212"/>
      <c r="AN90" s="212"/>
      <c r="AO90" s="212"/>
      <c r="AP90" s="212"/>
      <c r="AQ90" s="212"/>
      <c r="AR90" s="212"/>
      <c r="AS90" s="212"/>
      <c r="AT90" s="212"/>
      <c r="AU90" s="212"/>
      <c r="AV90" s="212"/>
      <c r="AW90" s="212"/>
      <c r="AX90" s="212"/>
      <c r="AY90" s="212"/>
      <c r="AZ90" s="212"/>
      <c r="BA90" s="212"/>
      <c r="BB90" s="212"/>
      <c r="BC90" s="212"/>
      <c r="BD90" s="212"/>
      <c r="BE90" s="212"/>
      <c r="BF90" s="212"/>
      <c r="BG90" s="212"/>
      <c r="BH90" s="212"/>
      <c r="BI90" s="231" t="str">
        <f>HYPERLINK("#일위대가목록!A59","PP10-1-3/20 →")</f>
        <v>PP10-1-3/20 →</v>
      </c>
    </row>
    <row r="91" spans="1:61" ht="24" customHeight="1">
      <c r="A91" s="215"/>
      <c r="B91" s="215"/>
      <c r="C91" s="229"/>
      <c r="D91" s="213"/>
      <c r="E91" s="213"/>
      <c r="F91" s="213"/>
      <c r="G91" s="213"/>
      <c r="H91" s="213"/>
      <c r="I91" s="213"/>
      <c r="J91" s="213"/>
      <c r="K91" s="213"/>
      <c r="L91" s="213"/>
      <c r="M91" s="215"/>
      <c r="N91" s="212"/>
      <c r="O91" s="212"/>
      <c r="P91" s="212"/>
      <c r="Q91" s="212"/>
      <c r="R91" s="212"/>
      <c r="S91" s="212"/>
      <c r="T91" s="212"/>
      <c r="U91" s="212"/>
      <c r="V91" s="212"/>
      <c r="W91" s="212"/>
      <c r="X91" s="212"/>
      <c r="Y91" s="212"/>
      <c r="Z91" s="212"/>
      <c r="AA91" s="212"/>
      <c r="AB91" s="212"/>
      <c r="AC91" s="212"/>
      <c r="AD91" s="212"/>
      <c r="AE91" s="212"/>
      <c r="AF91" s="212"/>
      <c r="AG91" s="212"/>
      <c r="AH91" s="212"/>
      <c r="AI91" s="212"/>
      <c r="AJ91" s="212"/>
      <c r="AK91" s="212"/>
      <c r="AL91" s="212"/>
      <c r="AM91" s="212"/>
      <c r="AN91" s="212"/>
      <c r="AO91" s="212"/>
      <c r="AP91" s="212"/>
      <c r="AQ91" s="212"/>
      <c r="AR91" s="212"/>
      <c r="AS91" s="212"/>
      <c r="AT91" s="212"/>
      <c r="AU91" s="212"/>
      <c r="AV91" s="212"/>
      <c r="AW91" s="212"/>
      <c r="AX91" s="212"/>
      <c r="AY91" s="212"/>
      <c r="AZ91" s="212"/>
      <c r="BA91" s="212"/>
      <c r="BB91" s="212"/>
      <c r="BC91" s="212"/>
      <c r="BD91" s="212"/>
      <c r="BE91" s="212"/>
      <c r="BF91" s="212"/>
      <c r="BG91" s="212"/>
      <c r="BH91" s="212"/>
      <c r="BI91" s="212"/>
    </row>
    <row r="92" spans="1:61" ht="24" customHeight="1">
      <c r="A92" s="218" t="s">
        <v>2002</v>
      </c>
      <c r="B92" s="218" t="s">
        <v>389</v>
      </c>
      <c r="C92" s="228">
        <v>1</v>
      </c>
      <c r="D92" s="213" t="s">
        <v>9</v>
      </c>
      <c r="E92" s="212"/>
      <c r="F92" s="217">
        <f>TRUNC(F93,0)</f>
        <v>0</v>
      </c>
      <c r="G92" s="212"/>
      <c r="H92" s="217">
        <f>TRUNC(H93,0)</f>
        <v>0</v>
      </c>
      <c r="I92" s="212"/>
      <c r="J92" s="217">
        <f>TRUNC(J93,0)</f>
        <v>0</v>
      </c>
      <c r="K92" s="212"/>
      <c r="L92" s="217">
        <f>F92+H92+J92</f>
        <v>0</v>
      </c>
      <c r="M92" s="215" t="s">
        <v>68</v>
      </c>
      <c r="N92" s="212" t="s">
        <v>68</v>
      </c>
      <c r="O92" s="212" t="s">
        <v>1164</v>
      </c>
      <c r="P92" s="212"/>
      <c r="Q92" s="212"/>
      <c r="R92" s="212"/>
      <c r="S92" s="212"/>
      <c r="T92" s="212"/>
      <c r="U92" s="212"/>
      <c r="V92" s="212"/>
      <c r="W92" s="212"/>
      <c r="X92" s="212"/>
      <c r="Y92" s="212"/>
      <c r="Z92" s="212"/>
      <c r="AA92" s="212"/>
      <c r="AB92" s="212"/>
      <c r="AC92" s="212"/>
      <c r="AD92" s="212"/>
      <c r="AE92" s="212"/>
      <c r="AF92" s="212"/>
      <c r="AG92" s="212"/>
      <c r="AH92" s="212"/>
      <c r="AI92" s="212"/>
      <c r="AJ92" s="212"/>
      <c r="AK92" s="212"/>
      <c r="AL92" s="212"/>
      <c r="AM92" s="212"/>
      <c r="AN92" s="212"/>
      <c r="AO92" s="212"/>
      <c r="AP92" s="212"/>
      <c r="AQ92" s="212"/>
      <c r="AR92" s="212"/>
      <c r="AS92" s="212"/>
      <c r="AT92" s="212"/>
      <c r="AU92" s="212"/>
      <c r="AV92" s="212"/>
      <c r="AW92" s="212"/>
      <c r="AX92" s="212"/>
      <c r="AY92" s="212"/>
      <c r="AZ92" s="212"/>
      <c r="BA92" s="212"/>
      <c r="BB92" s="212"/>
      <c r="BC92" s="212"/>
      <c r="BD92" s="212"/>
      <c r="BE92" s="212"/>
      <c r="BF92" s="212"/>
      <c r="BG92" s="212"/>
      <c r="BH92" s="212"/>
      <c r="BI92" s="212"/>
    </row>
    <row r="93" spans="1:61" ht="24" customHeight="1">
      <c r="A93" s="218" t="s">
        <v>2003</v>
      </c>
      <c r="B93" s="218" t="s">
        <v>1730</v>
      </c>
      <c r="C93" s="228">
        <v>1</v>
      </c>
      <c r="D93" s="213" t="s">
        <v>9</v>
      </c>
      <c r="E93" s="217">
        <f>일위목록!E60</f>
        <v>0</v>
      </c>
      <c r="F93" s="217">
        <f>TRUNC(E93*C93,0)</f>
        <v>0</v>
      </c>
      <c r="G93" s="217">
        <f>일위목록!F60</f>
        <v>0</v>
      </c>
      <c r="H93" s="217">
        <f>TRUNC(G93*C93,0)</f>
        <v>0</v>
      </c>
      <c r="I93" s="217">
        <f>일위목록!G60</f>
        <v>0</v>
      </c>
      <c r="J93" s="217">
        <f>TRUNC(I93*C93,0)</f>
        <v>0</v>
      </c>
      <c r="K93" s="217">
        <f>E93+G93+I93</f>
        <v>0</v>
      </c>
      <c r="L93" s="217">
        <f>F93+H93+J93</f>
        <v>0</v>
      </c>
      <c r="M93" s="215" t="s">
        <v>1731</v>
      </c>
      <c r="N93" s="212" t="s">
        <v>68</v>
      </c>
      <c r="O93" s="212"/>
      <c r="P93" s="212" t="s">
        <v>1095</v>
      </c>
      <c r="Q93" s="212" t="s">
        <v>68</v>
      </c>
      <c r="R93" s="212" t="s">
        <v>1732</v>
      </c>
      <c r="S93" s="212"/>
      <c r="T93" s="212" t="s">
        <v>1129</v>
      </c>
      <c r="U93" s="212"/>
      <c r="V93" s="212"/>
      <c r="W93" s="212"/>
      <c r="X93" s="212"/>
      <c r="Y93" s="212"/>
      <c r="Z93" s="212"/>
      <c r="AA93" s="212"/>
      <c r="AB93" s="212"/>
      <c r="AC93" s="212"/>
      <c r="AD93" s="212"/>
      <c r="AE93" s="212"/>
      <c r="AF93" s="212"/>
      <c r="AG93" s="212"/>
      <c r="AH93" s="212"/>
      <c r="AI93" s="212"/>
      <c r="AJ93" s="212"/>
      <c r="AK93" s="212"/>
      <c r="AL93" s="212"/>
      <c r="AM93" s="212"/>
      <c r="AN93" s="212"/>
      <c r="AO93" s="212"/>
      <c r="AP93" s="212"/>
      <c r="AQ93" s="212"/>
      <c r="AR93" s="212"/>
      <c r="AS93" s="212"/>
      <c r="AT93" s="212"/>
      <c r="AU93" s="212"/>
      <c r="AV93" s="212"/>
      <c r="AW93" s="212"/>
      <c r="AX93" s="212"/>
      <c r="AY93" s="212"/>
      <c r="AZ93" s="212"/>
      <c r="BA93" s="212"/>
      <c r="BB93" s="212"/>
      <c r="BC93" s="212"/>
      <c r="BD93" s="212"/>
      <c r="BE93" s="212"/>
      <c r="BF93" s="212"/>
      <c r="BG93" s="212"/>
      <c r="BH93" s="212"/>
      <c r="BI93" s="231" t="str">
        <f>HYPERLINK("#일위대가목록!A60","P4-3-3/0 →")</f>
        <v>P4-3-3/0 →</v>
      </c>
    </row>
    <row r="94" spans="1:61" ht="24" customHeight="1">
      <c r="A94" s="215"/>
      <c r="B94" s="215"/>
      <c r="C94" s="229"/>
      <c r="D94" s="213"/>
      <c r="E94" s="213"/>
      <c r="F94" s="213"/>
      <c r="G94" s="213"/>
      <c r="H94" s="213"/>
      <c r="I94" s="213"/>
      <c r="J94" s="213"/>
      <c r="K94" s="213"/>
      <c r="L94" s="213"/>
      <c r="M94" s="215"/>
      <c r="N94" s="212"/>
      <c r="O94" s="212"/>
      <c r="P94" s="212"/>
      <c r="Q94" s="212"/>
      <c r="R94" s="212"/>
      <c r="S94" s="212"/>
      <c r="T94" s="212"/>
      <c r="U94" s="212"/>
      <c r="V94" s="212"/>
      <c r="W94" s="212"/>
      <c r="X94" s="212"/>
      <c r="Y94" s="212"/>
      <c r="Z94" s="212"/>
      <c r="AA94" s="212"/>
      <c r="AB94" s="212"/>
      <c r="AC94" s="212"/>
      <c r="AD94" s="212"/>
      <c r="AE94" s="212"/>
      <c r="AF94" s="212"/>
      <c r="AG94" s="212"/>
      <c r="AH94" s="212"/>
      <c r="AI94" s="212"/>
      <c r="AJ94" s="212"/>
      <c r="AK94" s="212"/>
      <c r="AL94" s="212"/>
      <c r="AM94" s="212"/>
      <c r="AN94" s="212"/>
      <c r="AO94" s="212"/>
      <c r="AP94" s="212"/>
      <c r="AQ94" s="212"/>
      <c r="AR94" s="212"/>
      <c r="AS94" s="212"/>
      <c r="AT94" s="212"/>
      <c r="AU94" s="212"/>
      <c r="AV94" s="212"/>
      <c r="AW94" s="212"/>
      <c r="AX94" s="212"/>
      <c r="AY94" s="212"/>
      <c r="AZ94" s="212"/>
      <c r="BA94" s="212"/>
      <c r="BB94" s="212"/>
      <c r="BC94" s="212"/>
      <c r="BD94" s="212"/>
      <c r="BE94" s="212"/>
      <c r="BF94" s="212"/>
      <c r="BG94" s="212"/>
      <c r="BH94" s="212"/>
      <c r="BI94" s="212"/>
    </row>
    <row r="95" spans="1:61" ht="24" customHeight="1">
      <c r="A95" s="218" t="s">
        <v>2004</v>
      </c>
      <c r="B95" s="218" t="s">
        <v>395</v>
      </c>
      <c r="C95" s="228">
        <v>1</v>
      </c>
      <c r="D95" s="213" t="s">
        <v>16</v>
      </c>
      <c r="E95" s="212"/>
      <c r="F95" s="217">
        <f>TRUNC(F96,0)</f>
        <v>0</v>
      </c>
      <c r="G95" s="212"/>
      <c r="H95" s="217">
        <f>TRUNC(H96,0)</f>
        <v>0</v>
      </c>
      <c r="I95" s="212"/>
      <c r="J95" s="217">
        <f>TRUNC(J96,0)</f>
        <v>0</v>
      </c>
      <c r="K95" s="212"/>
      <c r="L95" s="217">
        <f>F95+H95+J95</f>
        <v>0</v>
      </c>
      <c r="M95" s="215" t="s">
        <v>68</v>
      </c>
      <c r="N95" s="212" t="s">
        <v>68</v>
      </c>
      <c r="O95" s="212" t="s">
        <v>1165</v>
      </c>
      <c r="P95" s="212"/>
      <c r="Q95" s="212"/>
      <c r="R95" s="212"/>
      <c r="S95" s="212"/>
      <c r="T95" s="212"/>
      <c r="U95" s="212"/>
      <c r="V95" s="212"/>
      <c r="W95" s="212"/>
      <c r="X95" s="212"/>
      <c r="Y95" s="212"/>
      <c r="Z95" s="212"/>
      <c r="AA95" s="212"/>
      <c r="AB95" s="212"/>
      <c r="AC95" s="212"/>
      <c r="AD95" s="212"/>
      <c r="AE95" s="212"/>
      <c r="AF95" s="212"/>
      <c r="AG95" s="212"/>
      <c r="AH95" s="212"/>
      <c r="AI95" s="212"/>
      <c r="AJ95" s="212"/>
      <c r="AK95" s="212"/>
      <c r="AL95" s="212"/>
      <c r="AM95" s="212"/>
      <c r="AN95" s="212"/>
      <c r="AO95" s="212"/>
      <c r="AP95" s="212"/>
      <c r="AQ95" s="212"/>
      <c r="AR95" s="212"/>
      <c r="AS95" s="212"/>
      <c r="AT95" s="212"/>
      <c r="AU95" s="212"/>
      <c r="AV95" s="212"/>
      <c r="AW95" s="212"/>
      <c r="AX95" s="212"/>
      <c r="AY95" s="212"/>
      <c r="AZ95" s="212"/>
      <c r="BA95" s="212"/>
      <c r="BB95" s="212"/>
      <c r="BC95" s="212"/>
      <c r="BD95" s="212"/>
      <c r="BE95" s="212"/>
      <c r="BF95" s="212"/>
      <c r="BG95" s="212"/>
      <c r="BH95" s="212"/>
      <c r="BI95" s="212"/>
    </row>
    <row r="96" spans="1:61" ht="24" customHeight="1">
      <c r="A96" s="218" t="s">
        <v>2005</v>
      </c>
      <c r="B96" s="218" t="s">
        <v>1734</v>
      </c>
      <c r="C96" s="228">
        <v>1000</v>
      </c>
      <c r="D96" s="213" t="s">
        <v>1735</v>
      </c>
      <c r="E96" s="217">
        <f>일위목록!E61</f>
        <v>0</v>
      </c>
      <c r="F96" s="217">
        <f>TRUNC(E96*C96,0)</f>
        <v>0</v>
      </c>
      <c r="G96" s="217">
        <f>일위목록!F61</f>
        <v>0</v>
      </c>
      <c r="H96" s="217">
        <f>TRUNC(G96*C96,0)</f>
        <v>0</v>
      </c>
      <c r="I96" s="217">
        <f>일위목록!G61</f>
        <v>0</v>
      </c>
      <c r="J96" s="217">
        <f>TRUNC(I96*C96,0)</f>
        <v>0</v>
      </c>
      <c r="K96" s="217">
        <f>E96+G96+I96</f>
        <v>0</v>
      </c>
      <c r="L96" s="217">
        <f>F96+H96+J96</f>
        <v>0</v>
      </c>
      <c r="M96" s="215" t="s">
        <v>1647</v>
      </c>
      <c r="N96" s="212" t="s">
        <v>68</v>
      </c>
      <c r="O96" s="212"/>
      <c r="P96" s="212" t="s">
        <v>1095</v>
      </c>
      <c r="Q96" s="212" t="s">
        <v>68</v>
      </c>
      <c r="R96" s="212" t="s">
        <v>1736</v>
      </c>
      <c r="S96" s="212"/>
      <c r="T96" s="212" t="s">
        <v>1129</v>
      </c>
      <c r="U96" s="212"/>
      <c r="V96" s="212"/>
      <c r="W96" s="212"/>
      <c r="X96" s="212"/>
      <c r="Y96" s="212"/>
      <c r="Z96" s="212"/>
      <c r="AA96" s="212"/>
      <c r="AB96" s="212"/>
      <c r="AC96" s="212"/>
      <c r="AD96" s="212"/>
      <c r="AE96" s="212"/>
      <c r="AF96" s="212"/>
      <c r="AG96" s="212"/>
      <c r="AH96" s="212"/>
      <c r="AI96" s="212"/>
      <c r="AJ96" s="212"/>
      <c r="AK96" s="212"/>
      <c r="AL96" s="212"/>
      <c r="AM96" s="212"/>
      <c r="AN96" s="212"/>
      <c r="AO96" s="212"/>
      <c r="AP96" s="212"/>
      <c r="AQ96" s="212"/>
      <c r="AR96" s="212"/>
      <c r="AS96" s="212"/>
      <c r="AT96" s="212"/>
      <c r="AU96" s="212"/>
      <c r="AV96" s="212"/>
      <c r="AW96" s="212"/>
      <c r="AX96" s="212"/>
      <c r="AY96" s="212"/>
      <c r="AZ96" s="212"/>
      <c r="BA96" s="212"/>
      <c r="BB96" s="212"/>
      <c r="BC96" s="212"/>
      <c r="BD96" s="212"/>
      <c r="BE96" s="212"/>
      <c r="BF96" s="212"/>
      <c r="BG96" s="212"/>
      <c r="BH96" s="212"/>
      <c r="BI96" s="231" t="str">
        <f>HYPERLINK("#일위대가목록!A61","R2-11-29 →")</f>
        <v>R2-11-29 →</v>
      </c>
    </row>
    <row r="97" spans="1:61" ht="24" customHeight="1">
      <c r="A97" s="215"/>
      <c r="B97" s="215"/>
      <c r="C97" s="229"/>
      <c r="D97" s="213"/>
      <c r="E97" s="213"/>
      <c r="F97" s="213"/>
      <c r="G97" s="213"/>
      <c r="H97" s="213"/>
      <c r="I97" s="213"/>
      <c r="J97" s="213"/>
      <c r="K97" s="213"/>
      <c r="L97" s="213"/>
      <c r="M97" s="215"/>
      <c r="N97" s="212"/>
      <c r="O97" s="212"/>
      <c r="P97" s="212"/>
      <c r="Q97" s="212"/>
      <c r="R97" s="212"/>
      <c r="S97" s="212"/>
      <c r="T97" s="212"/>
      <c r="U97" s="212"/>
      <c r="V97" s="212"/>
      <c r="W97" s="212"/>
      <c r="X97" s="212"/>
      <c r="Y97" s="212"/>
      <c r="Z97" s="212"/>
      <c r="AA97" s="212"/>
      <c r="AB97" s="212"/>
      <c r="AC97" s="212"/>
      <c r="AD97" s="212"/>
      <c r="AE97" s="212"/>
      <c r="AF97" s="212"/>
      <c r="AG97" s="212"/>
      <c r="AH97" s="212"/>
      <c r="AI97" s="212"/>
      <c r="AJ97" s="212"/>
      <c r="AK97" s="212"/>
      <c r="AL97" s="212"/>
      <c r="AM97" s="212"/>
      <c r="AN97" s="212"/>
      <c r="AO97" s="212"/>
      <c r="AP97" s="212"/>
      <c r="AQ97" s="212"/>
      <c r="AR97" s="212"/>
      <c r="AS97" s="212"/>
      <c r="AT97" s="212"/>
      <c r="AU97" s="212"/>
      <c r="AV97" s="212"/>
      <c r="AW97" s="212"/>
      <c r="AX97" s="212"/>
      <c r="AY97" s="212"/>
      <c r="AZ97" s="212"/>
      <c r="BA97" s="212"/>
      <c r="BB97" s="212"/>
      <c r="BC97" s="212"/>
      <c r="BD97" s="212"/>
      <c r="BE97" s="212"/>
      <c r="BF97" s="212"/>
      <c r="BG97" s="212"/>
      <c r="BH97" s="212"/>
      <c r="BI97" s="212"/>
    </row>
    <row r="98" spans="1:61" ht="24" customHeight="1">
      <c r="A98" s="218" t="s">
        <v>2006</v>
      </c>
      <c r="B98" s="218" t="s">
        <v>1166</v>
      </c>
      <c r="C98" s="228">
        <v>1</v>
      </c>
      <c r="D98" s="213" t="s">
        <v>9</v>
      </c>
      <c r="E98" s="212"/>
      <c r="F98" s="217">
        <f>TRUNC(F99+F100+F101,0)</f>
        <v>0</v>
      </c>
      <c r="G98" s="212"/>
      <c r="H98" s="217">
        <f>TRUNC(H99+H100+H101,0)</f>
        <v>0</v>
      </c>
      <c r="I98" s="212"/>
      <c r="J98" s="217">
        <f>TRUNC(J99+J100+J101,0)</f>
        <v>0</v>
      </c>
      <c r="K98" s="212"/>
      <c r="L98" s="217">
        <f>F98+H98+J98</f>
        <v>0</v>
      </c>
      <c r="M98" s="215" t="s">
        <v>1676</v>
      </c>
      <c r="N98" s="212" t="s">
        <v>68</v>
      </c>
      <c r="O98" s="212" t="s">
        <v>1167</v>
      </c>
      <c r="P98" s="212"/>
      <c r="Q98" s="212"/>
      <c r="R98" s="212"/>
      <c r="S98" s="212"/>
      <c r="T98" s="212"/>
      <c r="U98" s="212"/>
      <c r="V98" s="212"/>
      <c r="W98" s="212"/>
      <c r="X98" s="212"/>
      <c r="Y98" s="212"/>
      <c r="Z98" s="212"/>
      <c r="AA98" s="212"/>
      <c r="AB98" s="212"/>
      <c r="AC98" s="212"/>
      <c r="AD98" s="212"/>
      <c r="AE98" s="212"/>
      <c r="AF98" s="212"/>
      <c r="AG98" s="212"/>
      <c r="AH98" s="212"/>
      <c r="AI98" s="212"/>
      <c r="AJ98" s="212"/>
      <c r="AK98" s="212"/>
      <c r="AL98" s="212"/>
      <c r="AM98" s="212"/>
      <c r="AN98" s="212"/>
      <c r="AO98" s="212"/>
      <c r="AP98" s="212"/>
      <c r="AQ98" s="212"/>
      <c r="AR98" s="212"/>
      <c r="AS98" s="212"/>
      <c r="AT98" s="212"/>
      <c r="AU98" s="212"/>
      <c r="AV98" s="212"/>
      <c r="AW98" s="212"/>
      <c r="AX98" s="212"/>
      <c r="AY98" s="212"/>
      <c r="AZ98" s="212"/>
      <c r="BA98" s="212"/>
      <c r="BB98" s="212"/>
      <c r="BC98" s="212"/>
      <c r="BD98" s="212"/>
      <c r="BE98" s="212"/>
      <c r="BF98" s="212"/>
      <c r="BG98" s="212"/>
      <c r="BH98" s="212"/>
      <c r="BI98" s="212"/>
    </row>
    <row r="99" spans="1:61" ht="24" customHeight="1">
      <c r="A99" s="218" t="s">
        <v>2007</v>
      </c>
      <c r="B99" s="218" t="s">
        <v>1946</v>
      </c>
      <c r="C99" s="229">
        <v>3.6999999999999998E-2</v>
      </c>
      <c r="D99" s="213" t="s">
        <v>1286</v>
      </c>
      <c r="E99" s="217">
        <v>0</v>
      </c>
      <c r="F99" s="217"/>
      <c r="G99" s="217">
        <f>노임!D16</f>
        <v>0</v>
      </c>
      <c r="H99" s="217">
        <f>TRUNC(G99*C99,0)</f>
        <v>0</v>
      </c>
      <c r="I99" s="217">
        <v>0</v>
      </c>
      <c r="J99" s="217"/>
      <c r="K99" s="217">
        <f>E99+G99+I99</f>
        <v>0</v>
      </c>
      <c r="L99" s="217">
        <f>F99+H99+J99</f>
        <v>0</v>
      </c>
      <c r="M99" s="215" t="s">
        <v>68</v>
      </c>
      <c r="N99" s="212" t="s">
        <v>68</v>
      </c>
      <c r="O99" s="212"/>
      <c r="P99" s="212" t="s">
        <v>1095</v>
      </c>
      <c r="Q99" s="212" t="s">
        <v>68</v>
      </c>
      <c r="R99" s="212" t="s">
        <v>2008</v>
      </c>
      <c r="S99" s="212"/>
      <c r="T99" s="212"/>
      <c r="U99" s="212"/>
      <c r="V99" s="212"/>
      <c r="W99" s="212"/>
      <c r="X99" s="212"/>
      <c r="Y99" s="212"/>
      <c r="Z99" s="212"/>
      <c r="AA99" s="212"/>
      <c r="AB99" s="212"/>
      <c r="AC99" s="212"/>
      <c r="AD99" s="212"/>
      <c r="AE99" s="212"/>
      <c r="AF99" s="212"/>
      <c r="AG99" s="212"/>
      <c r="AH99" s="212"/>
      <c r="AI99" s="212"/>
      <c r="AJ99" s="212"/>
      <c r="AK99" s="212"/>
      <c r="AL99" s="212"/>
      <c r="AM99" s="212"/>
      <c r="AN99" s="212"/>
      <c r="AO99" s="212"/>
      <c r="AP99" s="212"/>
      <c r="AQ99" s="212"/>
      <c r="AR99" s="212"/>
      <c r="AS99" s="212"/>
      <c r="AT99" s="212"/>
      <c r="AU99" s="212"/>
      <c r="AV99" s="212"/>
      <c r="AW99" s="212"/>
      <c r="AX99" s="212"/>
      <c r="AY99" s="212"/>
      <c r="AZ99" s="212"/>
      <c r="BA99" s="212"/>
      <c r="BB99" s="212"/>
      <c r="BC99" s="212"/>
      <c r="BD99" s="212"/>
      <c r="BE99" s="212"/>
      <c r="BF99" s="212"/>
      <c r="BG99" s="212"/>
      <c r="BH99" s="212"/>
      <c r="BI99" s="231" t="str">
        <f>HYPERLINK("#노임!A16","L001010101000028 →")</f>
        <v>L001010101000028 →</v>
      </c>
    </row>
    <row r="100" spans="1:61" ht="24" customHeight="1">
      <c r="A100" s="218" t="s">
        <v>1967</v>
      </c>
      <c r="B100" s="218" t="s">
        <v>1946</v>
      </c>
      <c r="C100" s="229">
        <v>2.4E-2</v>
      </c>
      <c r="D100" s="213" t="s">
        <v>1286</v>
      </c>
      <c r="E100" s="217">
        <v>0</v>
      </c>
      <c r="F100" s="217"/>
      <c r="G100" s="217">
        <f>노임!D3</f>
        <v>0</v>
      </c>
      <c r="H100" s="217">
        <f>TRUNC(G100*C100,0)</f>
        <v>0</v>
      </c>
      <c r="I100" s="217">
        <v>0</v>
      </c>
      <c r="J100" s="217"/>
      <c r="K100" s="217">
        <f>E100+G100+I100</f>
        <v>0</v>
      </c>
      <c r="L100" s="217">
        <f>F100+H100+J100</f>
        <v>0</v>
      </c>
      <c r="M100" s="215" t="s">
        <v>68</v>
      </c>
      <c r="N100" s="212" t="s">
        <v>68</v>
      </c>
      <c r="O100" s="212"/>
      <c r="P100" s="212" t="s">
        <v>1098</v>
      </c>
      <c r="Q100" s="212" t="s">
        <v>68</v>
      </c>
      <c r="R100" s="212" t="s">
        <v>1968</v>
      </c>
      <c r="S100" s="212"/>
      <c r="T100" s="212"/>
      <c r="U100" s="212"/>
      <c r="V100" s="212"/>
      <c r="W100" s="212"/>
      <c r="X100" s="212"/>
      <c r="Y100" s="212"/>
      <c r="Z100" s="212"/>
      <c r="AA100" s="220" t="s">
        <v>1955</v>
      </c>
      <c r="AB100" s="212">
        <f>(호표!H99+호표!H100)*0.06</f>
        <v>0</v>
      </c>
      <c r="AC100" s="220" t="s">
        <v>1956</v>
      </c>
      <c r="AD100" s="212">
        <f>$AB100</f>
        <v>0</v>
      </c>
      <c r="AE100" s="212"/>
      <c r="AF100" s="212"/>
      <c r="AG100" s="212"/>
      <c r="AH100" s="212"/>
      <c r="AI100" s="212"/>
      <c r="AJ100" s="212"/>
      <c r="AK100" s="212"/>
      <c r="AL100" s="212"/>
      <c r="AM100" s="212"/>
      <c r="AN100" s="212"/>
      <c r="AO100" s="212"/>
      <c r="AP100" s="212"/>
      <c r="AQ100" s="212"/>
      <c r="AR100" s="212"/>
      <c r="AS100" s="212"/>
      <c r="AT100" s="212"/>
      <c r="AU100" s="212"/>
      <c r="AV100" s="212"/>
      <c r="AW100" s="212"/>
      <c r="AX100" s="212"/>
      <c r="AY100" s="212"/>
      <c r="AZ100" s="212"/>
      <c r="BA100" s="212"/>
      <c r="BB100" s="212"/>
      <c r="BC100" s="212"/>
      <c r="BD100" s="212"/>
      <c r="BE100" s="212"/>
      <c r="BF100" s="212"/>
      <c r="BG100" s="212"/>
      <c r="BH100" s="212"/>
      <c r="BI100" s="231" t="str">
        <f>HYPERLINK("#노임!A3","L001010101000002 →")</f>
        <v>L001010101000002 →</v>
      </c>
    </row>
    <row r="101" spans="1:61" ht="24" customHeight="1">
      <c r="A101" s="218" t="s">
        <v>1948</v>
      </c>
      <c r="B101" s="218" t="s">
        <v>2009</v>
      </c>
      <c r="C101" s="228">
        <v>6</v>
      </c>
      <c r="D101" s="213" t="s">
        <v>1950</v>
      </c>
      <c r="E101" s="213"/>
      <c r="F101" s="217">
        <v>0</v>
      </c>
      <c r="G101" s="213"/>
      <c r="H101" s="217">
        <v>0</v>
      </c>
      <c r="I101" s="213"/>
      <c r="J101" s="217">
        <f>TRUNC(((H99+H100)*0.06),0)</f>
        <v>0</v>
      </c>
      <c r="K101" s="217">
        <f>E101+G101+I101</f>
        <v>0</v>
      </c>
      <c r="L101" s="217">
        <f>F101+H101+J101</f>
        <v>0</v>
      </c>
      <c r="M101" s="215" t="s">
        <v>68</v>
      </c>
      <c r="N101" s="212" t="s">
        <v>68</v>
      </c>
      <c r="O101" s="212"/>
      <c r="P101" s="212" t="s">
        <v>1101</v>
      </c>
      <c r="Q101" s="212" t="s">
        <v>68</v>
      </c>
      <c r="R101" s="212" t="s">
        <v>1121</v>
      </c>
      <c r="S101" s="212"/>
      <c r="T101" s="212"/>
      <c r="U101" s="212"/>
      <c r="V101" s="212"/>
      <c r="W101" s="212"/>
      <c r="X101" s="212" t="s">
        <v>2010</v>
      </c>
      <c r="Y101" s="212"/>
      <c r="Z101" s="212"/>
      <c r="AA101" s="212"/>
      <c r="AB101" s="212"/>
      <c r="AC101" s="212"/>
      <c r="AD101" s="212"/>
      <c r="AE101" s="212"/>
      <c r="AF101" s="212"/>
      <c r="AG101" s="212"/>
      <c r="AH101" s="212"/>
      <c r="AI101" s="212"/>
      <c r="AJ101" s="212"/>
      <c r="AK101" s="212"/>
      <c r="AL101" s="212"/>
      <c r="AM101" s="212"/>
      <c r="AN101" s="212"/>
      <c r="AO101" s="212"/>
      <c r="AP101" s="212"/>
      <c r="AQ101" s="212"/>
      <c r="AR101" s="212"/>
      <c r="AS101" s="212"/>
      <c r="AT101" s="212"/>
      <c r="AU101" s="212"/>
      <c r="AV101" s="212"/>
      <c r="AW101" s="212"/>
      <c r="AX101" s="212"/>
      <c r="AY101" s="212"/>
      <c r="AZ101" s="212"/>
      <c r="BA101" s="212"/>
      <c r="BB101" s="212"/>
      <c r="BC101" s="212"/>
      <c r="BD101" s="212"/>
      <c r="BE101" s="212"/>
      <c r="BF101" s="212"/>
      <c r="BG101" s="212"/>
      <c r="BH101" s="212"/>
      <c r="BI101" s="212"/>
    </row>
    <row r="102" spans="1:61" ht="24" customHeight="1">
      <c r="A102" s="215"/>
      <c r="B102" s="215"/>
      <c r="C102" s="229"/>
      <c r="D102" s="213"/>
      <c r="E102" s="213"/>
      <c r="F102" s="213"/>
      <c r="G102" s="213"/>
      <c r="H102" s="213"/>
      <c r="I102" s="213"/>
      <c r="J102" s="213"/>
      <c r="K102" s="213"/>
      <c r="L102" s="213"/>
      <c r="M102" s="215"/>
      <c r="N102" s="212"/>
      <c r="O102" s="212"/>
      <c r="P102" s="212"/>
      <c r="Q102" s="212"/>
      <c r="R102" s="212"/>
      <c r="S102" s="212"/>
      <c r="T102" s="212"/>
      <c r="U102" s="212"/>
      <c r="V102" s="212"/>
      <c r="W102" s="212"/>
      <c r="X102" s="212"/>
      <c r="Y102" s="212"/>
      <c r="Z102" s="212"/>
      <c r="AA102" s="212"/>
      <c r="AB102" s="212"/>
      <c r="AC102" s="212"/>
      <c r="AD102" s="212"/>
      <c r="AE102" s="212"/>
      <c r="AF102" s="212"/>
      <c r="AG102" s="212"/>
      <c r="AH102" s="212"/>
      <c r="AI102" s="212"/>
      <c r="AJ102" s="212"/>
      <c r="AK102" s="212"/>
      <c r="AL102" s="212"/>
      <c r="AM102" s="212"/>
      <c r="AN102" s="212"/>
      <c r="AO102" s="212"/>
      <c r="AP102" s="212"/>
      <c r="AQ102" s="212"/>
      <c r="AR102" s="212"/>
      <c r="AS102" s="212"/>
      <c r="AT102" s="212"/>
      <c r="AU102" s="212"/>
      <c r="AV102" s="212"/>
      <c r="AW102" s="212"/>
      <c r="AX102" s="212"/>
      <c r="AY102" s="212"/>
      <c r="AZ102" s="212"/>
      <c r="BA102" s="212"/>
      <c r="BB102" s="212"/>
      <c r="BC102" s="212"/>
      <c r="BD102" s="212"/>
      <c r="BE102" s="212"/>
      <c r="BF102" s="212"/>
      <c r="BG102" s="212"/>
      <c r="BH102" s="212"/>
      <c r="BI102" s="212"/>
    </row>
    <row r="103" spans="1:61" ht="24" customHeight="1">
      <c r="A103" s="218" t="s">
        <v>2011</v>
      </c>
      <c r="B103" s="218" t="s">
        <v>1169</v>
      </c>
      <c r="C103" s="228">
        <v>1</v>
      </c>
      <c r="D103" s="213" t="s">
        <v>15</v>
      </c>
      <c r="E103" s="212"/>
      <c r="F103" s="217">
        <f>TRUNC(F104+F105+F106,0)</f>
        <v>0</v>
      </c>
      <c r="G103" s="212"/>
      <c r="H103" s="217">
        <f>TRUNC(H104+H105+H106,0)</f>
        <v>0</v>
      </c>
      <c r="I103" s="212"/>
      <c r="J103" s="217">
        <f>TRUNC(J104+J105+J106,0)</f>
        <v>0</v>
      </c>
      <c r="K103" s="212"/>
      <c r="L103" s="217">
        <f>F103+H103+J103</f>
        <v>0</v>
      </c>
      <c r="M103" s="215" t="s">
        <v>1678</v>
      </c>
      <c r="N103" s="212" t="s">
        <v>68</v>
      </c>
      <c r="O103" s="212" t="s">
        <v>1170</v>
      </c>
      <c r="P103" s="212"/>
      <c r="Q103" s="212"/>
      <c r="R103" s="212"/>
      <c r="S103" s="212"/>
      <c r="T103" s="212"/>
      <c r="U103" s="212"/>
      <c r="V103" s="212"/>
      <c r="W103" s="212"/>
      <c r="X103" s="212"/>
      <c r="Y103" s="212"/>
      <c r="Z103" s="212"/>
      <c r="AA103" s="212"/>
      <c r="AB103" s="212"/>
      <c r="AC103" s="212"/>
      <c r="AD103" s="212"/>
      <c r="AE103" s="212"/>
      <c r="AF103" s="212"/>
      <c r="AG103" s="212"/>
      <c r="AH103" s="212"/>
      <c r="AI103" s="212"/>
      <c r="AJ103" s="212"/>
      <c r="AK103" s="212"/>
      <c r="AL103" s="212"/>
      <c r="AM103" s="212"/>
      <c r="AN103" s="212"/>
      <c r="AO103" s="212"/>
      <c r="AP103" s="212"/>
      <c r="AQ103" s="212"/>
      <c r="AR103" s="212"/>
      <c r="AS103" s="212"/>
      <c r="AT103" s="212"/>
      <c r="AU103" s="212"/>
      <c r="AV103" s="212"/>
      <c r="AW103" s="212"/>
      <c r="AX103" s="212"/>
      <c r="AY103" s="212"/>
      <c r="AZ103" s="212"/>
      <c r="BA103" s="212"/>
      <c r="BB103" s="212"/>
      <c r="BC103" s="212"/>
      <c r="BD103" s="212"/>
      <c r="BE103" s="212"/>
      <c r="BF103" s="212"/>
      <c r="BG103" s="212"/>
      <c r="BH103" s="212"/>
      <c r="BI103" s="212"/>
    </row>
    <row r="104" spans="1:61" ht="24" customHeight="1">
      <c r="A104" s="218" t="s">
        <v>2012</v>
      </c>
      <c r="B104" s="218" t="s">
        <v>1946</v>
      </c>
      <c r="C104" s="229">
        <v>0.38</v>
      </c>
      <c r="D104" s="213" t="s">
        <v>1286</v>
      </c>
      <c r="E104" s="217">
        <v>0</v>
      </c>
      <c r="F104" s="217"/>
      <c r="G104" s="217">
        <f>노임!D10</f>
        <v>0</v>
      </c>
      <c r="H104" s="217">
        <f>TRUNC(G104*C104,0)</f>
        <v>0</v>
      </c>
      <c r="I104" s="217">
        <v>0</v>
      </c>
      <c r="J104" s="217"/>
      <c r="K104" s="217">
        <f>E104+G104+I104</f>
        <v>0</v>
      </c>
      <c r="L104" s="217">
        <f>F104+H104+J104</f>
        <v>0</v>
      </c>
      <c r="M104" s="215" t="s">
        <v>68</v>
      </c>
      <c r="N104" s="212" t="s">
        <v>68</v>
      </c>
      <c r="O104" s="212"/>
      <c r="P104" s="212" t="s">
        <v>1095</v>
      </c>
      <c r="Q104" s="212" t="s">
        <v>68</v>
      </c>
      <c r="R104" s="212" t="s">
        <v>2013</v>
      </c>
      <c r="S104" s="212"/>
      <c r="T104" s="212"/>
      <c r="U104" s="212"/>
      <c r="V104" s="212"/>
      <c r="W104" s="212"/>
      <c r="X104" s="212"/>
      <c r="Y104" s="212"/>
      <c r="Z104" s="212"/>
      <c r="AA104" s="212"/>
      <c r="AB104" s="212"/>
      <c r="AC104" s="212"/>
      <c r="AD104" s="212"/>
      <c r="AE104" s="212"/>
      <c r="AF104" s="212"/>
      <c r="AG104" s="212"/>
      <c r="AH104" s="212"/>
      <c r="AI104" s="212"/>
      <c r="AJ104" s="212"/>
      <c r="AK104" s="212"/>
      <c r="AL104" s="212"/>
      <c r="AM104" s="212"/>
      <c r="AN104" s="212"/>
      <c r="AO104" s="212"/>
      <c r="AP104" s="212"/>
      <c r="AQ104" s="212"/>
      <c r="AR104" s="212"/>
      <c r="AS104" s="212"/>
      <c r="AT104" s="212"/>
      <c r="AU104" s="212"/>
      <c r="AV104" s="212"/>
      <c r="AW104" s="212"/>
      <c r="AX104" s="212"/>
      <c r="AY104" s="212"/>
      <c r="AZ104" s="212"/>
      <c r="BA104" s="212"/>
      <c r="BB104" s="212"/>
      <c r="BC104" s="212"/>
      <c r="BD104" s="212"/>
      <c r="BE104" s="212"/>
      <c r="BF104" s="212"/>
      <c r="BG104" s="212"/>
      <c r="BH104" s="212"/>
      <c r="BI104" s="231" t="str">
        <f>HYPERLINK("#노임!A10","L001010101000021 →")</f>
        <v>L001010101000021 →</v>
      </c>
    </row>
    <row r="105" spans="1:61" ht="24" customHeight="1">
      <c r="A105" s="218" t="s">
        <v>1967</v>
      </c>
      <c r="B105" s="218" t="s">
        <v>1946</v>
      </c>
      <c r="C105" s="229">
        <v>0.252</v>
      </c>
      <c r="D105" s="213" t="s">
        <v>1286</v>
      </c>
      <c r="E105" s="217">
        <v>0</v>
      </c>
      <c r="F105" s="217"/>
      <c r="G105" s="217">
        <f>노임!D3</f>
        <v>0</v>
      </c>
      <c r="H105" s="217">
        <f>TRUNC(G105*C105,0)</f>
        <v>0</v>
      </c>
      <c r="I105" s="217">
        <v>0</v>
      </c>
      <c r="J105" s="217"/>
      <c r="K105" s="217">
        <f>E105+G105+I105</f>
        <v>0</v>
      </c>
      <c r="L105" s="217">
        <f>F105+H105+J105</f>
        <v>0</v>
      </c>
      <c r="M105" s="215" t="s">
        <v>68</v>
      </c>
      <c r="N105" s="212" t="s">
        <v>68</v>
      </c>
      <c r="O105" s="212"/>
      <c r="P105" s="212" t="s">
        <v>1098</v>
      </c>
      <c r="Q105" s="212" t="s">
        <v>68</v>
      </c>
      <c r="R105" s="212" t="s">
        <v>1968</v>
      </c>
      <c r="S105" s="212"/>
      <c r="T105" s="212"/>
      <c r="U105" s="212"/>
      <c r="V105" s="212"/>
      <c r="W105" s="212"/>
      <c r="X105" s="212"/>
      <c r="Y105" s="212"/>
      <c r="Z105" s="212"/>
      <c r="AA105" s="220" t="s">
        <v>1955</v>
      </c>
      <c r="AB105" s="212">
        <f>(호표!H104+호표!H105)*0.02</f>
        <v>0</v>
      </c>
      <c r="AC105" s="220" t="s">
        <v>1956</v>
      </c>
      <c r="AD105" s="212">
        <f>$AB105</f>
        <v>0</v>
      </c>
      <c r="AE105" s="212"/>
      <c r="AF105" s="212"/>
      <c r="AG105" s="212"/>
      <c r="AH105" s="212"/>
      <c r="AI105" s="212"/>
      <c r="AJ105" s="212"/>
      <c r="AK105" s="212"/>
      <c r="AL105" s="212"/>
      <c r="AM105" s="212"/>
      <c r="AN105" s="212"/>
      <c r="AO105" s="212"/>
      <c r="AP105" s="212"/>
      <c r="AQ105" s="212"/>
      <c r="AR105" s="212"/>
      <c r="AS105" s="212"/>
      <c r="AT105" s="212"/>
      <c r="AU105" s="212"/>
      <c r="AV105" s="212"/>
      <c r="AW105" s="212"/>
      <c r="AX105" s="212"/>
      <c r="AY105" s="212"/>
      <c r="AZ105" s="212"/>
      <c r="BA105" s="212"/>
      <c r="BB105" s="212"/>
      <c r="BC105" s="212"/>
      <c r="BD105" s="212"/>
      <c r="BE105" s="212"/>
      <c r="BF105" s="212"/>
      <c r="BG105" s="212"/>
      <c r="BH105" s="212"/>
      <c r="BI105" s="231" t="str">
        <f>HYPERLINK("#노임!A3","L001010101000002 →")</f>
        <v>L001010101000002 →</v>
      </c>
    </row>
    <row r="106" spans="1:61" ht="24" customHeight="1">
      <c r="A106" s="218" t="s">
        <v>1948</v>
      </c>
      <c r="B106" s="218" t="s">
        <v>1958</v>
      </c>
      <c r="C106" s="228">
        <v>2</v>
      </c>
      <c r="D106" s="213" t="s">
        <v>1950</v>
      </c>
      <c r="E106" s="213"/>
      <c r="F106" s="217">
        <v>0</v>
      </c>
      <c r="G106" s="213"/>
      <c r="H106" s="217">
        <v>0</v>
      </c>
      <c r="I106" s="213"/>
      <c r="J106" s="217">
        <f>TRUNC(((H104+H105)*0.02),0)</f>
        <v>0</v>
      </c>
      <c r="K106" s="217">
        <f>E106+G106+I106</f>
        <v>0</v>
      </c>
      <c r="L106" s="217">
        <f>F106+H106+J106</f>
        <v>0</v>
      </c>
      <c r="M106" s="215" t="s">
        <v>68</v>
      </c>
      <c r="N106" s="212" t="s">
        <v>68</v>
      </c>
      <c r="O106" s="212"/>
      <c r="P106" s="212" t="s">
        <v>1101</v>
      </c>
      <c r="Q106" s="212" t="s">
        <v>68</v>
      </c>
      <c r="R106" s="212" t="s">
        <v>1121</v>
      </c>
      <c r="S106" s="212"/>
      <c r="T106" s="212"/>
      <c r="U106" s="212"/>
      <c r="V106" s="212"/>
      <c r="W106" s="212"/>
      <c r="X106" s="212" t="s">
        <v>1975</v>
      </c>
      <c r="Y106" s="212"/>
      <c r="Z106" s="212"/>
      <c r="AA106" s="212"/>
      <c r="AB106" s="212"/>
      <c r="AC106" s="212"/>
      <c r="AD106" s="212"/>
      <c r="AE106" s="212"/>
      <c r="AF106" s="212"/>
      <c r="AG106" s="212"/>
      <c r="AH106" s="212"/>
      <c r="AI106" s="212"/>
      <c r="AJ106" s="212"/>
      <c r="AK106" s="212"/>
      <c r="AL106" s="212"/>
      <c r="AM106" s="212"/>
      <c r="AN106" s="212"/>
      <c r="AO106" s="212"/>
      <c r="AP106" s="212"/>
      <c r="AQ106" s="212"/>
      <c r="AR106" s="212"/>
      <c r="AS106" s="212"/>
      <c r="AT106" s="212"/>
      <c r="AU106" s="212"/>
      <c r="AV106" s="212"/>
      <c r="AW106" s="212"/>
      <c r="AX106" s="212"/>
      <c r="AY106" s="212"/>
      <c r="AZ106" s="212"/>
      <c r="BA106" s="212"/>
      <c r="BB106" s="212"/>
      <c r="BC106" s="212"/>
      <c r="BD106" s="212"/>
      <c r="BE106" s="212"/>
      <c r="BF106" s="212"/>
      <c r="BG106" s="212"/>
      <c r="BH106" s="212"/>
      <c r="BI106" s="212"/>
    </row>
    <row r="107" spans="1:61" ht="24" customHeight="1">
      <c r="A107" s="215"/>
      <c r="B107" s="215"/>
      <c r="C107" s="229"/>
      <c r="D107" s="213"/>
      <c r="E107" s="213"/>
      <c r="F107" s="213"/>
      <c r="G107" s="213"/>
      <c r="H107" s="213"/>
      <c r="I107" s="213"/>
      <c r="J107" s="213"/>
      <c r="K107" s="213"/>
      <c r="L107" s="213"/>
      <c r="M107" s="215"/>
      <c r="N107" s="212"/>
      <c r="O107" s="212"/>
      <c r="P107" s="212"/>
      <c r="Q107" s="212"/>
      <c r="R107" s="212"/>
      <c r="S107" s="212"/>
      <c r="T107" s="212"/>
      <c r="U107" s="212"/>
      <c r="V107" s="212"/>
      <c r="W107" s="212"/>
      <c r="X107" s="212"/>
      <c r="Y107" s="212"/>
      <c r="Z107" s="212"/>
      <c r="AA107" s="212"/>
      <c r="AB107" s="212"/>
      <c r="AC107" s="212"/>
      <c r="AD107" s="212"/>
      <c r="AE107" s="212"/>
      <c r="AF107" s="212"/>
      <c r="AG107" s="212"/>
      <c r="AH107" s="212"/>
      <c r="AI107" s="212"/>
      <c r="AJ107" s="212"/>
      <c r="AK107" s="212"/>
      <c r="AL107" s="212"/>
      <c r="AM107" s="212"/>
      <c r="AN107" s="212"/>
      <c r="AO107" s="212"/>
      <c r="AP107" s="212"/>
      <c r="AQ107" s="212"/>
      <c r="AR107" s="212"/>
      <c r="AS107" s="212"/>
      <c r="AT107" s="212"/>
      <c r="AU107" s="212"/>
      <c r="AV107" s="212"/>
      <c r="AW107" s="212"/>
      <c r="AX107" s="212"/>
      <c r="AY107" s="212"/>
      <c r="AZ107" s="212"/>
      <c r="BA107" s="212"/>
      <c r="BB107" s="212"/>
      <c r="BC107" s="212"/>
      <c r="BD107" s="212"/>
      <c r="BE107" s="212"/>
      <c r="BF107" s="212"/>
      <c r="BG107" s="212"/>
      <c r="BH107" s="212"/>
      <c r="BI107" s="212"/>
    </row>
    <row r="108" spans="1:61" ht="24" customHeight="1">
      <c r="A108" s="218" t="s">
        <v>2014</v>
      </c>
      <c r="B108" s="218" t="s">
        <v>1172</v>
      </c>
      <c r="C108" s="228">
        <v>1</v>
      </c>
      <c r="D108" s="213" t="s">
        <v>16</v>
      </c>
      <c r="E108" s="212"/>
      <c r="F108" s="217">
        <f>TRUNC(F109,0)</f>
        <v>0</v>
      </c>
      <c r="G108" s="212"/>
      <c r="H108" s="217">
        <f>TRUNC(H109,0)</f>
        <v>0</v>
      </c>
      <c r="I108" s="212"/>
      <c r="J108" s="217">
        <f>TRUNC(J109,0)</f>
        <v>6420</v>
      </c>
      <c r="K108" s="212"/>
      <c r="L108" s="217">
        <f>F108+H108+J108</f>
        <v>6420</v>
      </c>
      <c r="M108" s="215" t="s">
        <v>68</v>
      </c>
      <c r="N108" s="212" t="s">
        <v>68</v>
      </c>
      <c r="O108" s="212" t="s">
        <v>1174</v>
      </c>
      <c r="P108" s="212"/>
      <c r="Q108" s="212"/>
      <c r="R108" s="212"/>
      <c r="S108" s="212"/>
      <c r="T108" s="212"/>
      <c r="U108" s="212"/>
      <c r="V108" s="212"/>
      <c r="W108" s="212"/>
      <c r="X108" s="212"/>
      <c r="Y108" s="212"/>
      <c r="Z108" s="212"/>
      <c r="AA108" s="212"/>
      <c r="AB108" s="212"/>
      <c r="AC108" s="212"/>
      <c r="AD108" s="212"/>
      <c r="AE108" s="212"/>
      <c r="AF108" s="212"/>
      <c r="AG108" s="212"/>
      <c r="AH108" s="212"/>
      <c r="AI108" s="212"/>
      <c r="AJ108" s="212"/>
      <c r="AK108" s="212"/>
      <c r="AL108" s="212"/>
      <c r="AM108" s="212"/>
      <c r="AN108" s="212"/>
      <c r="AO108" s="212"/>
      <c r="AP108" s="212"/>
      <c r="AQ108" s="212"/>
      <c r="AR108" s="212"/>
      <c r="AS108" s="212"/>
      <c r="AT108" s="212"/>
      <c r="AU108" s="212"/>
      <c r="AV108" s="212"/>
      <c r="AW108" s="212"/>
      <c r="AX108" s="212"/>
      <c r="AY108" s="212"/>
      <c r="AZ108" s="212"/>
      <c r="BA108" s="212"/>
      <c r="BB108" s="212"/>
      <c r="BC108" s="212"/>
      <c r="BD108" s="212"/>
      <c r="BE108" s="212"/>
      <c r="BF108" s="212"/>
      <c r="BG108" s="212"/>
      <c r="BH108" s="212"/>
      <c r="BI108" s="212"/>
    </row>
    <row r="109" spans="1:61" ht="24" customHeight="1">
      <c r="A109" s="218" t="s">
        <v>1171</v>
      </c>
      <c r="B109" s="218" t="s">
        <v>1172</v>
      </c>
      <c r="C109" s="228">
        <v>1</v>
      </c>
      <c r="D109" s="213" t="s">
        <v>15</v>
      </c>
      <c r="E109" s="217">
        <f>TRUNC(X109,0)</f>
        <v>0</v>
      </c>
      <c r="F109" s="217">
        <f>TRUNC(E109*C109,0)</f>
        <v>0</v>
      </c>
      <c r="G109" s="217">
        <f>TRUNC(W109,0)</f>
        <v>0</v>
      </c>
      <c r="H109" s="217">
        <f>TRUNC(G109*C109,0)</f>
        <v>0</v>
      </c>
      <c r="I109" s="217">
        <f>TRUNC(V109,0)</f>
        <v>6420</v>
      </c>
      <c r="J109" s="217">
        <f>TRUNC(I109*C109,0)</f>
        <v>6420</v>
      </c>
      <c r="K109" s="217">
        <f>E109+G109+I109</f>
        <v>6420</v>
      </c>
      <c r="L109" s="217">
        <f>F109+H109+J109</f>
        <v>6420</v>
      </c>
      <c r="M109" s="215" t="s">
        <v>68</v>
      </c>
      <c r="N109" s="212" t="s">
        <v>68</v>
      </c>
      <c r="O109" s="212"/>
      <c r="P109" s="212" t="s">
        <v>1095</v>
      </c>
      <c r="Q109" s="212" t="s">
        <v>68</v>
      </c>
      <c r="R109" s="212" t="s">
        <v>2015</v>
      </c>
      <c r="S109" s="212"/>
      <c r="T109" s="212"/>
      <c r="U109" s="212"/>
      <c r="V109" s="212">
        <v>6420</v>
      </c>
      <c r="W109" s="212">
        <v>0</v>
      </c>
      <c r="X109" s="212">
        <v>0</v>
      </c>
      <c r="Y109" s="212"/>
      <c r="Z109" s="212"/>
      <c r="AA109" s="212"/>
      <c r="AB109" s="212"/>
      <c r="AC109" s="212"/>
      <c r="AD109" s="212"/>
      <c r="AE109" s="212"/>
      <c r="AF109" s="212"/>
      <c r="AG109" s="212"/>
      <c r="AH109" s="212"/>
      <c r="AI109" s="212"/>
      <c r="AJ109" s="212"/>
      <c r="AK109" s="212"/>
      <c r="AL109" s="212"/>
      <c r="AM109" s="212"/>
      <c r="AN109" s="212"/>
      <c r="AO109" s="212"/>
      <c r="AP109" s="212"/>
      <c r="AQ109" s="212"/>
      <c r="AR109" s="212"/>
      <c r="AS109" s="212"/>
      <c r="AT109" s="212"/>
      <c r="AU109" s="212"/>
      <c r="AV109" s="212"/>
      <c r="AW109" s="212"/>
      <c r="AX109" s="212"/>
      <c r="AY109" s="212"/>
      <c r="AZ109" s="212"/>
      <c r="BA109" s="212"/>
      <c r="BB109" s="212"/>
      <c r="BC109" s="212"/>
      <c r="BD109" s="212"/>
      <c r="BE109" s="212"/>
      <c r="BF109" s="212"/>
      <c r="BG109" s="212"/>
      <c r="BH109" s="212"/>
      <c r="BI109" s="212"/>
    </row>
    <row r="110" spans="1:61" ht="24" customHeight="1">
      <c r="A110" s="215"/>
      <c r="B110" s="215"/>
      <c r="C110" s="229"/>
      <c r="D110" s="213"/>
      <c r="E110" s="213"/>
      <c r="F110" s="213"/>
      <c r="G110" s="213"/>
      <c r="H110" s="213"/>
      <c r="I110" s="213"/>
      <c r="J110" s="213"/>
      <c r="K110" s="213"/>
      <c r="L110" s="213"/>
      <c r="M110" s="215"/>
      <c r="N110" s="212"/>
      <c r="O110" s="212"/>
      <c r="P110" s="212"/>
      <c r="Q110" s="212"/>
      <c r="R110" s="212"/>
      <c r="S110" s="212"/>
      <c r="T110" s="212"/>
      <c r="U110" s="212"/>
      <c r="V110" s="212"/>
      <c r="W110" s="212"/>
      <c r="X110" s="212"/>
      <c r="Y110" s="212"/>
      <c r="Z110" s="212"/>
      <c r="AA110" s="212"/>
      <c r="AB110" s="212"/>
      <c r="AC110" s="212"/>
      <c r="AD110" s="212"/>
      <c r="AE110" s="212"/>
      <c r="AF110" s="212"/>
      <c r="AG110" s="212"/>
      <c r="AH110" s="212"/>
      <c r="AI110" s="212"/>
      <c r="AJ110" s="212"/>
      <c r="AK110" s="212"/>
      <c r="AL110" s="212"/>
      <c r="AM110" s="212"/>
      <c r="AN110" s="212"/>
      <c r="AO110" s="212"/>
      <c r="AP110" s="212"/>
      <c r="AQ110" s="212"/>
      <c r="AR110" s="212"/>
      <c r="AS110" s="212"/>
      <c r="AT110" s="212"/>
      <c r="AU110" s="212"/>
      <c r="AV110" s="212"/>
      <c r="AW110" s="212"/>
      <c r="AX110" s="212"/>
      <c r="AY110" s="212"/>
      <c r="AZ110" s="212"/>
      <c r="BA110" s="212"/>
      <c r="BB110" s="212"/>
      <c r="BC110" s="212"/>
      <c r="BD110" s="212"/>
      <c r="BE110" s="212"/>
      <c r="BF110" s="212"/>
      <c r="BG110" s="212"/>
      <c r="BH110" s="212"/>
      <c r="BI110" s="212"/>
    </row>
    <row r="111" spans="1:61" ht="24" customHeight="1">
      <c r="A111" s="218" t="s">
        <v>2016</v>
      </c>
      <c r="B111" s="218" t="s">
        <v>1177</v>
      </c>
      <c r="C111" s="228">
        <v>1</v>
      </c>
      <c r="D111" s="213" t="s">
        <v>9</v>
      </c>
      <c r="E111" s="212"/>
      <c r="F111" s="217">
        <f>TRUNC(F112+F113+F114,0)</f>
        <v>0</v>
      </c>
      <c r="G111" s="212"/>
      <c r="H111" s="217">
        <f>TRUNC(H112+H113+H114,0)</f>
        <v>0</v>
      </c>
      <c r="I111" s="212"/>
      <c r="J111" s="217">
        <f>TRUNC(J112+J113+J114,0)</f>
        <v>0</v>
      </c>
      <c r="K111" s="212"/>
      <c r="L111" s="217">
        <f>F111+H111+J111</f>
        <v>0</v>
      </c>
      <c r="M111" s="215" t="s">
        <v>1640</v>
      </c>
      <c r="N111" s="212" t="s">
        <v>68</v>
      </c>
      <c r="O111" s="212" t="s">
        <v>1178</v>
      </c>
      <c r="P111" s="212"/>
      <c r="Q111" s="212"/>
      <c r="R111" s="212"/>
      <c r="S111" s="212"/>
      <c r="T111" s="212"/>
      <c r="U111" s="212"/>
      <c r="V111" s="212"/>
      <c r="W111" s="212"/>
      <c r="X111" s="212"/>
      <c r="Y111" s="212"/>
      <c r="Z111" s="212"/>
      <c r="AA111" s="212"/>
      <c r="AB111" s="212"/>
      <c r="AC111" s="212"/>
      <c r="AD111" s="212"/>
      <c r="AE111" s="212"/>
      <c r="AF111" s="212"/>
      <c r="AG111" s="212"/>
      <c r="AH111" s="212"/>
      <c r="AI111" s="212"/>
      <c r="AJ111" s="212"/>
      <c r="AK111" s="212"/>
      <c r="AL111" s="212"/>
      <c r="AM111" s="212"/>
      <c r="AN111" s="212"/>
      <c r="AO111" s="212"/>
      <c r="AP111" s="212"/>
      <c r="AQ111" s="212"/>
      <c r="AR111" s="212"/>
      <c r="AS111" s="212"/>
      <c r="AT111" s="212"/>
      <c r="AU111" s="212"/>
      <c r="AV111" s="212"/>
      <c r="AW111" s="212"/>
      <c r="AX111" s="212"/>
      <c r="AY111" s="212"/>
      <c r="AZ111" s="212"/>
      <c r="BA111" s="212"/>
      <c r="BB111" s="212"/>
      <c r="BC111" s="212"/>
      <c r="BD111" s="212"/>
      <c r="BE111" s="212"/>
      <c r="BF111" s="212"/>
      <c r="BG111" s="212"/>
      <c r="BH111" s="212"/>
      <c r="BI111" s="212"/>
    </row>
    <row r="112" spans="1:61" ht="24" customHeight="1">
      <c r="A112" s="218" t="s">
        <v>2017</v>
      </c>
      <c r="B112" s="218" t="s">
        <v>2018</v>
      </c>
      <c r="C112" s="228">
        <v>1</v>
      </c>
      <c r="D112" s="213" t="s">
        <v>2019</v>
      </c>
      <c r="E112" s="217">
        <f>자재조서!E29</f>
        <v>0</v>
      </c>
      <c r="F112" s="217">
        <f>TRUNC(E112*C112,0)</f>
        <v>0</v>
      </c>
      <c r="G112" s="217">
        <v>0</v>
      </c>
      <c r="H112" s="217"/>
      <c r="I112" s="217">
        <v>0</v>
      </c>
      <c r="J112" s="217"/>
      <c r="K112" s="217">
        <f>E112+G112+I112</f>
        <v>0</v>
      </c>
      <c r="L112" s="217">
        <f>F112+H112+J112</f>
        <v>0</v>
      </c>
      <c r="M112" s="215" t="s">
        <v>68</v>
      </c>
      <c r="N112" s="212" t="s">
        <v>68</v>
      </c>
      <c r="O112" s="212"/>
      <c r="P112" s="212" t="s">
        <v>1095</v>
      </c>
      <c r="Q112" s="212" t="s">
        <v>68</v>
      </c>
      <c r="R112" s="212" t="s">
        <v>2020</v>
      </c>
      <c r="S112" s="212"/>
      <c r="T112" s="212"/>
      <c r="U112" s="212"/>
      <c r="V112" s="212"/>
      <c r="W112" s="212"/>
      <c r="X112" s="212"/>
      <c r="Y112" s="212"/>
      <c r="Z112" s="212"/>
      <c r="AA112" s="212"/>
      <c r="AB112" s="212"/>
      <c r="AC112" s="212"/>
      <c r="AD112" s="212"/>
      <c r="AE112" s="212"/>
      <c r="AF112" s="212"/>
      <c r="AG112" s="212"/>
      <c r="AH112" s="212"/>
      <c r="AI112" s="212"/>
      <c r="AJ112" s="212"/>
      <c r="AK112" s="212"/>
      <c r="AL112" s="212"/>
      <c r="AM112" s="212"/>
      <c r="AN112" s="212"/>
      <c r="AO112" s="212"/>
      <c r="AP112" s="212"/>
      <c r="AQ112" s="212"/>
      <c r="AR112" s="212"/>
      <c r="AS112" s="212"/>
      <c r="AT112" s="212"/>
      <c r="AU112" s="212"/>
      <c r="AV112" s="212"/>
      <c r="AW112" s="212"/>
      <c r="AX112" s="212"/>
      <c r="AY112" s="212"/>
      <c r="AZ112" s="212"/>
      <c r="BA112" s="212"/>
      <c r="BB112" s="212"/>
      <c r="BC112" s="212"/>
      <c r="BD112" s="212"/>
      <c r="BE112" s="212"/>
      <c r="BF112" s="212"/>
      <c r="BG112" s="212"/>
      <c r="BH112" s="212"/>
      <c r="BI112" s="231" t="str">
        <f>HYPERLINK("#자재조서!A29","M8916015 →")</f>
        <v>M8916015 →</v>
      </c>
    </row>
    <row r="113" spans="1:61" ht="24" customHeight="1">
      <c r="A113" s="218" t="s">
        <v>1945</v>
      </c>
      <c r="B113" s="218" t="s">
        <v>1946</v>
      </c>
      <c r="C113" s="229">
        <v>1.0999999999999999E-2</v>
      </c>
      <c r="D113" s="213" t="s">
        <v>1286</v>
      </c>
      <c r="E113" s="217">
        <v>0</v>
      </c>
      <c r="F113" s="217"/>
      <c r="G113" s="217">
        <f>노임!D11</f>
        <v>0</v>
      </c>
      <c r="H113" s="217">
        <f>TRUNC(G113*C113,0)</f>
        <v>0</v>
      </c>
      <c r="I113" s="217">
        <v>0</v>
      </c>
      <c r="J113" s="217"/>
      <c r="K113" s="217">
        <f>E113+G113+I113</f>
        <v>0</v>
      </c>
      <c r="L113" s="217">
        <f>F113+H113+J113</f>
        <v>0</v>
      </c>
      <c r="M113" s="215" t="s">
        <v>68</v>
      </c>
      <c r="N113" s="212" t="s">
        <v>68</v>
      </c>
      <c r="O113" s="212"/>
      <c r="P113" s="212" t="s">
        <v>1098</v>
      </c>
      <c r="Q113" s="212" t="s">
        <v>68</v>
      </c>
      <c r="R113" s="212" t="s">
        <v>1947</v>
      </c>
      <c r="S113" s="212"/>
      <c r="T113" s="212"/>
      <c r="U113" s="212"/>
      <c r="V113" s="212"/>
      <c r="W113" s="212"/>
      <c r="X113" s="212"/>
      <c r="Y113" s="212"/>
      <c r="Z113" s="212"/>
      <c r="AA113" s="220" t="s">
        <v>1117</v>
      </c>
      <c r="AB113" s="212">
        <f>호표!H113*0.03</f>
        <v>0</v>
      </c>
      <c r="AC113" s="220" t="s">
        <v>1118</v>
      </c>
      <c r="AD113" s="212">
        <f>$AB113</f>
        <v>0</v>
      </c>
      <c r="AE113" s="212"/>
      <c r="AF113" s="212"/>
      <c r="AG113" s="212"/>
      <c r="AH113" s="212"/>
      <c r="AI113" s="212"/>
      <c r="AJ113" s="212"/>
      <c r="AK113" s="212"/>
      <c r="AL113" s="212"/>
      <c r="AM113" s="212"/>
      <c r="AN113" s="212"/>
      <c r="AO113" s="212"/>
      <c r="AP113" s="212"/>
      <c r="AQ113" s="212"/>
      <c r="AR113" s="212"/>
      <c r="AS113" s="212"/>
      <c r="AT113" s="212"/>
      <c r="AU113" s="212"/>
      <c r="AV113" s="212"/>
      <c r="AW113" s="212"/>
      <c r="AX113" s="212"/>
      <c r="AY113" s="212"/>
      <c r="AZ113" s="212"/>
      <c r="BA113" s="212"/>
      <c r="BB113" s="212"/>
      <c r="BC113" s="212"/>
      <c r="BD113" s="212"/>
      <c r="BE113" s="212"/>
      <c r="BF113" s="212"/>
      <c r="BG113" s="212"/>
      <c r="BH113" s="212"/>
      <c r="BI113" s="231" t="str">
        <f>HYPERLINK("#노임!A11","L001010101000022 →")</f>
        <v>L001010101000022 →</v>
      </c>
    </row>
    <row r="114" spans="1:61" ht="24" customHeight="1">
      <c r="A114" s="218" t="s">
        <v>1948</v>
      </c>
      <c r="B114" s="218" t="s">
        <v>1949</v>
      </c>
      <c r="C114" s="228">
        <v>3</v>
      </c>
      <c r="D114" s="213" t="s">
        <v>1950</v>
      </c>
      <c r="E114" s="213"/>
      <c r="F114" s="217">
        <f>TRUNC((H113*0.03),0)</f>
        <v>0</v>
      </c>
      <c r="G114" s="213"/>
      <c r="H114" s="217">
        <v>0</v>
      </c>
      <c r="I114" s="213"/>
      <c r="J114" s="217">
        <v>0</v>
      </c>
      <c r="K114" s="217">
        <f>E114+G114+I114</f>
        <v>0</v>
      </c>
      <c r="L114" s="217">
        <f>F114+H114+J114</f>
        <v>0</v>
      </c>
      <c r="M114" s="215" t="s">
        <v>68</v>
      </c>
      <c r="N114" s="212" t="s">
        <v>68</v>
      </c>
      <c r="O114" s="212"/>
      <c r="P114" s="212" t="s">
        <v>1101</v>
      </c>
      <c r="Q114" s="212" t="s">
        <v>68</v>
      </c>
      <c r="R114" s="212" t="s">
        <v>1121</v>
      </c>
      <c r="S114" s="212"/>
      <c r="T114" s="212"/>
      <c r="U114" s="212"/>
      <c r="V114" s="212"/>
      <c r="W114" s="212"/>
      <c r="X114" s="212" t="s">
        <v>2021</v>
      </c>
      <c r="Y114" s="212"/>
      <c r="Z114" s="212"/>
      <c r="AA114" s="212"/>
      <c r="AB114" s="212"/>
      <c r="AC114" s="212"/>
      <c r="AD114" s="212"/>
      <c r="AE114" s="212"/>
      <c r="AF114" s="212"/>
      <c r="AG114" s="212"/>
      <c r="AH114" s="212"/>
      <c r="AI114" s="212"/>
      <c r="AJ114" s="212"/>
      <c r="AK114" s="212"/>
      <c r="AL114" s="212"/>
      <c r="AM114" s="212"/>
      <c r="AN114" s="212"/>
      <c r="AO114" s="212"/>
      <c r="AP114" s="212"/>
      <c r="AQ114" s="212"/>
      <c r="AR114" s="212"/>
      <c r="AS114" s="212"/>
      <c r="AT114" s="212"/>
      <c r="AU114" s="212"/>
      <c r="AV114" s="212"/>
      <c r="AW114" s="212"/>
      <c r="AX114" s="212"/>
      <c r="AY114" s="212"/>
      <c r="AZ114" s="212"/>
      <c r="BA114" s="212"/>
      <c r="BB114" s="212"/>
      <c r="BC114" s="212"/>
      <c r="BD114" s="212"/>
      <c r="BE114" s="212"/>
      <c r="BF114" s="212"/>
      <c r="BG114" s="212"/>
      <c r="BH114" s="212"/>
      <c r="BI114" s="212"/>
    </row>
    <row r="115" spans="1:61" ht="24" customHeight="1">
      <c r="A115" s="215"/>
      <c r="B115" s="215"/>
      <c r="C115" s="229"/>
      <c r="D115" s="213"/>
      <c r="E115" s="213"/>
      <c r="F115" s="213"/>
      <c r="G115" s="213"/>
      <c r="H115" s="213"/>
      <c r="I115" s="213"/>
      <c r="J115" s="213"/>
      <c r="K115" s="213"/>
      <c r="L115" s="213"/>
      <c r="M115" s="215"/>
      <c r="N115" s="212"/>
      <c r="O115" s="212"/>
      <c r="P115" s="212"/>
      <c r="Q115" s="212"/>
      <c r="R115" s="212"/>
      <c r="S115" s="212"/>
      <c r="T115" s="212"/>
      <c r="U115" s="212"/>
      <c r="V115" s="212"/>
      <c r="W115" s="212"/>
      <c r="X115" s="212"/>
      <c r="Y115" s="212"/>
      <c r="Z115" s="212"/>
      <c r="AA115" s="212"/>
      <c r="AB115" s="212"/>
      <c r="AC115" s="212"/>
      <c r="AD115" s="212"/>
      <c r="AE115" s="212"/>
      <c r="AF115" s="212"/>
      <c r="AG115" s="212"/>
      <c r="AH115" s="212"/>
      <c r="AI115" s="212"/>
      <c r="AJ115" s="212"/>
      <c r="AK115" s="212"/>
      <c r="AL115" s="212"/>
      <c r="AM115" s="212"/>
      <c r="AN115" s="212"/>
      <c r="AO115" s="212"/>
      <c r="AP115" s="212"/>
      <c r="AQ115" s="212"/>
      <c r="AR115" s="212"/>
      <c r="AS115" s="212"/>
      <c r="AT115" s="212"/>
      <c r="AU115" s="212"/>
      <c r="AV115" s="212"/>
      <c r="AW115" s="212"/>
      <c r="AX115" s="212"/>
      <c r="AY115" s="212"/>
      <c r="AZ115" s="212"/>
      <c r="BA115" s="212"/>
      <c r="BB115" s="212"/>
      <c r="BC115" s="212"/>
      <c r="BD115" s="212"/>
      <c r="BE115" s="212"/>
      <c r="BF115" s="212"/>
      <c r="BG115" s="212"/>
      <c r="BH115" s="212"/>
      <c r="BI115" s="212"/>
    </row>
    <row r="116" spans="1:61" ht="24" customHeight="1">
      <c r="A116" s="218" t="s">
        <v>2022</v>
      </c>
      <c r="B116" s="218" t="s">
        <v>1180</v>
      </c>
      <c r="C116" s="228">
        <v>1</v>
      </c>
      <c r="D116" s="213" t="s">
        <v>378</v>
      </c>
      <c r="E116" s="212"/>
      <c r="F116" s="217">
        <f>TRUNC(F117+F118+F119+F120,0)</f>
        <v>0</v>
      </c>
      <c r="G116" s="212"/>
      <c r="H116" s="217">
        <f>TRUNC(H117+H118+H119+H120,0)</f>
        <v>0</v>
      </c>
      <c r="I116" s="212"/>
      <c r="J116" s="217">
        <f>TRUNC(J117+J118+J119+J120,0)</f>
        <v>0</v>
      </c>
      <c r="K116" s="212"/>
      <c r="L116" s="217">
        <f>F116+H116+J116</f>
        <v>0</v>
      </c>
      <c r="M116" s="215" t="s">
        <v>1682</v>
      </c>
      <c r="N116" s="212" t="s">
        <v>68</v>
      </c>
      <c r="O116" s="212" t="s">
        <v>1181</v>
      </c>
      <c r="P116" s="212"/>
      <c r="Q116" s="212"/>
      <c r="R116" s="212"/>
      <c r="S116" s="212"/>
      <c r="T116" s="212"/>
      <c r="U116" s="212"/>
      <c r="V116" s="212"/>
      <c r="W116" s="212"/>
      <c r="X116" s="212"/>
      <c r="Y116" s="212"/>
      <c r="Z116" s="212"/>
      <c r="AA116" s="212"/>
      <c r="AB116" s="212"/>
      <c r="AC116" s="212"/>
      <c r="AD116" s="212"/>
      <c r="AE116" s="212"/>
      <c r="AF116" s="212"/>
      <c r="AG116" s="212"/>
      <c r="AH116" s="212"/>
      <c r="AI116" s="212"/>
      <c r="AJ116" s="212"/>
      <c r="AK116" s="212"/>
      <c r="AL116" s="212"/>
      <c r="AM116" s="212"/>
      <c r="AN116" s="212"/>
      <c r="AO116" s="212"/>
      <c r="AP116" s="212"/>
      <c r="AQ116" s="212"/>
      <c r="AR116" s="212"/>
      <c r="AS116" s="212"/>
      <c r="AT116" s="212"/>
      <c r="AU116" s="212"/>
      <c r="AV116" s="212"/>
      <c r="AW116" s="212"/>
      <c r="AX116" s="212"/>
      <c r="AY116" s="212"/>
      <c r="AZ116" s="212"/>
      <c r="BA116" s="212"/>
      <c r="BB116" s="212"/>
      <c r="BC116" s="212"/>
      <c r="BD116" s="212"/>
      <c r="BE116" s="212"/>
      <c r="BF116" s="212"/>
      <c r="BG116" s="212"/>
      <c r="BH116" s="212"/>
      <c r="BI116" s="212"/>
    </row>
    <row r="117" spans="1:61" ht="24" customHeight="1">
      <c r="A117" s="218" t="s">
        <v>2023</v>
      </c>
      <c r="B117" s="218" t="s">
        <v>2024</v>
      </c>
      <c r="C117" s="228">
        <v>1</v>
      </c>
      <c r="D117" s="213" t="s">
        <v>1471</v>
      </c>
      <c r="E117" s="217">
        <f>자재조서!E61</f>
        <v>0</v>
      </c>
      <c r="F117" s="217">
        <f>TRUNC(E117*C117,0)</f>
        <v>0</v>
      </c>
      <c r="G117" s="217">
        <v>0</v>
      </c>
      <c r="H117" s="217"/>
      <c r="I117" s="217">
        <v>0</v>
      </c>
      <c r="J117" s="217"/>
      <c r="K117" s="217">
        <f>E117+G117+I117</f>
        <v>0</v>
      </c>
      <c r="L117" s="217">
        <f>F117+H117+J117</f>
        <v>0</v>
      </c>
      <c r="M117" s="215" t="s">
        <v>68</v>
      </c>
      <c r="N117" s="212" t="s">
        <v>68</v>
      </c>
      <c r="O117" s="212"/>
      <c r="P117" s="212" t="s">
        <v>1095</v>
      </c>
      <c r="Q117" s="212" t="s">
        <v>68</v>
      </c>
      <c r="R117" s="212" t="s">
        <v>2025</v>
      </c>
      <c r="S117" s="212"/>
      <c r="T117" s="212"/>
      <c r="U117" s="212"/>
      <c r="V117" s="212"/>
      <c r="W117" s="212"/>
      <c r="X117" s="212"/>
      <c r="Y117" s="212"/>
      <c r="Z117" s="212"/>
      <c r="AA117" s="212"/>
      <c r="AB117" s="212"/>
      <c r="AC117" s="212"/>
      <c r="AD117" s="212"/>
      <c r="AE117" s="212"/>
      <c r="AF117" s="212"/>
      <c r="AG117" s="212"/>
      <c r="AH117" s="212"/>
      <c r="AI117" s="212"/>
      <c r="AJ117" s="212"/>
      <c r="AK117" s="212"/>
      <c r="AL117" s="212"/>
      <c r="AM117" s="212"/>
      <c r="AN117" s="212"/>
      <c r="AO117" s="212"/>
      <c r="AP117" s="212"/>
      <c r="AQ117" s="212"/>
      <c r="AR117" s="212"/>
      <c r="AS117" s="212"/>
      <c r="AT117" s="212"/>
      <c r="AU117" s="212"/>
      <c r="AV117" s="212"/>
      <c r="AW117" s="212"/>
      <c r="AX117" s="212"/>
      <c r="AY117" s="212"/>
      <c r="AZ117" s="212"/>
      <c r="BA117" s="212"/>
      <c r="BB117" s="212"/>
      <c r="BC117" s="212"/>
      <c r="BD117" s="212"/>
      <c r="BE117" s="212"/>
      <c r="BF117" s="212"/>
      <c r="BG117" s="212"/>
      <c r="BH117" s="212"/>
      <c r="BI117" s="231" t="str">
        <f>HYPERLINK("#자재조서!A61","MZZ2000001 →")</f>
        <v>MZZ2000001 →</v>
      </c>
    </row>
    <row r="118" spans="1:61" ht="24" customHeight="1">
      <c r="A118" s="218" t="s">
        <v>2026</v>
      </c>
      <c r="B118" s="218" t="s">
        <v>1946</v>
      </c>
      <c r="C118" s="229">
        <v>0.313</v>
      </c>
      <c r="D118" s="213" t="s">
        <v>1286</v>
      </c>
      <c r="E118" s="217">
        <v>0</v>
      </c>
      <c r="F118" s="217"/>
      <c r="G118" s="217">
        <f>노임!D13</f>
        <v>0</v>
      </c>
      <c r="H118" s="217">
        <f>TRUNC(G118*C118,0)</f>
        <v>0</v>
      </c>
      <c r="I118" s="217">
        <v>0</v>
      </c>
      <c r="J118" s="217"/>
      <c r="K118" s="217">
        <f>E118+G118+I118</f>
        <v>0</v>
      </c>
      <c r="L118" s="217">
        <f>F118+H118+J118</f>
        <v>0</v>
      </c>
      <c r="M118" s="215" t="s">
        <v>68</v>
      </c>
      <c r="N118" s="212" t="s">
        <v>68</v>
      </c>
      <c r="O118" s="212"/>
      <c r="P118" s="212" t="s">
        <v>1109</v>
      </c>
      <c r="Q118" s="212" t="s">
        <v>68</v>
      </c>
      <c r="R118" s="212" t="s">
        <v>2027</v>
      </c>
      <c r="S118" s="212"/>
      <c r="T118" s="212"/>
      <c r="U118" s="212"/>
      <c r="V118" s="212"/>
      <c r="W118" s="212"/>
      <c r="X118" s="212"/>
      <c r="Y118" s="212"/>
      <c r="Z118" s="212"/>
      <c r="AA118" s="212"/>
      <c r="AB118" s="212"/>
      <c r="AC118" s="212"/>
      <c r="AD118" s="212"/>
      <c r="AE118" s="212"/>
      <c r="AF118" s="212"/>
      <c r="AG118" s="212"/>
      <c r="AH118" s="212"/>
      <c r="AI118" s="212"/>
      <c r="AJ118" s="212"/>
      <c r="AK118" s="212"/>
      <c r="AL118" s="212"/>
      <c r="AM118" s="212"/>
      <c r="AN118" s="212"/>
      <c r="AO118" s="212"/>
      <c r="AP118" s="212"/>
      <c r="AQ118" s="212"/>
      <c r="AR118" s="212"/>
      <c r="AS118" s="212"/>
      <c r="AT118" s="212"/>
      <c r="AU118" s="212"/>
      <c r="AV118" s="212"/>
      <c r="AW118" s="212"/>
      <c r="AX118" s="212"/>
      <c r="AY118" s="212"/>
      <c r="AZ118" s="212"/>
      <c r="BA118" s="212"/>
      <c r="BB118" s="212"/>
      <c r="BC118" s="212"/>
      <c r="BD118" s="212"/>
      <c r="BE118" s="212"/>
      <c r="BF118" s="212"/>
      <c r="BG118" s="212"/>
      <c r="BH118" s="212"/>
      <c r="BI118" s="231" t="str">
        <f>HYPERLINK("#노임!A13","L001010101000024 →")</f>
        <v>L001010101000024 →</v>
      </c>
    </row>
    <row r="119" spans="1:61" ht="24" customHeight="1">
      <c r="A119" s="218" t="s">
        <v>1967</v>
      </c>
      <c r="B119" s="218" t="s">
        <v>1946</v>
      </c>
      <c r="C119" s="229">
        <v>6.4000000000000001E-2</v>
      </c>
      <c r="D119" s="213" t="s">
        <v>1286</v>
      </c>
      <c r="E119" s="217">
        <v>0</v>
      </c>
      <c r="F119" s="217"/>
      <c r="G119" s="217">
        <f>노임!D3</f>
        <v>0</v>
      </c>
      <c r="H119" s="217">
        <f>TRUNC(G119*C119,0)</f>
        <v>0</v>
      </c>
      <c r="I119" s="217">
        <v>0</v>
      </c>
      <c r="J119" s="217"/>
      <c r="K119" s="217">
        <f>E119+G119+I119</f>
        <v>0</v>
      </c>
      <c r="L119" s="217">
        <f>F119+H119+J119</f>
        <v>0</v>
      </c>
      <c r="M119" s="215" t="s">
        <v>68</v>
      </c>
      <c r="N119" s="212" t="s">
        <v>68</v>
      </c>
      <c r="O119" s="212"/>
      <c r="P119" s="212" t="s">
        <v>1110</v>
      </c>
      <c r="Q119" s="212" t="s">
        <v>68</v>
      </c>
      <c r="R119" s="212" t="s">
        <v>1968</v>
      </c>
      <c r="S119" s="212"/>
      <c r="T119" s="212"/>
      <c r="U119" s="212"/>
      <c r="V119" s="212"/>
      <c r="W119" s="212"/>
      <c r="X119" s="212"/>
      <c r="Y119" s="212"/>
      <c r="Z119" s="212"/>
      <c r="AA119" s="220" t="s">
        <v>1117</v>
      </c>
      <c r="AB119" s="212">
        <f>(호표!H118+호표!H119)*0.03</f>
        <v>0</v>
      </c>
      <c r="AC119" s="220" t="s">
        <v>1118</v>
      </c>
      <c r="AD119" s="212">
        <f>$AB119</f>
        <v>0</v>
      </c>
      <c r="AE119" s="212"/>
      <c r="AF119" s="212"/>
      <c r="AG119" s="212"/>
      <c r="AH119" s="212"/>
      <c r="AI119" s="212"/>
      <c r="AJ119" s="212"/>
      <c r="AK119" s="212"/>
      <c r="AL119" s="212"/>
      <c r="AM119" s="212"/>
      <c r="AN119" s="212"/>
      <c r="AO119" s="212"/>
      <c r="AP119" s="212"/>
      <c r="AQ119" s="212"/>
      <c r="AR119" s="212"/>
      <c r="AS119" s="212"/>
      <c r="AT119" s="212"/>
      <c r="AU119" s="212"/>
      <c r="AV119" s="212"/>
      <c r="AW119" s="212"/>
      <c r="AX119" s="212"/>
      <c r="AY119" s="212"/>
      <c r="AZ119" s="212"/>
      <c r="BA119" s="212"/>
      <c r="BB119" s="212"/>
      <c r="BC119" s="212"/>
      <c r="BD119" s="212"/>
      <c r="BE119" s="212"/>
      <c r="BF119" s="212"/>
      <c r="BG119" s="212"/>
      <c r="BH119" s="212"/>
      <c r="BI119" s="231" t="str">
        <f>HYPERLINK("#노임!A3","L001010101000002 →")</f>
        <v>L001010101000002 →</v>
      </c>
    </row>
    <row r="120" spans="1:61" ht="24" customHeight="1">
      <c r="A120" s="218" t="s">
        <v>1948</v>
      </c>
      <c r="B120" s="218" t="s">
        <v>1949</v>
      </c>
      <c r="C120" s="228">
        <v>3</v>
      </c>
      <c r="D120" s="213" t="s">
        <v>1950</v>
      </c>
      <c r="E120" s="213"/>
      <c r="F120" s="217">
        <f>TRUNC(((H118+H119)*0.03),0)</f>
        <v>0</v>
      </c>
      <c r="G120" s="213"/>
      <c r="H120" s="217">
        <v>0</v>
      </c>
      <c r="I120" s="213"/>
      <c r="J120" s="217">
        <v>0</v>
      </c>
      <c r="K120" s="217">
        <f>E120+G120+I120</f>
        <v>0</v>
      </c>
      <c r="L120" s="217">
        <f>F120+H120+J120</f>
        <v>0</v>
      </c>
      <c r="M120" s="215" t="s">
        <v>68</v>
      </c>
      <c r="N120" s="212" t="s">
        <v>68</v>
      </c>
      <c r="O120" s="212"/>
      <c r="P120" s="212" t="s">
        <v>1111</v>
      </c>
      <c r="Q120" s="212" t="s">
        <v>68</v>
      </c>
      <c r="R120" s="212" t="s">
        <v>1121</v>
      </c>
      <c r="S120" s="212"/>
      <c r="T120" s="212"/>
      <c r="U120" s="212"/>
      <c r="V120" s="212"/>
      <c r="W120" s="212"/>
      <c r="X120" s="212" t="s">
        <v>2028</v>
      </c>
      <c r="Y120" s="212"/>
      <c r="Z120" s="212"/>
      <c r="AA120" s="212"/>
      <c r="AB120" s="212"/>
      <c r="AC120" s="212"/>
      <c r="AD120" s="212"/>
      <c r="AE120" s="212"/>
      <c r="AF120" s="212"/>
      <c r="AG120" s="212"/>
      <c r="AH120" s="212"/>
      <c r="AI120" s="212"/>
      <c r="AJ120" s="212"/>
      <c r="AK120" s="212"/>
      <c r="AL120" s="212"/>
      <c r="AM120" s="212"/>
      <c r="AN120" s="212"/>
      <c r="AO120" s="212"/>
      <c r="AP120" s="212"/>
      <c r="AQ120" s="212"/>
      <c r="AR120" s="212"/>
      <c r="AS120" s="212"/>
      <c r="AT120" s="212"/>
      <c r="AU120" s="212"/>
      <c r="AV120" s="212"/>
      <c r="AW120" s="212"/>
      <c r="AX120" s="212"/>
      <c r="AY120" s="212"/>
      <c r="AZ120" s="212"/>
      <c r="BA120" s="212"/>
      <c r="BB120" s="212"/>
      <c r="BC120" s="212"/>
      <c r="BD120" s="212"/>
      <c r="BE120" s="212"/>
      <c r="BF120" s="212"/>
      <c r="BG120" s="212"/>
      <c r="BH120" s="212"/>
      <c r="BI120" s="212"/>
    </row>
    <row r="121" spans="1:61" ht="24" customHeight="1">
      <c r="A121" s="215"/>
      <c r="B121" s="215"/>
      <c r="C121" s="229"/>
      <c r="D121" s="213"/>
      <c r="E121" s="213"/>
      <c r="F121" s="213"/>
      <c r="G121" s="213"/>
      <c r="H121" s="213"/>
      <c r="I121" s="213"/>
      <c r="J121" s="213"/>
      <c r="K121" s="213"/>
      <c r="L121" s="213"/>
      <c r="M121" s="215"/>
      <c r="N121" s="212"/>
      <c r="O121" s="212"/>
      <c r="P121" s="212"/>
      <c r="Q121" s="212"/>
      <c r="R121" s="212"/>
      <c r="S121" s="212"/>
      <c r="T121" s="212"/>
      <c r="U121" s="212"/>
      <c r="V121" s="212"/>
      <c r="W121" s="212"/>
      <c r="X121" s="212"/>
      <c r="Y121" s="212"/>
      <c r="Z121" s="212"/>
      <c r="AA121" s="212"/>
      <c r="AB121" s="212"/>
      <c r="AC121" s="212"/>
      <c r="AD121" s="212"/>
      <c r="AE121" s="212"/>
      <c r="AF121" s="212"/>
      <c r="AG121" s="212"/>
      <c r="AH121" s="212"/>
      <c r="AI121" s="212"/>
      <c r="AJ121" s="212"/>
      <c r="AK121" s="212"/>
      <c r="AL121" s="212"/>
      <c r="AM121" s="212"/>
      <c r="AN121" s="212"/>
      <c r="AO121" s="212"/>
      <c r="AP121" s="212"/>
      <c r="AQ121" s="212"/>
      <c r="AR121" s="212"/>
      <c r="AS121" s="212"/>
      <c r="AT121" s="212"/>
      <c r="AU121" s="212"/>
      <c r="AV121" s="212"/>
      <c r="AW121" s="212"/>
      <c r="AX121" s="212"/>
      <c r="AY121" s="212"/>
      <c r="AZ121" s="212"/>
      <c r="BA121" s="212"/>
      <c r="BB121" s="212"/>
      <c r="BC121" s="212"/>
      <c r="BD121" s="212"/>
      <c r="BE121" s="212"/>
      <c r="BF121" s="212"/>
      <c r="BG121" s="212"/>
      <c r="BH121" s="212"/>
      <c r="BI121" s="212"/>
    </row>
    <row r="122" spans="1:61" ht="24" customHeight="1">
      <c r="A122" s="218" t="s">
        <v>2029</v>
      </c>
      <c r="B122" s="218" t="s">
        <v>1183</v>
      </c>
      <c r="C122" s="228">
        <v>1</v>
      </c>
      <c r="D122" s="213" t="s">
        <v>437</v>
      </c>
      <c r="E122" s="212"/>
      <c r="F122" s="217">
        <f>TRUNC(F123,0)</f>
        <v>0</v>
      </c>
      <c r="G122" s="212"/>
      <c r="H122" s="217">
        <f>TRUNC(H123,0)</f>
        <v>0</v>
      </c>
      <c r="I122" s="212"/>
      <c r="J122" s="217">
        <f>TRUNC(J123,0)</f>
        <v>0</v>
      </c>
      <c r="K122" s="212"/>
      <c r="L122" s="217">
        <f>F122+H122+J122</f>
        <v>0</v>
      </c>
      <c r="M122" s="215" t="s">
        <v>68</v>
      </c>
      <c r="N122" s="212" t="s">
        <v>68</v>
      </c>
      <c r="O122" s="212" t="s">
        <v>1184</v>
      </c>
      <c r="P122" s="212"/>
      <c r="Q122" s="212"/>
      <c r="R122" s="212"/>
      <c r="S122" s="212"/>
      <c r="T122" s="212"/>
      <c r="U122" s="212"/>
      <c r="V122" s="212"/>
      <c r="W122" s="212"/>
      <c r="X122" s="212"/>
      <c r="Y122" s="212"/>
      <c r="Z122" s="212"/>
      <c r="AA122" s="212"/>
      <c r="AB122" s="212"/>
      <c r="AC122" s="212"/>
      <c r="AD122" s="212"/>
      <c r="AE122" s="212"/>
      <c r="AF122" s="212"/>
      <c r="AG122" s="212"/>
      <c r="AH122" s="212"/>
      <c r="AI122" s="212"/>
      <c r="AJ122" s="212"/>
      <c r="AK122" s="212"/>
      <c r="AL122" s="212"/>
      <c r="AM122" s="212"/>
      <c r="AN122" s="212"/>
      <c r="AO122" s="212"/>
      <c r="AP122" s="212"/>
      <c r="AQ122" s="212"/>
      <c r="AR122" s="212"/>
      <c r="AS122" s="212"/>
      <c r="AT122" s="212"/>
      <c r="AU122" s="212"/>
      <c r="AV122" s="212"/>
      <c r="AW122" s="212"/>
      <c r="AX122" s="212"/>
      <c r="AY122" s="212"/>
      <c r="AZ122" s="212"/>
      <c r="BA122" s="212"/>
      <c r="BB122" s="212"/>
      <c r="BC122" s="212"/>
      <c r="BD122" s="212"/>
      <c r="BE122" s="212"/>
      <c r="BF122" s="212"/>
      <c r="BG122" s="212"/>
      <c r="BH122" s="212"/>
      <c r="BI122" s="212"/>
    </row>
    <row r="123" spans="1:61" ht="24" customHeight="1">
      <c r="A123" s="218" t="s">
        <v>2030</v>
      </c>
      <c r="B123" s="218" t="s">
        <v>1183</v>
      </c>
      <c r="C123" s="228">
        <v>1</v>
      </c>
      <c r="D123" s="213" t="s">
        <v>437</v>
      </c>
      <c r="E123" s="217">
        <f>자재!D62</f>
        <v>0</v>
      </c>
      <c r="F123" s="217">
        <f>TRUNC(E123*C123,0)</f>
        <v>0</v>
      </c>
      <c r="G123" s="217">
        <v>0</v>
      </c>
      <c r="H123" s="217"/>
      <c r="I123" s="217">
        <v>0</v>
      </c>
      <c r="J123" s="217"/>
      <c r="K123" s="217">
        <f>E123+G123+I123</f>
        <v>0</v>
      </c>
      <c r="L123" s="217">
        <f>F123+H123+J123</f>
        <v>0</v>
      </c>
      <c r="M123" s="215" t="s">
        <v>68</v>
      </c>
      <c r="N123" s="212" t="s">
        <v>68</v>
      </c>
      <c r="O123" s="212"/>
      <c r="P123" s="212" t="s">
        <v>1095</v>
      </c>
      <c r="Q123" s="212" t="s">
        <v>68</v>
      </c>
      <c r="R123" s="212" t="s">
        <v>2031</v>
      </c>
      <c r="S123" s="212"/>
      <c r="T123" s="212"/>
      <c r="U123" s="212"/>
      <c r="V123" s="212"/>
      <c r="W123" s="212"/>
      <c r="X123" s="212"/>
      <c r="Y123" s="212"/>
      <c r="Z123" s="212"/>
      <c r="AA123" s="212"/>
      <c r="AB123" s="212"/>
      <c r="AC123" s="212"/>
      <c r="AD123" s="212"/>
      <c r="AE123" s="212"/>
      <c r="AF123" s="212"/>
      <c r="AG123" s="212"/>
      <c r="AH123" s="212"/>
      <c r="AI123" s="212"/>
      <c r="AJ123" s="212"/>
      <c r="AK123" s="212"/>
      <c r="AL123" s="212"/>
      <c r="AM123" s="212"/>
      <c r="AN123" s="212"/>
      <c r="AO123" s="212"/>
      <c r="AP123" s="212"/>
      <c r="AQ123" s="212"/>
      <c r="AR123" s="212"/>
      <c r="AS123" s="212"/>
      <c r="AT123" s="212"/>
      <c r="AU123" s="212"/>
      <c r="AV123" s="212"/>
      <c r="AW123" s="212"/>
      <c r="AX123" s="212"/>
      <c r="AY123" s="212"/>
      <c r="AZ123" s="212"/>
      <c r="BA123" s="212"/>
      <c r="BB123" s="212"/>
      <c r="BC123" s="212"/>
      <c r="BD123" s="212"/>
      <c r="BE123" s="212"/>
      <c r="BF123" s="212"/>
      <c r="BG123" s="212"/>
      <c r="BH123" s="212"/>
      <c r="BI123" s="231" t="str">
        <f>HYPERLINK("#자재!A62","MZZ2000005 →")</f>
        <v>MZZ2000005 →</v>
      </c>
    </row>
    <row r="124" spans="1:61" ht="24" customHeight="1">
      <c r="A124" s="215"/>
      <c r="B124" s="215"/>
      <c r="C124" s="229"/>
      <c r="D124" s="213"/>
      <c r="E124" s="213"/>
      <c r="F124" s="213"/>
      <c r="G124" s="213"/>
      <c r="H124" s="213"/>
      <c r="I124" s="213"/>
      <c r="J124" s="213"/>
      <c r="K124" s="213"/>
      <c r="L124" s="213"/>
      <c r="M124" s="215"/>
      <c r="N124" s="212"/>
      <c r="O124" s="212"/>
      <c r="P124" s="212"/>
      <c r="Q124" s="212"/>
      <c r="R124" s="212"/>
      <c r="S124" s="212"/>
      <c r="T124" s="212"/>
      <c r="U124" s="212"/>
      <c r="V124" s="212"/>
      <c r="W124" s="212"/>
      <c r="X124" s="212"/>
      <c r="Y124" s="212"/>
      <c r="Z124" s="212"/>
      <c r="AA124" s="212"/>
      <c r="AB124" s="212"/>
      <c r="AC124" s="212"/>
      <c r="AD124" s="212"/>
      <c r="AE124" s="212"/>
      <c r="AF124" s="212"/>
      <c r="AG124" s="212"/>
      <c r="AH124" s="212"/>
      <c r="AI124" s="212"/>
      <c r="AJ124" s="212"/>
      <c r="AK124" s="212"/>
      <c r="AL124" s="212"/>
      <c r="AM124" s="212"/>
      <c r="AN124" s="212"/>
      <c r="AO124" s="212"/>
      <c r="AP124" s="212"/>
      <c r="AQ124" s="212"/>
      <c r="AR124" s="212"/>
      <c r="AS124" s="212"/>
      <c r="AT124" s="212"/>
      <c r="AU124" s="212"/>
      <c r="AV124" s="212"/>
      <c r="AW124" s="212"/>
      <c r="AX124" s="212"/>
      <c r="AY124" s="212"/>
      <c r="AZ124" s="212"/>
      <c r="BA124" s="212"/>
      <c r="BB124" s="212"/>
      <c r="BC124" s="212"/>
      <c r="BD124" s="212"/>
      <c r="BE124" s="212"/>
      <c r="BF124" s="212"/>
      <c r="BG124" s="212"/>
      <c r="BH124" s="212"/>
      <c r="BI124" s="212"/>
    </row>
    <row r="125" spans="1:61" ht="24" customHeight="1">
      <c r="A125" s="218" t="s">
        <v>2032</v>
      </c>
      <c r="B125" s="218" t="s">
        <v>1186</v>
      </c>
      <c r="C125" s="228">
        <v>1</v>
      </c>
      <c r="D125" s="213" t="s">
        <v>437</v>
      </c>
      <c r="E125" s="212"/>
      <c r="F125" s="217">
        <f>TRUNC(F126+F127+F128+F129+F130+F131,0)</f>
        <v>0</v>
      </c>
      <c r="G125" s="212"/>
      <c r="H125" s="217">
        <f>TRUNC(H126+H127+H128+H129+H130+H131,0)</f>
        <v>0</v>
      </c>
      <c r="I125" s="212"/>
      <c r="J125" s="217">
        <f>TRUNC(J126+J127+J128+J129+J130+J131,0)</f>
        <v>0</v>
      </c>
      <c r="K125" s="212"/>
      <c r="L125" s="217">
        <f t="shared" ref="L125:L131" si="5">F125+H125+J125</f>
        <v>0</v>
      </c>
      <c r="M125" s="215" t="s">
        <v>1685</v>
      </c>
      <c r="N125" s="212" t="s">
        <v>68</v>
      </c>
      <c r="O125" s="212" t="s">
        <v>1187</v>
      </c>
      <c r="P125" s="212"/>
      <c r="Q125" s="212"/>
      <c r="R125" s="212"/>
      <c r="S125" s="212"/>
      <c r="T125" s="212"/>
      <c r="U125" s="212"/>
      <c r="V125" s="212"/>
      <c r="W125" s="212"/>
      <c r="X125" s="212"/>
      <c r="Y125" s="212"/>
      <c r="Z125" s="212"/>
      <c r="AA125" s="212"/>
      <c r="AB125" s="212"/>
      <c r="AC125" s="212"/>
      <c r="AD125" s="212"/>
      <c r="AE125" s="212"/>
      <c r="AF125" s="212"/>
      <c r="AG125" s="212"/>
      <c r="AH125" s="212"/>
      <c r="AI125" s="212"/>
      <c r="AJ125" s="212"/>
      <c r="AK125" s="212"/>
      <c r="AL125" s="212"/>
      <c r="AM125" s="212"/>
      <c r="AN125" s="212"/>
      <c r="AO125" s="212"/>
      <c r="AP125" s="212"/>
      <c r="AQ125" s="212"/>
      <c r="AR125" s="212"/>
      <c r="AS125" s="212"/>
      <c r="AT125" s="212"/>
      <c r="AU125" s="212"/>
      <c r="AV125" s="212"/>
      <c r="AW125" s="212"/>
      <c r="AX125" s="212"/>
      <c r="AY125" s="212"/>
      <c r="AZ125" s="212"/>
      <c r="BA125" s="212"/>
      <c r="BB125" s="212"/>
      <c r="BC125" s="212"/>
      <c r="BD125" s="212"/>
      <c r="BE125" s="212"/>
      <c r="BF125" s="212"/>
      <c r="BG125" s="212"/>
      <c r="BH125" s="212"/>
      <c r="BI125" s="212"/>
    </row>
    <row r="126" spans="1:61" ht="24" customHeight="1">
      <c r="A126" s="218" t="s">
        <v>1185</v>
      </c>
      <c r="B126" s="218" t="s">
        <v>1186</v>
      </c>
      <c r="C126" s="228">
        <v>1</v>
      </c>
      <c r="D126" s="213" t="s">
        <v>437</v>
      </c>
      <c r="E126" s="217">
        <f>자재조서!E64</f>
        <v>0</v>
      </c>
      <c r="F126" s="217">
        <f t="shared" ref="F126:F131" si="6">TRUNC(E126*C126,0)</f>
        <v>0</v>
      </c>
      <c r="G126" s="217">
        <v>0</v>
      </c>
      <c r="H126" s="217"/>
      <c r="I126" s="217">
        <v>0</v>
      </c>
      <c r="J126" s="217"/>
      <c r="K126" s="217">
        <f t="shared" ref="K126:K131" si="7">E126+G126+I126</f>
        <v>0</v>
      </c>
      <c r="L126" s="217">
        <f t="shared" si="5"/>
        <v>0</v>
      </c>
      <c r="M126" s="215" t="s">
        <v>68</v>
      </c>
      <c r="N126" s="212" t="s">
        <v>68</v>
      </c>
      <c r="O126" s="212"/>
      <c r="P126" s="212" t="s">
        <v>1095</v>
      </c>
      <c r="Q126" s="212" t="s">
        <v>68</v>
      </c>
      <c r="R126" s="212" t="s">
        <v>2033</v>
      </c>
      <c r="S126" s="212"/>
      <c r="T126" s="212"/>
      <c r="U126" s="212"/>
      <c r="V126" s="212"/>
      <c r="W126" s="212"/>
      <c r="X126" s="212"/>
      <c r="Y126" s="212"/>
      <c r="Z126" s="212"/>
      <c r="AA126" s="212"/>
      <c r="AB126" s="212"/>
      <c r="AC126" s="212"/>
      <c r="AD126" s="212"/>
      <c r="AE126" s="212"/>
      <c r="AF126" s="212"/>
      <c r="AG126" s="212"/>
      <c r="AH126" s="212"/>
      <c r="AI126" s="212"/>
      <c r="AJ126" s="212"/>
      <c r="AK126" s="212"/>
      <c r="AL126" s="212"/>
      <c r="AM126" s="212"/>
      <c r="AN126" s="212"/>
      <c r="AO126" s="212"/>
      <c r="AP126" s="212"/>
      <c r="AQ126" s="212"/>
      <c r="AR126" s="212"/>
      <c r="AS126" s="212"/>
      <c r="AT126" s="212"/>
      <c r="AU126" s="212"/>
      <c r="AV126" s="212"/>
      <c r="AW126" s="212"/>
      <c r="AX126" s="212"/>
      <c r="AY126" s="212"/>
      <c r="AZ126" s="212"/>
      <c r="BA126" s="212"/>
      <c r="BB126" s="212"/>
      <c r="BC126" s="212"/>
      <c r="BD126" s="212"/>
      <c r="BE126" s="212"/>
      <c r="BF126" s="212"/>
      <c r="BG126" s="212"/>
      <c r="BH126" s="212"/>
      <c r="BI126" s="231" t="str">
        <f>HYPERLINK("#자재조서!A64","MZZ9000001 →")</f>
        <v>MZZ9000001 →</v>
      </c>
    </row>
    <row r="127" spans="1:61" ht="24" customHeight="1">
      <c r="A127" s="218" t="s">
        <v>2034</v>
      </c>
      <c r="B127" s="218" t="s">
        <v>2035</v>
      </c>
      <c r="C127" s="229">
        <v>1.95</v>
      </c>
      <c r="D127" s="213" t="s">
        <v>9</v>
      </c>
      <c r="E127" s="217">
        <f>자재조서!E76</f>
        <v>0</v>
      </c>
      <c r="F127" s="217">
        <f t="shared" si="6"/>
        <v>0</v>
      </c>
      <c r="G127" s="217">
        <v>0</v>
      </c>
      <c r="H127" s="217"/>
      <c r="I127" s="217">
        <v>0</v>
      </c>
      <c r="J127" s="217"/>
      <c r="K127" s="217">
        <f t="shared" si="7"/>
        <v>0</v>
      </c>
      <c r="L127" s="217">
        <f t="shared" si="5"/>
        <v>0</v>
      </c>
      <c r="M127" s="215" t="s">
        <v>68</v>
      </c>
      <c r="N127" s="212" t="s">
        <v>68</v>
      </c>
      <c r="O127" s="212"/>
      <c r="P127" s="212" t="s">
        <v>1098</v>
      </c>
      <c r="Q127" s="212" t="s">
        <v>68</v>
      </c>
      <c r="R127" s="212" t="s">
        <v>2036</v>
      </c>
      <c r="S127" s="212"/>
      <c r="T127" s="212"/>
      <c r="U127" s="212"/>
      <c r="V127" s="212"/>
      <c r="W127" s="212"/>
      <c r="X127" s="212"/>
      <c r="Y127" s="212"/>
      <c r="Z127" s="212"/>
      <c r="AA127" s="212"/>
      <c r="AB127" s="212"/>
      <c r="AC127" s="212"/>
      <c r="AD127" s="212"/>
      <c r="AE127" s="212"/>
      <c r="AF127" s="212"/>
      <c r="AG127" s="212"/>
      <c r="AH127" s="212"/>
      <c r="AI127" s="212"/>
      <c r="AJ127" s="212"/>
      <c r="AK127" s="212"/>
      <c r="AL127" s="212"/>
      <c r="AM127" s="212"/>
      <c r="AN127" s="212"/>
      <c r="AO127" s="212"/>
      <c r="AP127" s="212"/>
      <c r="AQ127" s="212"/>
      <c r="AR127" s="212"/>
      <c r="AS127" s="212"/>
      <c r="AT127" s="212"/>
      <c r="AU127" s="212"/>
      <c r="AV127" s="212"/>
      <c r="AW127" s="212"/>
      <c r="AX127" s="212"/>
      <c r="AY127" s="212"/>
      <c r="AZ127" s="212"/>
      <c r="BA127" s="212"/>
      <c r="BB127" s="212"/>
      <c r="BC127" s="212"/>
      <c r="BD127" s="212"/>
      <c r="BE127" s="212"/>
      <c r="BF127" s="212"/>
      <c r="BG127" s="212"/>
      <c r="BH127" s="212"/>
      <c r="BI127" s="231" t="str">
        <f>HYPERLINK("#자재조서!A76","MZZ9000013 →")</f>
        <v>MZZ9000013 →</v>
      </c>
    </row>
    <row r="128" spans="1:61" ht="24" customHeight="1">
      <c r="A128" s="218" t="s">
        <v>2037</v>
      </c>
      <c r="B128" s="218" t="s">
        <v>1738</v>
      </c>
      <c r="C128" s="229">
        <v>1.95</v>
      </c>
      <c r="D128" s="213" t="s">
        <v>9</v>
      </c>
      <c r="E128" s="217">
        <f>일위목록!E62</f>
        <v>0</v>
      </c>
      <c r="F128" s="217">
        <f t="shared" si="6"/>
        <v>0</v>
      </c>
      <c r="G128" s="217">
        <f>일위목록!F62</f>
        <v>0</v>
      </c>
      <c r="H128" s="217">
        <f>TRUNC(G128*C128,0)</f>
        <v>0</v>
      </c>
      <c r="I128" s="217">
        <f>일위목록!G62</f>
        <v>0</v>
      </c>
      <c r="J128" s="217">
        <f>TRUNC(I128*C128,0)</f>
        <v>0</v>
      </c>
      <c r="K128" s="217">
        <f t="shared" si="7"/>
        <v>0</v>
      </c>
      <c r="L128" s="217">
        <f t="shared" si="5"/>
        <v>0</v>
      </c>
      <c r="M128" s="215" t="s">
        <v>68</v>
      </c>
      <c r="N128" s="212" t="s">
        <v>68</v>
      </c>
      <c r="O128" s="212"/>
      <c r="P128" s="212" t="s">
        <v>1101</v>
      </c>
      <c r="Q128" s="212" t="s">
        <v>68</v>
      </c>
      <c r="R128" s="212" t="s">
        <v>1740</v>
      </c>
      <c r="S128" s="212"/>
      <c r="T128" s="212" t="s">
        <v>1129</v>
      </c>
      <c r="U128" s="212"/>
      <c r="V128" s="212"/>
      <c r="W128" s="212"/>
      <c r="X128" s="212"/>
      <c r="Y128" s="212"/>
      <c r="Z128" s="212"/>
      <c r="AA128" s="212"/>
      <c r="AB128" s="212"/>
      <c r="AC128" s="212"/>
      <c r="AD128" s="212"/>
      <c r="AE128" s="212"/>
      <c r="AF128" s="212"/>
      <c r="AG128" s="212"/>
      <c r="AH128" s="212"/>
      <c r="AI128" s="212"/>
      <c r="AJ128" s="212"/>
      <c r="AK128" s="212"/>
      <c r="AL128" s="212"/>
      <c r="AM128" s="212"/>
      <c r="AN128" s="212"/>
      <c r="AO128" s="212"/>
      <c r="AP128" s="212"/>
      <c r="AQ128" s="212"/>
      <c r="AR128" s="212"/>
      <c r="AS128" s="212"/>
      <c r="AT128" s="212"/>
      <c r="AU128" s="212"/>
      <c r="AV128" s="212"/>
      <c r="AW128" s="212"/>
      <c r="AX128" s="212"/>
      <c r="AY128" s="212"/>
      <c r="AZ128" s="212"/>
      <c r="BA128" s="212"/>
      <c r="BB128" s="212"/>
      <c r="BC128" s="212"/>
      <c r="BD128" s="212"/>
      <c r="BE128" s="212"/>
      <c r="BF128" s="212"/>
      <c r="BG128" s="212"/>
      <c r="BH128" s="212"/>
      <c r="BI128" s="231" t="str">
        <f>HYPERLINK("#일위대가목록!A62","PP10-3-1/9 →")</f>
        <v>PP10-3-1/9 →</v>
      </c>
    </row>
    <row r="129" spans="1:61" ht="24" customHeight="1">
      <c r="A129" s="218" t="s">
        <v>2038</v>
      </c>
      <c r="B129" s="218" t="s">
        <v>1742</v>
      </c>
      <c r="C129" s="228">
        <v>1</v>
      </c>
      <c r="D129" s="213" t="s">
        <v>378</v>
      </c>
      <c r="E129" s="217">
        <f>일위목록!E63</f>
        <v>0</v>
      </c>
      <c r="F129" s="217">
        <f t="shared" si="6"/>
        <v>0</v>
      </c>
      <c r="G129" s="217">
        <f>일위목록!F63</f>
        <v>0</v>
      </c>
      <c r="H129" s="217">
        <f>TRUNC(G129*C129,0)</f>
        <v>0</v>
      </c>
      <c r="I129" s="217">
        <f>일위목록!G63</f>
        <v>0</v>
      </c>
      <c r="J129" s="217">
        <f>TRUNC(I129*C129,0)</f>
        <v>0</v>
      </c>
      <c r="K129" s="217">
        <f t="shared" si="7"/>
        <v>0</v>
      </c>
      <c r="L129" s="217">
        <f t="shared" si="5"/>
        <v>0</v>
      </c>
      <c r="M129" s="215" t="s">
        <v>68</v>
      </c>
      <c r="N129" s="212" t="s">
        <v>68</v>
      </c>
      <c r="O129" s="212"/>
      <c r="P129" s="212" t="s">
        <v>1104</v>
      </c>
      <c r="Q129" s="212" t="s">
        <v>68</v>
      </c>
      <c r="R129" s="212" t="s">
        <v>1743</v>
      </c>
      <c r="S129" s="212"/>
      <c r="T129" s="212" t="s">
        <v>1129</v>
      </c>
      <c r="U129" s="212"/>
      <c r="V129" s="212"/>
      <c r="W129" s="212"/>
      <c r="X129" s="212"/>
      <c r="Y129" s="212"/>
      <c r="Z129" s="212"/>
      <c r="AA129" s="212"/>
      <c r="AB129" s="212"/>
      <c r="AC129" s="212"/>
      <c r="AD129" s="212"/>
      <c r="AE129" s="212"/>
      <c r="AF129" s="212"/>
      <c r="AG129" s="212"/>
      <c r="AH129" s="212"/>
      <c r="AI129" s="212"/>
      <c r="AJ129" s="212"/>
      <c r="AK129" s="212"/>
      <c r="AL129" s="212"/>
      <c r="AM129" s="212"/>
      <c r="AN129" s="212"/>
      <c r="AO129" s="212"/>
      <c r="AP129" s="212"/>
      <c r="AQ129" s="212"/>
      <c r="AR129" s="212"/>
      <c r="AS129" s="212"/>
      <c r="AT129" s="212"/>
      <c r="AU129" s="212"/>
      <c r="AV129" s="212"/>
      <c r="AW129" s="212"/>
      <c r="AX129" s="212"/>
      <c r="AY129" s="212"/>
      <c r="AZ129" s="212"/>
      <c r="BA129" s="212"/>
      <c r="BB129" s="212"/>
      <c r="BC129" s="212"/>
      <c r="BD129" s="212"/>
      <c r="BE129" s="212"/>
      <c r="BF129" s="212"/>
      <c r="BG129" s="212"/>
      <c r="BH129" s="212"/>
      <c r="BI129" s="231" t="str">
        <f>HYPERLINK("#일위대가목록!A63","PP10-1-1/6 →")</f>
        <v>PP10-1-1/6 →</v>
      </c>
    </row>
    <row r="130" spans="1:61" ht="24" customHeight="1">
      <c r="A130" s="218" t="s">
        <v>2039</v>
      </c>
      <c r="B130" s="218" t="s">
        <v>1745</v>
      </c>
      <c r="C130" s="229">
        <v>11.16</v>
      </c>
      <c r="D130" s="213" t="s">
        <v>1033</v>
      </c>
      <c r="E130" s="217">
        <f>일위목록!E64</f>
        <v>0</v>
      </c>
      <c r="F130" s="217">
        <f t="shared" si="6"/>
        <v>0</v>
      </c>
      <c r="G130" s="217">
        <f>일위목록!F64</f>
        <v>0</v>
      </c>
      <c r="H130" s="217">
        <f>TRUNC(G130*C130,0)</f>
        <v>0</v>
      </c>
      <c r="I130" s="217">
        <f>일위목록!G64</f>
        <v>0</v>
      </c>
      <c r="J130" s="217">
        <f>TRUNC(I130*C130,0)</f>
        <v>0</v>
      </c>
      <c r="K130" s="217">
        <f t="shared" si="7"/>
        <v>0</v>
      </c>
      <c r="L130" s="217">
        <f t="shared" si="5"/>
        <v>0</v>
      </c>
      <c r="M130" s="215" t="s">
        <v>1746</v>
      </c>
      <c r="N130" s="212" t="s">
        <v>68</v>
      </c>
      <c r="O130" s="212"/>
      <c r="P130" s="212" t="s">
        <v>1107</v>
      </c>
      <c r="Q130" s="212" t="s">
        <v>68</v>
      </c>
      <c r="R130" s="212" t="s">
        <v>1747</v>
      </c>
      <c r="S130" s="212"/>
      <c r="T130" s="212" t="s">
        <v>1129</v>
      </c>
      <c r="U130" s="212"/>
      <c r="V130" s="212"/>
      <c r="W130" s="212"/>
      <c r="X130" s="212"/>
      <c r="Y130" s="212"/>
      <c r="Z130" s="212"/>
      <c r="AA130" s="212"/>
      <c r="AB130" s="212"/>
      <c r="AC130" s="212"/>
      <c r="AD130" s="212"/>
      <c r="AE130" s="212"/>
      <c r="AF130" s="212"/>
      <c r="AG130" s="212"/>
      <c r="AH130" s="212"/>
      <c r="AI130" s="212"/>
      <c r="AJ130" s="212"/>
      <c r="AK130" s="212"/>
      <c r="AL130" s="212"/>
      <c r="AM130" s="212"/>
      <c r="AN130" s="212"/>
      <c r="AO130" s="212"/>
      <c r="AP130" s="212"/>
      <c r="AQ130" s="212"/>
      <c r="AR130" s="212"/>
      <c r="AS130" s="212"/>
      <c r="AT130" s="212"/>
      <c r="AU130" s="212"/>
      <c r="AV130" s="212"/>
      <c r="AW130" s="212"/>
      <c r="AX130" s="212"/>
      <c r="AY130" s="212"/>
      <c r="AZ130" s="212"/>
      <c r="BA130" s="212"/>
      <c r="BB130" s="212"/>
      <c r="BC130" s="212"/>
      <c r="BD130" s="212"/>
      <c r="BE130" s="212"/>
      <c r="BF130" s="212"/>
      <c r="BG130" s="212"/>
      <c r="BH130" s="212"/>
      <c r="BI130" s="231" t="str">
        <f>HYPERLINK("#일위대가목록!A64","PP10-4-3/1 →")</f>
        <v>PP10-4-3/1 →</v>
      </c>
    </row>
    <row r="131" spans="1:61" ht="24" customHeight="1">
      <c r="A131" s="218" t="s">
        <v>2040</v>
      </c>
      <c r="B131" s="218" t="s">
        <v>68</v>
      </c>
      <c r="C131" s="229">
        <v>11.16</v>
      </c>
      <c r="D131" s="213" t="s">
        <v>1033</v>
      </c>
      <c r="E131" s="217">
        <f>일위목록!E65</f>
        <v>0</v>
      </c>
      <c r="F131" s="217">
        <f t="shared" si="6"/>
        <v>0</v>
      </c>
      <c r="G131" s="217">
        <f>일위목록!F65</f>
        <v>0</v>
      </c>
      <c r="H131" s="217">
        <f>TRUNC(G131*C131,0)</f>
        <v>0</v>
      </c>
      <c r="I131" s="217">
        <f>일위목록!G65</f>
        <v>0</v>
      </c>
      <c r="J131" s="217">
        <f>TRUNC(I131*C131,0)</f>
        <v>0</v>
      </c>
      <c r="K131" s="217">
        <f t="shared" si="7"/>
        <v>0</v>
      </c>
      <c r="L131" s="217">
        <f t="shared" si="5"/>
        <v>0</v>
      </c>
      <c r="M131" s="215" t="s">
        <v>1749</v>
      </c>
      <c r="N131" s="212" t="s">
        <v>68</v>
      </c>
      <c r="O131" s="212"/>
      <c r="P131" s="212" t="s">
        <v>1108</v>
      </c>
      <c r="Q131" s="212" t="s">
        <v>68</v>
      </c>
      <c r="R131" s="212" t="s">
        <v>1750</v>
      </c>
      <c r="S131" s="212"/>
      <c r="T131" s="212" t="s">
        <v>1129</v>
      </c>
      <c r="U131" s="212"/>
      <c r="V131" s="212"/>
      <c r="W131" s="212"/>
      <c r="X131" s="212"/>
      <c r="Y131" s="212"/>
      <c r="Z131" s="212"/>
      <c r="AA131" s="212"/>
      <c r="AB131" s="212"/>
      <c r="AC131" s="212"/>
      <c r="AD131" s="212"/>
      <c r="AE131" s="212"/>
      <c r="AF131" s="212"/>
      <c r="AG131" s="212"/>
      <c r="AH131" s="212"/>
      <c r="AI131" s="212"/>
      <c r="AJ131" s="212"/>
      <c r="AK131" s="212"/>
      <c r="AL131" s="212"/>
      <c r="AM131" s="212"/>
      <c r="AN131" s="212"/>
      <c r="AO131" s="212"/>
      <c r="AP131" s="212"/>
      <c r="AQ131" s="212"/>
      <c r="AR131" s="212"/>
      <c r="AS131" s="212"/>
      <c r="AT131" s="212"/>
      <c r="AU131" s="212"/>
      <c r="AV131" s="212"/>
      <c r="AW131" s="212"/>
      <c r="AX131" s="212"/>
      <c r="AY131" s="212"/>
      <c r="AZ131" s="212"/>
      <c r="BA131" s="212"/>
      <c r="BB131" s="212"/>
      <c r="BC131" s="212"/>
      <c r="BD131" s="212"/>
      <c r="BE131" s="212"/>
      <c r="BF131" s="212"/>
      <c r="BG131" s="212"/>
      <c r="BH131" s="212"/>
      <c r="BI131" s="231" t="str">
        <f>HYPERLINK("#일위대가목록!A65","P9-3-1/1 →")</f>
        <v>P9-3-1/1 →</v>
      </c>
    </row>
    <row r="132" spans="1:61" ht="24" customHeight="1">
      <c r="A132" s="215"/>
      <c r="B132" s="215"/>
      <c r="C132" s="229"/>
      <c r="D132" s="213"/>
      <c r="E132" s="213"/>
      <c r="F132" s="213"/>
      <c r="G132" s="213"/>
      <c r="H132" s="213"/>
      <c r="I132" s="213"/>
      <c r="J132" s="213"/>
      <c r="K132" s="213"/>
      <c r="L132" s="213"/>
      <c r="M132" s="215"/>
      <c r="N132" s="212"/>
      <c r="O132" s="212"/>
      <c r="P132" s="212"/>
      <c r="Q132" s="212"/>
      <c r="R132" s="212"/>
      <c r="S132" s="212"/>
      <c r="T132" s="212"/>
      <c r="U132" s="212"/>
      <c r="V132" s="212"/>
      <c r="W132" s="212"/>
      <c r="X132" s="212"/>
      <c r="Y132" s="212"/>
      <c r="Z132" s="212"/>
      <c r="AA132" s="212"/>
      <c r="AB132" s="212"/>
      <c r="AC132" s="212"/>
      <c r="AD132" s="212"/>
      <c r="AE132" s="212"/>
      <c r="AF132" s="212"/>
      <c r="AG132" s="212"/>
      <c r="AH132" s="212"/>
      <c r="AI132" s="212"/>
      <c r="AJ132" s="212"/>
      <c r="AK132" s="212"/>
      <c r="AL132" s="212"/>
      <c r="AM132" s="212"/>
      <c r="AN132" s="212"/>
      <c r="AO132" s="212"/>
      <c r="AP132" s="212"/>
      <c r="AQ132" s="212"/>
      <c r="AR132" s="212"/>
      <c r="AS132" s="212"/>
      <c r="AT132" s="212"/>
      <c r="AU132" s="212"/>
      <c r="AV132" s="212"/>
      <c r="AW132" s="212"/>
      <c r="AX132" s="212"/>
      <c r="AY132" s="212"/>
      <c r="AZ132" s="212"/>
      <c r="BA132" s="212"/>
      <c r="BB132" s="212"/>
      <c r="BC132" s="212"/>
      <c r="BD132" s="212"/>
      <c r="BE132" s="212"/>
      <c r="BF132" s="212"/>
      <c r="BG132" s="212"/>
      <c r="BH132" s="212"/>
      <c r="BI132" s="212"/>
    </row>
    <row r="133" spans="1:61" ht="24" customHeight="1">
      <c r="A133" s="218" t="s">
        <v>2041</v>
      </c>
      <c r="B133" s="218" t="s">
        <v>1188</v>
      </c>
      <c r="C133" s="228">
        <v>1</v>
      </c>
      <c r="D133" s="213" t="s">
        <v>437</v>
      </c>
      <c r="E133" s="212"/>
      <c r="F133" s="217">
        <f>TRUNC(F134+F135+F136+F137+F138+F139,0)</f>
        <v>0</v>
      </c>
      <c r="G133" s="212"/>
      <c r="H133" s="217">
        <f>TRUNC(H134+H135+H136+H137+H138+H139,0)</f>
        <v>0</v>
      </c>
      <c r="I133" s="212"/>
      <c r="J133" s="217">
        <f>TRUNC(J134+J135+J136+J137+J138+J139,0)</f>
        <v>0</v>
      </c>
      <c r="K133" s="212"/>
      <c r="L133" s="217">
        <f t="shared" ref="L133:L139" si="8">F133+H133+J133</f>
        <v>0</v>
      </c>
      <c r="M133" s="215" t="s">
        <v>443</v>
      </c>
      <c r="N133" s="212" t="s">
        <v>68</v>
      </c>
      <c r="O133" s="212" t="s">
        <v>1189</v>
      </c>
      <c r="P133" s="212"/>
      <c r="Q133" s="212"/>
      <c r="R133" s="212"/>
      <c r="S133" s="212"/>
      <c r="T133" s="212"/>
      <c r="U133" s="212"/>
      <c r="V133" s="212"/>
      <c r="W133" s="212"/>
      <c r="X133" s="212"/>
      <c r="Y133" s="212"/>
      <c r="Z133" s="212"/>
      <c r="AA133" s="212"/>
      <c r="AB133" s="212"/>
      <c r="AC133" s="212"/>
      <c r="AD133" s="212"/>
      <c r="AE133" s="212"/>
      <c r="AF133" s="212"/>
      <c r="AG133" s="212"/>
      <c r="AH133" s="212"/>
      <c r="AI133" s="212"/>
      <c r="AJ133" s="212"/>
      <c r="AK133" s="212"/>
      <c r="AL133" s="212"/>
      <c r="AM133" s="212"/>
      <c r="AN133" s="212"/>
      <c r="AO133" s="212"/>
      <c r="AP133" s="212"/>
      <c r="AQ133" s="212"/>
      <c r="AR133" s="212"/>
      <c r="AS133" s="212"/>
      <c r="AT133" s="212"/>
      <c r="AU133" s="212"/>
      <c r="AV133" s="212"/>
      <c r="AW133" s="212"/>
      <c r="AX133" s="212"/>
      <c r="AY133" s="212"/>
      <c r="AZ133" s="212"/>
      <c r="BA133" s="212"/>
      <c r="BB133" s="212"/>
      <c r="BC133" s="212"/>
      <c r="BD133" s="212"/>
      <c r="BE133" s="212"/>
      <c r="BF133" s="212"/>
      <c r="BG133" s="212"/>
      <c r="BH133" s="212"/>
      <c r="BI133" s="212"/>
    </row>
    <row r="134" spans="1:61" ht="24" customHeight="1">
      <c r="A134" s="218" t="s">
        <v>1185</v>
      </c>
      <c r="B134" s="218" t="s">
        <v>1188</v>
      </c>
      <c r="C134" s="228">
        <v>1</v>
      </c>
      <c r="D134" s="213" t="s">
        <v>437</v>
      </c>
      <c r="E134" s="217">
        <f>자재조서!E65</f>
        <v>0</v>
      </c>
      <c r="F134" s="217">
        <f t="shared" ref="F134:F139" si="9">TRUNC(E134*C134,0)</f>
        <v>0</v>
      </c>
      <c r="G134" s="217">
        <v>0</v>
      </c>
      <c r="H134" s="217"/>
      <c r="I134" s="217">
        <v>0</v>
      </c>
      <c r="J134" s="217"/>
      <c r="K134" s="217">
        <f t="shared" ref="K134:K139" si="10">E134+G134+I134</f>
        <v>0</v>
      </c>
      <c r="L134" s="217">
        <f t="shared" si="8"/>
        <v>0</v>
      </c>
      <c r="M134" s="215" t="s">
        <v>68</v>
      </c>
      <c r="N134" s="212" t="s">
        <v>68</v>
      </c>
      <c r="O134" s="212"/>
      <c r="P134" s="212" t="s">
        <v>1095</v>
      </c>
      <c r="Q134" s="212" t="s">
        <v>68</v>
      </c>
      <c r="R134" s="212" t="s">
        <v>2042</v>
      </c>
      <c r="S134" s="212"/>
      <c r="T134" s="212"/>
      <c r="U134" s="212"/>
      <c r="V134" s="212"/>
      <c r="W134" s="212"/>
      <c r="X134" s="212"/>
      <c r="Y134" s="212"/>
      <c r="Z134" s="212"/>
      <c r="AA134" s="212"/>
      <c r="AB134" s="212"/>
      <c r="AC134" s="212"/>
      <c r="AD134" s="212"/>
      <c r="AE134" s="212"/>
      <c r="AF134" s="212"/>
      <c r="AG134" s="212"/>
      <c r="AH134" s="212"/>
      <c r="AI134" s="212"/>
      <c r="AJ134" s="212"/>
      <c r="AK134" s="212"/>
      <c r="AL134" s="212"/>
      <c r="AM134" s="212"/>
      <c r="AN134" s="212"/>
      <c r="AO134" s="212"/>
      <c r="AP134" s="212"/>
      <c r="AQ134" s="212"/>
      <c r="AR134" s="212"/>
      <c r="AS134" s="212"/>
      <c r="AT134" s="212"/>
      <c r="AU134" s="212"/>
      <c r="AV134" s="212"/>
      <c r="AW134" s="212"/>
      <c r="AX134" s="212"/>
      <c r="AY134" s="212"/>
      <c r="AZ134" s="212"/>
      <c r="BA134" s="212"/>
      <c r="BB134" s="212"/>
      <c r="BC134" s="212"/>
      <c r="BD134" s="212"/>
      <c r="BE134" s="212"/>
      <c r="BF134" s="212"/>
      <c r="BG134" s="212"/>
      <c r="BH134" s="212"/>
      <c r="BI134" s="231" t="str">
        <f>HYPERLINK("#자재조서!A65","MZZ9000002 →")</f>
        <v>MZZ9000002 →</v>
      </c>
    </row>
    <row r="135" spans="1:61" ht="24" customHeight="1">
      <c r="A135" s="218" t="s">
        <v>2034</v>
      </c>
      <c r="B135" s="218" t="s">
        <v>2035</v>
      </c>
      <c r="C135" s="229">
        <v>3.72</v>
      </c>
      <c r="D135" s="213" t="s">
        <v>9</v>
      </c>
      <c r="E135" s="217">
        <f>자재조서!E76</f>
        <v>0</v>
      </c>
      <c r="F135" s="217">
        <f t="shared" si="9"/>
        <v>0</v>
      </c>
      <c r="G135" s="217">
        <v>0</v>
      </c>
      <c r="H135" s="217"/>
      <c r="I135" s="217">
        <v>0</v>
      </c>
      <c r="J135" s="217"/>
      <c r="K135" s="217">
        <f t="shared" si="10"/>
        <v>0</v>
      </c>
      <c r="L135" s="217">
        <f t="shared" si="8"/>
        <v>0</v>
      </c>
      <c r="M135" s="215" t="s">
        <v>68</v>
      </c>
      <c r="N135" s="212" t="s">
        <v>68</v>
      </c>
      <c r="O135" s="212"/>
      <c r="P135" s="212" t="s">
        <v>1098</v>
      </c>
      <c r="Q135" s="212" t="s">
        <v>68</v>
      </c>
      <c r="R135" s="212" t="s">
        <v>2036</v>
      </c>
      <c r="S135" s="212"/>
      <c r="T135" s="212"/>
      <c r="U135" s="212"/>
      <c r="V135" s="212"/>
      <c r="W135" s="212"/>
      <c r="X135" s="212"/>
      <c r="Y135" s="212"/>
      <c r="Z135" s="212"/>
      <c r="AA135" s="212"/>
      <c r="AB135" s="212"/>
      <c r="AC135" s="212"/>
      <c r="AD135" s="212"/>
      <c r="AE135" s="212"/>
      <c r="AF135" s="212"/>
      <c r="AG135" s="212"/>
      <c r="AH135" s="212"/>
      <c r="AI135" s="212"/>
      <c r="AJ135" s="212"/>
      <c r="AK135" s="212"/>
      <c r="AL135" s="212"/>
      <c r="AM135" s="212"/>
      <c r="AN135" s="212"/>
      <c r="AO135" s="212"/>
      <c r="AP135" s="212"/>
      <c r="AQ135" s="212"/>
      <c r="AR135" s="212"/>
      <c r="AS135" s="212"/>
      <c r="AT135" s="212"/>
      <c r="AU135" s="212"/>
      <c r="AV135" s="212"/>
      <c r="AW135" s="212"/>
      <c r="AX135" s="212"/>
      <c r="AY135" s="212"/>
      <c r="AZ135" s="212"/>
      <c r="BA135" s="212"/>
      <c r="BB135" s="212"/>
      <c r="BC135" s="212"/>
      <c r="BD135" s="212"/>
      <c r="BE135" s="212"/>
      <c r="BF135" s="212"/>
      <c r="BG135" s="212"/>
      <c r="BH135" s="212"/>
      <c r="BI135" s="231" t="str">
        <f>HYPERLINK("#자재조서!A76","MZZ9000013 →")</f>
        <v>MZZ9000013 →</v>
      </c>
    </row>
    <row r="136" spans="1:61" ht="24" customHeight="1">
      <c r="A136" s="218" t="s">
        <v>2037</v>
      </c>
      <c r="B136" s="218" t="s">
        <v>1738</v>
      </c>
      <c r="C136" s="229">
        <v>3.72</v>
      </c>
      <c r="D136" s="213" t="s">
        <v>9</v>
      </c>
      <c r="E136" s="217">
        <f>일위목록!E62</f>
        <v>0</v>
      </c>
      <c r="F136" s="217">
        <f t="shared" si="9"/>
        <v>0</v>
      </c>
      <c r="G136" s="217">
        <f>일위목록!F62</f>
        <v>0</v>
      </c>
      <c r="H136" s="217">
        <f>TRUNC(G136*C136,0)</f>
        <v>0</v>
      </c>
      <c r="I136" s="217">
        <f>일위목록!G62</f>
        <v>0</v>
      </c>
      <c r="J136" s="217">
        <f>TRUNC(I136*C136,0)</f>
        <v>0</v>
      </c>
      <c r="K136" s="217">
        <f t="shared" si="10"/>
        <v>0</v>
      </c>
      <c r="L136" s="217">
        <f t="shared" si="8"/>
        <v>0</v>
      </c>
      <c r="M136" s="215" t="s">
        <v>68</v>
      </c>
      <c r="N136" s="212" t="s">
        <v>68</v>
      </c>
      <c r="O136" s="212"/>
      <c r="P136" s="212" t="s">
        <v>1101</v>
      </c>
      <c r="Q136" s="212" t="s">
        <v>68</v>
      </c>
      <c r="R136" s="212" t="s">
        <v>1740</v>
      </c>
      <c r="S136" s="212"/>
      <c r="T136" s="212" t="s">
        <v>1129</v>
      </c>
      <c r="U136" s="212"/>
      <c r="V136" s="212"/>
      <c r="W136" s="212"/>
      <c r="X136" s="212"/>
      <c r="Y136" s="212"/>
      <c r="Z136" s="212"/>
      <c r="AA136" s="212"/>
      <c r="AB136" s="212"/>
      <c r="AC136" s="212"/>
      <c r="AD136" s="212"/>
      <c r="AE136" s="212"/>
      <c r="AF136" s="212"/>
      <c r="AG136" s="212"/>
      <c r="AH136" s="212"/>
      <c r="AI136" s="212"/>
      <c r="AJ136" s="212"/>
      <c r="AK136" s="212"/>
      <c r="AL136" s="212"/>
      <c r="AM136" s="212"/>
      <c r="AN136" s="212"/>
      <c r="AO136" s="212"/>
      <c r="AP136" s="212"/>
      <c r="AQ136" s="212"/>
      <c r="AR136" s="212"/>
      <c r="AS136" s="212"/>
      <c r="AT136" s="212"/>
      <c r="AU136" s="212"/>
      <c r="AV136" s="212"/>
      <c r="AW136" s="212"/>
      <c r="AX136" s="212"/>
      <c r="AY136" s="212"/>
      <c r="AZ136" s="212"/>
      <c r="BA136" s="212"/>
      <c r="BB136" s="212"/>
      <c r="BC136" s="212"/>
      <c r="BD136" s="212"/>
      <c r="BE136" s="212"/>
      <c r="BF136" s="212"/>
      <c r="BG136" s="212"/>
      <c r="BH136" s="212"/>
      <c r="BI136" s="231" t="str">
        <f>HYPERLINK("#일위대가목록!A62","PP10-3-1/9 →")</f>
        <v>PP10-3-1/9 →</v>
      </c>
    </row>
    <row r="137" spans="1:61" ht="24" customHeight="1">
      <c r="A137" s="218" t="s">
        <v>2038</v>
      </c>
      <c r="B137" s="218" t="s">
        <v>1742</v>
      </c>
      <c r="C137" s="228">
        <v>1</v>
      </c>
      <c r="D137" s="213" t="s">
        <v>378</v>
      </c>
      <c r="E137" s="217">
        <f>일위목록!E63</f>
        <v>0</v>
      </c>
      <c r="F137" s="217">
        <f t="shared" si="9"/>
        <v>0</v>
      </c>
      <c r="G137" s="217">
        <f>일위목록!F63</f>
        <v>0</v>
      </c>
      <c r="H137" s="217">
        <f>TRUNC(G137*C137,0)</f>
        <v>0</v>
      </c>
      <c r="I137" s="217">
        <f>일위목록!G63</f>
        <v>0</v>
      </c>
      <c r="J137" s="217">
        <f>TRUNC(I137*C137,0)</f>
        <v>0</v>
      </c>
      <c r="K137" s="217">
        <f t="shared" si="10"/>
        <v>0</v>
      </c>
      <c r="L137" s="217">
        <f t="shared" si="8"/>
        <v>0</v>
      </c>
      <c r="M137" s="215" t="s">
        <v>68</v>
      </c>
      <c r="N137" s="212" t="s">
        <v>68</v>
      </c>
      <c r="O137" s="212"/>
      <c r="P137" s="212" t="s">
        <v>1104</v>
      </c>
      <c r="Q137" s="212" t="s">
        <v>68</v>
      </c>
      <c r="R137" s="212" t="s">
        <v>1743</v>
      </c>
      <c r="S137" s="212"/>
      <c r="T137" s="212" t="s">
        <v>1129</v>
      </c>
      <c r="U137" s="212"/>
      <c r="V137" s="212"/>
      <c r="W137" s="212"/>
      <c r="X137" s="212"/>
      <c r="Y137" s="212"/>
      <c r="Z137" s="212"/>
      <c r="AA137" s="212"/>
      <c r="AB137" s="212"/>
      <c r="AC137" s="212"/>
      <c r="AD137" s="212"/>
      <c r="AE137" s="212"/>
      <c r="AF137" s="212"/>
      <c r="AG137" s="212"/>
      <c r="AH137" s="212"/>
      <c r="AI137" s="212"/>
      <c r="AJ137" s="212"/>
      <c r="AK137" s="212"/>
      <c r="AL137" s="212"/>
      <c r="AM137" s="212"/>
      <c r="AN137" s="212"/>
      <c r="AO137" s="212"/>
      <c r="AP137" s="212"/>
      <c r="AQ137" s="212"/>
      <c r="AR137" s="212"/>
      <c r="AS137" s="212"/>
      <c r="AT137" s="212"/>
      <c r="AU137" s="212"/>
      <c r="AV137" s="212"/>
      <c r="AW137" s="212"/>
      <c r="AX137" s="212"/>
      <c r="AY137" s="212"/>
      <c r="AZ137" s="212"/>
      <c r="BA137" s="212"/>
      <c r="BB137" s="212"/>
      <c r="BC137" s="212"/>
      <c r="BD137" s="212"/>
      <c r="BE137" s="212"/>
      <c r="BF137" s="212"/>
      <c r="BG137" s="212"/>
      <c r="BH137" s="212"/>
      <c r="BI137" s="231" t="str">
        <f>HYPERLINK("#일위대가목록!A63","PP10-1-1/6 →")</f>
        <v>PP10-1-1/6 →</v>
      </c>
    </row>
    <row r="138" spans="1:61" ht="24" customHeight="1">
      <c r="A138" s="218" t="s">
        <v>2039</v>
      </c>
      <c r="B138" s="218" t="s">
        <v>1745</v>
      </c>
      <c r="C138" s="229">
        <v>15.94</v>
      </c>
      <c r="D138" s="213" t="s">
        <v>1033</v>
      </c>
      <c r="E138" s="217">
        <f>일위목록!E64</f>
        <v>0</v>
      </c>
      <c r="F138" s="217">
        <f t="shared" si="9"/>
        <v>0</v>
      </c>
      <c r="G138" s="217">
        <f>일위목록!F64</f>
        <v>0</v>
      </c>
      <c r="H138" s="217">
        <f>TRUNC(G138*C138,0)</f>
        <v>0</v>
      </c>
      <c r="I138" s="217">
        <f>일위목록!G64</f>
        <v>0</v>
      </c>
      <c r="J138" s="217">
        <f>TRUNC(I138*C138,0)</f>
        <v>0</v>
      </c>
      <c r="K138" s="217">
        <f t="shared" si="10"/>
        <v>0</v>
      </c>
      <c r="L138" s="217">
        <f t="shared" si="8"/>
        <v>0</v>
      </c>
      <c r="M138" s="215" t="s">
        <v>1746</v>
      </c>
      <c r="N138" s="212" t="s">
        <v>68</v>
      </c>
      <c r="O138" s="212"/>
      <c r="P138" s="212" t="s">
        <v>1107</v>
      </c>
      <c r="Q138" s="212" t="s">
        <v>68</v>
      </c>
      <c r="R138" s="212" t="s">
        <v>1747</v>
      </c>
      <c r="S138" s="212"/>
      <c r="T138" s="212" t="s">
        <v>1129</v>
      </c>
      <c r="U138" s="212"/>
      <c r="V138" s="212"/>
      <c r="W138" s="212"/>
      <c r="X138" s="212"/>
      <c r="Y138" s="212"/>
      <c r="Z138" s="212"/>
      <c r="AA138" s="212"/>
      <c r="AB138" s="212"/>
      <c r="AC138" s="212"/>
      <c r="AD138" s="212"/>
      <c r="AE138" s="212"/>
      <c r="AF138" s="212"/>
      <c r="AG138" s="212"/>
      <c r="AH138" s="212"/>
      <c r="AI138" s="212"/>
      <c r="AJ138" s="212"/>
      <c r="AK138" s="212"/>
      <c r="AL138" s="212"/>
      <c r="AM138" s="212"/>
      <c r="AN138" s="212"/>
      <c r="AO138" s="212"/>
      <c r="AP138" s="212"/>
      <c r="AQ138" s="212"/>
      <c r="AR138" s="212"/>
      <c r="AS138" s="212"/>
      <c r="AT138" s="212"/>
      <c r="AU138" s="212"/>
      <c r="AV138" s="212"/>
      <c r="AW138" s="212"/>
      <c r="AX138" s="212"/>
      <c r="AY138" s="212"/>
      <c r="AZ138" s="212"/>
      <c r="BA138" s="212"/>
      <c r="BB138" s="212"/>
      <c r="BC138" s="212"/>
      <c r="BD138" s="212"/>
      <c r="BE138" s="212"/>
      <c r="BF138" s="212"/>
      <c r="BG138" s="212"/>
      <c r="BH138" s="212"/>
      <c r="BI138" s="231" t="str">
        <f>HYPERLINK("#일위대가목록!A64","PP10-4-3/1 →")</f>
        <v>PP10-4-3/1 →</v>
      </c>
    </row>
    <row r="139" spans="1:61" ht="24" customHeight="1">
      <c r="A139" s="218" t="s">
        <v>2040</v>
      </c>
      <c r="B139" s="218" t="s">
        <v>68</v>
      </c>
      <c r="C139" s="229">
        <v>15.94</v>
      </c>
      <c r="D139" s="213" t="s">
        <v>1033</v>
      </c>
      <c r="E139" s="217">
        <f>일위목록!E65</f>
        <v>0</v>
      </c>
      <c r="F139" s="217">
        <f t="shared" si="9"/>
        <v>0</v>
      </c>
      <c r="G139" s="217">
        <f>일위목록!F65</f>
        <v>0</v>
      </c>
      <c r="H139" s="217">
        <f>TRUNC(G139*C139,0)</f>
        <v>0</v>
      </c>
      <c r="I139" s="217">
        <f>일위목록!G65</f>
        <v>0</v>
      </c>
      <c r="J139" s="217">
        <f>TRUNC(I139*C139,0)</f>
        <v>0</v>
      </c>
      <c r="K139" s="217">
        <f t="shared" si="10"/>
        <v>0</v>
      </c>
      <c r="L139" s="217">
        <f t="shared" si="8"/>
        <v>0</v>
      </c>
      <c r="M139" s="215" t="s">
        <v>1749</v>
      </c>
      <c r="N139" s="212" t="s">
        <v>68</v>
      </c>
      <c r="O139" s="212"/>
      <c r="P139" s="212" t="s">
        <v>1108</v>
      </c>
      <c r="Q139" s="212" t="s">
        <v>68</v>
      </c>
      <c r="R139" s="212" t="s">
        <v>1750</v>
      </c>
      <c r="S139" s="212"/>
      <c r="T139" s="212" t="s">
        <v>1129</v>
      </c>
      <c r="U139" s="212"/>
      <c r="V139" s="212"/>
      <c r="W139" s="212"/>
      <c r="X139" s="212"/>
      <c r="Y139" s="212"/>
      <c r="Z139" s="212"/>
      <c r="AA139" s="212"/>
      <c r="AB139" s="212"/>
      <c r="AC139" s="212"/>
      <c r="AD139" s="212"/>
      <c r="AE139" s="212"/>
      <c r="AF139" s="212"/>
      <c r="AG139" s="212"/>
      <c r="AH139" s="212"/>
      <c r="AI139" s="212"/>
      <c r="AJ139" s="212"/>
      <c r="AK139" s="212"/>
      <c r="AL139" s="212"/>
      <c r="AM139" s="212"/>
      <c r="AN139" s="212"/>
      <c r="AO139" s="212"/>
      <c r="AP139" s="212"/>
      <c r="AQ139" s="212"/>
      <c r="AR139" s="212"/>
      <c r="AS139" s="212"/>
      <c r="AT139" s="212"/>
      <c r="AU139" s="212"/>
      <c r="AV139" s="212"/>
      <c r="AW139" s="212"/>
      <c r="AX139" s="212"/>
      <c r="AY139" s="212"/>
      <c r="AZ139" s="212"/>
      <c r="BA139" s="212"/>
      <c r="BB139" s="212"/>
      <c r="BC139" s="212"/>
      <c r="BD139" s="212"/>
      <c r="BE139" s="212"/>
      <c r="BF139" s="212"/>
      <c r="BG139" s="212"/>
      <c r="BH139" s="212"/>
      <c r="BI139" s="231" t="str">
        <f>HYPERLINK("#일위대가목록!A65","P9-3-1/1 →")</f>
        <v>P9-3-1/1 →</v>
      </c>
    </row>
    <row r="140" spans="1:61" ht="24" customHeight="1">
      <c r="A140" s="215"/>
      <c r="B140" s="215"/>
      <c r="C140" s="229"/>
      <c r="D140" s="213"/>
      <c r="E140" s="213"/>
      <c r="F140" s="213"/>
      <c r="G140" s="213"/>
      <c r="H140" s="213"/>
      <c r="I140" s="213"/>
      <c r="J140" s="213"/>
      <c r="K140" s="213"/>
      <c r="L140" s="213"/>
      <c r="M140" s="215"/>
      <c r="N140" s="212"/>
      <c r="O140" s="212"/>
      <c r="P140" s="212"/>
      <c r="Q140" s="212"/>
      <c r="R140" s="212"/>
      <c r="S140" s="212"/>
      <c r="T140" s="212"/>
      <c r="U140" s="212"/>
      <c r="V140" s="212"/>
      <c r="W140" s="212"/>
      <c r="X140" s="212"/>
      <c r="Y140" s="212"/>
      <c r="Z140" s="212"/>
      <c r="AA140" s="212"/>
      <c r="AB140" s="212"/>
      <c r="AC140" s="212"/>
      <c r="AD140" s="212"/>
      <c r="AE140" s="212"/>
      <c r="AF140" s="212"/>
      <c r="AG140" s="212"/>
      <c r="AH140" s="212"/>
      <c r="AI140" s="212"/>
      <c r="AJ140" s="212"/>
      <c r="AK140" s="212"/>
      <c r="AL140" s="212"/>
      <c r="AM140" s="212"/>
      <c r="AN140" s="212"/>
      <c r="AO140" s="212"/>
      <c r="AP140" s="212"/>
      <c r="AQ140" s="212"/>
      <c r="AR140" s="212"/>
      <c r="AS140" s="212"/>
      <c r="AT140" s="212"/>
      <c r="AU140" s="212"/>
      <c r="AV140" s="212"/>
      <c r="AW140" s="212"/>
      <c r="AX140" s="212"/>
      <c r="AY140" s="212"/>
      <c r="AZ140" s="212"/>
      <c r="BA140" s="212"/>
      <c r="BB140" s="212"/>
      <c r="BC140" s="212"/>
      <c r="BD140" s="212"/>
      <c r="BE140" s="212"/>
      <c r="BF140" s="212"/>
      <c r="BG140" s="212"/>
      <c r="BH140" s="212"/>
      <c r="BI140" s="212"/>
    </row>
    <row r="141" spans="1:61" ht="24" customHeight="1">
      <c r="A141" s="218" t="s">
        <v>2043</v>
      </c>
      <c r="B141" s="218" t="s">
        <v>1191</v>
      </c>
      <c r="C141" s="228">
        <v>1</v>
      </c>
      <c r="D141" s="213" t="s">
        <v>437</v>
      </c>
      <c r="E141" s="212"/>
      <c r="F141" s="217">
        <f>TRUNC(F142+F143+F144+F145+F146+F147,0)</f>
        <v>0</v>
      </c>
      <c r="G141" s="212"/>
      <c r="H141" s="217">
        <f>TRUNC(H142+H143+H144+H145+H146+H147,0)</f>
        <v>0</v>
      </c>
      <c r="I141" s="212"/>
      <c r="J141" s="217">
        <f>TRUNC(J142+J143+J144+J145+J146+J147,0)</f>
        <v>0</v>
      </c>
      <c r="K141" s="212"/>
      <c r="L141" s="217">
        <f t="shared" ref="L141:L147" si="11">F141+H141+J141</f>
        <v>0</v>
      </c>
      <c r="M141" s="215" t="s">
        <v>444</v>
      </c>
      <c r="N141" s="212" t="s">
        <v>68</v>
      </c>
      <c r="O141" s="212" t="s">
        <v>1192</v>
      </c>
      <c r="P141" s="212"/>
      <c r="Q141" s="212"/>
      <c r="R141" s="212"/>
      <c r="S141" s="212"/>
      <c r="T141" s="212"/>
      <c r="U141" s="212"/>
      <c r="V141" s="212"/>
      <c r="W141" s="212"/>
      <c r="X141" s="212"/>
      <c r="Y141" s="212"/>
      <c r="Z141" s="212"/>
      <c r="AA141" s="212"/>
      <c r="AB141" s="212"/>
      <c r="AC141" s="212"/>
      <c r="AD141" s="212"/>
      <c r="AE141" s="212"/>
      <c r="AF141" s="212"/>
      <c r="AG141" s="212"/>
      <c r="AH141" s="212"/>
      <c r="AI141" s="212"/>
      <c r="AJ141" s="212"/>
      <c r="AK141" s="212"/>
      <c r="AL141" s="212"/>
      <c r="AM141" s="212"/>
      <c r="AN141" s="212"/>
      <c r="AO141" s="212"/>
      <c r="AP141" s="212"/>
      <c r="AQ141" s="212"/>
      <c r="AR141" s="212"/>
      <c r="AS141" s="212"/>
      <c r="AT141" s="212"/>
      <c r="AU141" s="212"/>
      <c r="AV141" s="212"/>
      <c r="AW141" s="212"/>
      <c r="AX141" s="212"/>
      <c r="AY141" s="212"/>
      <c r="AZ141" s="212"/>
      <c r="BA141" s="212"/>
      <c r="BB141" s="212"/>
      <c r="BC141" s="212"/>
      <c r="BD141" s="212"/>
      <c r="BE141" s="212"/>
      <c r="BF141" s="212"/>
      <c r="BG141" s="212"/>
      <c r="BH141" s="212"/>
      <c r="BI141" s="212"/>
    </row>
    <row r="142" spans="1:61" ht="24" customHeight="1">
      <c r="A142" s="218" t="s">
        <v>1190</v>
      </c>
      <c r="B142" s="218" t="s">
        <v>1191</v>
      </c>
      <c r="C142" s="228">
        <v>1</v>
      </c>
      <c r="D142" s="213" t="s">
        <v>437</v>
      </c>
      <c r="E142" s="217">
        <f>자재조서!E66</f>
        <v>0</v>
      </c>
      <c r="F142" s="217">
        <f t="shared" ref="F142:F147" si="12">TRUNC(E142*C142,0)</f>
        <v>0</v>
      </c>
      <c r="G142" s="217">
        <v>0</v>
      </c>
      <c r="H142" s="217"/>
      <c r="I142" s="217">
        <v>0</v>
      </c>
      <c r="J142" s="217"/>
      <c r="K142" s="217">
        <f t="shared" ref="K142:K147" si="13">E142+G142+I142</f>
        <v>0</v>
      </c>
      <c r="L142" s="217">
        <f t="shared" si="11"/>
        <v>0</v>
      </c>
      <c r="M142" s="215" t="s">
        <v>68</v>
      </c>
      <c r="N142" s="212" t="s">
        <v>68</v>
      </c>
      <c r="O142" s="212"/>
      <c r="P142" s="212" t="s">
        <v>1095</v>
      </c>
      <c r="Q142" s="212" t="s">
        <v>68</v>
      </c>
      <c r="R142" s="212" t="s">
        <v>2044</v>
      </c>
      <c r="S142" s="212"/>
      <c r="T142" s="212"/>
      <c r="U142" s="212"/>
      <c r="V142" s="212"/>
      <c r="W142" s="212"/>
      <c r="X142" s="212"/>
      <c r="Y142" s="212"/>
      <c r="Z142" s="212"/>
      <c r="AA142" s="212"/>
      <c r="AB142" s="212"/>
      <c r="AC142" s="212"/>
      <c r="AD142" s="212"/>
      <c r="AE142" s="212"/>
      <c r="AF142" s="212"/>
      <c r="AG142" s="212"/>
      <c r="AH142" s="212"/>
      <c r="AI142" s="212"/>
      <c r="AJ142" s="212"/>
      <c r="AK142" s="212"/>
      <c r="AL142" s="212"/>
      <c r="AM142" s="212"/>
      <c r="AN142" s="212"/>
      <c r="AO142" s="212"/>
      <c r="AP142" s="212"/>
      <c r="AQ142" s="212"/>
      <c r="AR142" s="212"/>
      <c r="AS142" s="212"/>
      <c r="AT142" s="212"/>
      <c r="AU142" s="212"/>
      <c r="AV142" s="212"/>
      <c r="AW142" s="212"/>
      <c r="AX142" s="212"/>
      <c r="AY142" s="212"/>
      <c r="AZ142" s="212"/>
      <c r="BA142" s="212"/>
      <c r="BB142" s="212"/>
      <c r="BC142" s="212"/>
      <c r="BD142" s="212"/>
      <c r="BE142" s="212"/>
      <c r="BF142" s="212"/>
      <c r="BG142" s="212"/>
      <c r="BH142" s="212"/>
      <c r="BI142" s="231" t="str">
        <f>HYPERLINK("#자재조서!A66","MZZ9000003 →")</f>
        <v>MZZ9000003 →</v>
      </c>
    </row>
    <row r="143" spans="1:61" ht="24" customHeight="1">
      <c r="A143" s="218" t="s">
        <v>2034</v>
      </c>
      <c r="B143" s="218" t="s">
        <v>2035</v>
      </c>
      <c r="C143" s="229">
        <v>3.13</v>
      </c>
      <c r="D143" s="213" t="s">
        <v>9</v>
      </c>
      <c r="E143" s="217">
        <f>자재조서!E76</f>
        <v>0</v>
      </c>
      <c r="F143" s="217">
        <f t="shared" si="12"/>
        <v>0</v>
      </c>
      <c r="G143" s="217">
        <v>0</v>
      </c>
      <c r="H143" s="217"/>
      <c r="I143" s="217">
        <v>0</v>
      </c>
      <c r="J143" s="217"/>
      <c r="K143" s="217">
        <f t="shared" si="13"/>
        <v>0</v>
      </c>
      <c r="L143" s="217">
        <f t="shared" si="11"/>
        <v>0</v>
      </c>
      <c r="M143" s="215" t="s">
        <v>68</v>
      </c>
      <c r="N143" s="212" t="s">
        <v>68</v>
      </c>
      <c r="O143" s="212"/>
      <c r="P143" s="212" t="s">
        <v>1098</v>
      </c>
      <c r="Q143" s="212" t="s">
        <v>68</v>
      </c>
      <c r="R143" s="212" t="s">
        <v>2036</v>
      </c>
      <c r="S143" s="212"/>
      <c r="T143" s="212"/>
      <c r="U143" s="212"/>
      <c r="V143" s="212"/>
      <c r="W143" s="212"/>
      <c r="X143" s="212"/>
      <c r="Y143" s="212"/>
      <c r="Z143" s="212"/>
      <c r="AA143" s="212"/>
      <c r="AB143" s="212"/>
      <c r="AC143" s="212"/>
      <c r="AD143" s="212"/>
      <c r="AE143" s="212"/>
      <c r="AF143" s="212"/>
      <c r="AG143" s="212"/>
      <c r="AH143" s="212"/>
      <c r="AI143" s="212"/>
      <c r="AJ143" s="212"/>
      <c r="AK143" s="212"/>
      <c r="AL143" s="212"/>
      <c r="AM143" s="212"/>
      <c r="AN143" s="212"/>
      <c r="AO143" s="212"/>
      <c r="AP143" s="212"/>
      <c r="AQ143" s="212"/>
      <c r="AR143" s="212"/>
      <c r="AS143" s="212"/>
      <c r="AT143" s="212"/>
      <c r="AU143" s="212"/>
      <c r="AV143" s="212"/>
      <c r="AW143" s="212"/>
      <c r="AX143" s="212"/>
      <c r="AY143" s="212"/>
      <c r="AZ143" s="212"/>
      <c r="BA143" s="212"/>
      <c r="BB143" s="212"/>
      <c r="BC143" s="212"/>
      <c r="BD143" s="212"/>
      <c r="BE143" s="212"/>
      <c r="BF143" s="212"/>
      <c r="BG143" s="212"/>
      <c r="BH143" s="212"/>
      <c r="BI143" s="231" t="str">
        <f>HYPERLINK("#자재조서!A76","MZZ9000013 →")</f>
        <v>MZZ9000013 →</v>
      </c>
    </row>
    <row r="144" spans="1:61" ht="24" customHeight="1">
      <c r="A144" s="218" t="s">
        <v>2037</v>
      </c>
      <c r="B144" s="218" t="s">
        <v>1738</v>
      </c>
      <c r="C144" s="229">
        <v>3.13</v>
      </c>
      <c r="D144" s="213" t="s">
        <v>9</v>
      </c>
      <c r="E144" s="217">
        <f>일위목록!E62</f>
        <v>0</v>
      </c>
      <c r="F144" s="217">
        <f t="shared" si="12"/>
        <v>0</v>
      </c>
      <c r="G144" s="217">
        <f>일위목록!F62</f>
        <v>0</v>
      </c>
      <c r="H144" s="217">
        <f>TRUNC(G144*C144,0)</f>
        <v>0</v>
      </c>
      <c r="I144" s="217">
        <f>일위목록!G62</f>
        <v>0</v>
      </c>
      <c r="J144" s="217">
        <f>TRUNC(I144*C144,0)</f>
        <v>0</v>
      </c>
      <c r="K144" s="217">
        <f t="shared" si="13"/>
        <v>0</v>
      </c>
      <c r="L144" s="217">
        <f t="shared" si="11"/>
        <v>0</v>
      </c>
      <c r="M144" s="215" t="s">
        <v>68</v>
      </c>
      <c r="N144" s="212" t="s">
        <v>68</v>
      </c>
      <c r="O144" s="212"/>
      <c r="P144" s="212" t="s">
        <v>1101</v>
      </c>
      <c r="Q144" s="212" t="s">
        <v>68</v>
      </c>
      <c r="R144" s="212" t="s">
        <v>1740</v>
      </c>
      <c r="S144" s="212"/>
      <c r="T144" s="212" t="s">
        <v>1129</v>
      </c>
      <c r="U144" s="212"/>
      <c r="V144" s="212"/>
      <c r="W144" s="212"/>
      <c r="X144" s="212"/>
      <c r="Y144" s="212"/>
      <c r="Z144" s="212"/>
      <c r="AA144" s="212"/>
      <c r="AB144" s="212"/>
      <c r="AC144" s="212"/>
      <c r="AD144" s="212"/>
      <c r="AE144" s="212"/>
      <c r="AF144" s="212"/>
      <c r="AG144" s="212"/>
      <c r="AH144" s="212"/>
      <c r="AI144" s="212"/>
      <c r="AJ144" s="212"/>
      <c r="AK144" s="212"/>
      <c r="AL144" s="212"/>
      <c r="AM144" s="212"/>
      <c r="AN144" s="212"/>
      <c r="AO144" s="212"/>
      <c r="AP144" s="212"/>
      <c r="AQ144" s="212"/>
      <c r="AR144" s="212"/>
      <c r="AS144" s="212"/>
      <c r="AT144" s="212"/>
      <c r="AU144" s="212"/>
      <c r="AV144" s="212"/>
      <c r="AW144" s="212"/>
      <c r="AX144" s="212"/>
      <c r="AY144" s="212"/>
      <c r="AZ144" s="212"/>
      <c r="BA144" s="212"/>
      <c r="BB144" s="212"/>
      <c r="BC144" s="212"/>
      <c r="BD144" s="212"/>
      <c r="BE144" s="212"/>
      <c r="BF144" s="212"/>
      <c r="BG144" s="212"/>
      <c r="BH144" s="212"/>
      <c r="BI144" s="231" t="str">
        <f>HYPERLINK("#일위대가목록!A62","PP10-3-1/9 →")</f>
        <v>PP10-3-1/9 →</v>
      </c>
    </row>
    <row r="145" spans="1:61" ht="24" customHeight="1">
      <c r="A145" s="218" t="s">
        <v>2038</v>
      </c>
      <c r="B145" s="218" t="s">
        <v>1742</v>
      </c>
      <c r="C145" s="228">
        <v>1</v>
      </c>
      <c r="D145" s="213" t="s">
        <v>378</v>
      </c>
      <c r="E145" s="217">
        <f>일위목록!E63</f>
        <v>0</v>
      </c>
      <c r="F145" s="217">
        <f t="shared" si="12"/>
        <v>0</v>
      </c>
      <c r="G145" s="217">
        <f>일위목록!F63</f>
        <v>0</v>
      </c>
      <c r="H145" s="217">
        <f>TRUNC(G145*C145,0)</f>
        <v>0</v>
      </c>
      <c r="I145" s="217">
        <f>일위목록!G63</f>
        <v>0</v>
      </c>
      <c r="J145" s="217">
        <f>TRUNC(I145*C145,0)</f>
        <v>0</v>
      </c>
      <c r="K145" s="217">
        <f t="shared" si="13"/>
        <v>0</v>
      </c>
      <c r="L145" s="217">
        <f t="shared" si="11"/>
        <v>0</v>
      </c>
      <c r="M145" s="215" t="s">
        <v>68</v>
      </c>
      <c r="N145" s="212" t="s">
        <v>68</v>
      </c>
      <c r="O145" s="212"/>
      <c r="P145" s="212" t="s">
        <v>1104</v>
      </c>
      <c r="Q145" s="212" t="s">
        <v>68</v>
      </c>
      <c r="R145" s="212" t="s">
        <v>1743</v>
      </c>
      <c r="S145" s="212"/>
      <c r="T145" s="212" t="s">
        <v>1129</v>
      </c>
      <c r="U145" s="212"/>
      <c r="V145" s="212"/>
      <c r="W145" s="212"/>
      <c r="X145" s="212"/>
      <c r="Y145" s="212"/>
      <c r="Z145" s="212"/>
      <c r="AA145" s="212"/>
      <c r="AB145" s="212"/>
      <c r="AC145" s="212"/>
      <c r="AD145" s="212"/>
      <c r="AE145" s="212"/>
      <c r="AF145" s="212"/>
      <c r="AG145" s="212"/>
      <c r="AH145" s="212"/>
      <c r="AI145" s="212"/>
      <c r="AJ145" s="212"/>
      <c r="AK145" s="212"/>
      <c r="AL145" s="212"/>
      <c r="AM145" s="212"/>
      <c r="AN145" s="212"/>
      <c r="AO145" s="212"/>
      <c r="AP145" s="212"/>
      <c r="AQ145" s="212"/>
      <c r="AR145" s="212"/>
      <c r="AS145" s="212"/>
      <c r="AT145" s="212"/>
      <c r="AU145" s="212"/>
      <c r="AV145" s="212"/>
      <c r="AW145" s="212"/>
      <c r="AX145" s="212"/>
      <c r="AY145" s="212"/>
      <c r="AZ145" s="212"/>
      <c r="BA145" s="212"/>
      <c r="BB145" s="212"/>
      <c r="BC145" s="212"/>
      <c r="BD145" s="212"/>
      <c r="BE145" s="212"/>
      <c r="BF145" s="212"/>
      <c r="BG145" s="212"/>
      <c r="BH145" s="212"/>
      <c r="BI145" s="231" t="str">
        <f>HYPERLINK("#일위대가목록!A63","PP10-1-1/6 →")</f>
        <v>PP10-1-1/6 →</v>
      </c>
    </row>
    <row r="146" spans="1:61" ht="24" customHeight="1">
      <c r="A146" s="218" t="s">
        <v>2039</v>
      </c>
      <c r="B146" s="218" t="s">
        <v>1745</v>
      </c>
      <c r="C146" s="229">
        <v>14.34</v>
      </c>
      <c r="D146" s="213" t="s">
        <v>1033</v>
      </c>
      <c r="E146" s="217">
        <f>일위목록!E64</f>
        <v>0</v>
      </c>
      <c r="F146" s="217">
        <f t="shared" si="12"/>
        <v>0</v>
      </c>
      <c r="G146" s="217">
        <f>일위목록!F64</f>
        <v>0</v>
      </c>
      <c r="H146" s="217">
        <f>TRUNC(G146*C146,0)</f>
        <v>0</v>
      </c>
      <c r="I146" s="217">
        <f>일위목록!G64</f>
        <v>0</v>
      </c>
      <c r="J146" s="217">
        <f>TRUNC(I146*C146,0)</f>
        <v>0</v>
      </c>
      <c r="K146" s="217">
        <f t="shared" si="13"/>
        <v>0</v>
      </c>
      <c r="L146" s="217">
        <f t="shared" si="11"/>
        <v>0</v>
      </c>
      <c r="M146" s="215" t="s">
        <v>1746</v>
      </c>
      <c r="N146" s="212" t="s">
        <v>68</v>
      </c>
      <c r="O146" s="212"/>
      <c r="P146" s="212" t="s">
        <v>1107</v>
      </c>
      <c r="Q146" s="212" t="s">
        <v>68</v>
      </c>
      <c r="R146" s="212" t="s">
        <v>1747</v>
      </c>
      <c r="S146" s="212"/>
      <c r="T146" s="212" t="s">
        <v>1129</v>
      </c>
      <c r="U146" s="212"/>
      <c r="V146" s="212"/>
      <c r="W146" s="212"/>
      <c r="X146" s="212"/>
      <c r="Y146" s="212"/>
      <c r="Z146" s="212"/>
      <c r="AA146" s="212"/>
      <c r="AB146" s="212"/>
      <c r="AC146" s="212"/>
      <c r="AD146" s="212"/>
      <c r="AE146" s="212"/>
      <c r="AF146" s="212"/>
      <c r="AG146" s="212"/>
      <c r="AH146" s="212"/>
      <c r="AI146" s="212"/>
      <c r="AJ146" s="212"/>
      <c r="AK146" s="212"/>
      <c r="AL146" s="212"/>
      <c r="AM146" s="212"/>
      <c r="AN146" s="212"/>
      <c r="AO146" s="212"/>
      <c r="AP146" s="212"/>
      <c r="AQ146" s="212"/>
      <c r="AR146" s="212"/>
      <c r="AS146" s="212"/>
      <c r="AT146" s="212"/>
      <c r="AU146" s="212"/>
      <c r="AV146" s="212"/>
      <c r="AW146" s="212"/>
      <c r="AX146" s="212"/>
      <c r="AY146" s="212"/>
      <c r="AZ146" s="212"/>
      <c r="BA146" s="212"/>
      <c r="BB146" s="212"/>
      <c r="BC146" s="212"/>
      <c r="BD146" s="212"/>
      <c r="BE146" s="212"/>
      <c r="BF146" s="212"/>
      <c r="BG146" s="212"/>
      <c r="BH146" s="212"/>
      <c r="BI146" s="231" t="str">
        <f>HYPERLINK("#일위대가목록!A64","PP10-4-3/1 →")</f>
        <v>PP10-4-3/1 →</v>
      </c>
    </row>
    <row r="147" spans="1:61" ht="24" customHeight="1">
      <c r="A147" s="218" t="s">
        <v>2040</v>
      </c>
      <c r="B147" s="218" t="s">
        <v>68</v>
      </c>
      <c r="C147" s="229">
        <v>14.34</v>
      </c>
      <c r="D147" s="213" t="s">
        <v>1033</v>
      </c>
      <c r="E147" s="217">
        <f>일위목록!E65</f>
        <v>0</v>
      </c>
      <c r="F147" s="217">
        <f t="shared" si="12"/>
        <v>0</v>
      </c>
      <c r="G147" s="217">
        <f>일위목록!F65</f>
        <v>0</v>
      </c>
      <c r="H147" s="217">
        <f>TRUNC(G147*C147,0)</f>
        <v>0</v>
      </c>
      <c r="I147" s="217">
        <f>일위목록!G65</f>
        <v>0</v>
      </c>
      <c r="J147" s="217">
        <f>TRUNC(I147*C147,0)</f>
        <v>0</v>
      </c>
      <c r="K147" s="217">
        <f t="shared" si="13"/>
        <v>0</v>
      </c>
      <c r="L147" s="217">
        <f t="shared" si="11"/>
        <v>0</v>
      </c>
      <c r="M147" s="215" t="s">
        <v>1749</v>
      </c>
      <c r="N147" s="212" t="s">
        <v>68</v>
      </c>
      <c r="O147" s="212"/>
      <c r="P147" s="212" t="s">
        <v>1108</v>
      </c>
      <c r="Q147" s="212" t="s">
        <v>68</v>
      </c>
      <c r="R147" s="212" t="s">
        <v>1750</v>
      </c>
      <c r="S147" s="212"/>
      <c r="T147" s="212" t="s">
        <v>1129</v>
      </c>
      <c r="U147" s="212"/>
      <c r="V147" s="212"/>
      <c r="W147" s="212"/>
      <c r="X147" s="212"/>
      <c r="Y147" s="212"/>
      <c r="Z147" s="212"/>
      <c r="AA147" s="212"/>
      <c r="AB147" s="212"/>
      <c r="AC147" s="212"/>
      <c r="AD147" s="212"/>
      <c r="AE147" s="212"/>
      <c r="AF147" s="212"/>
      <c r="AG147" s="212"/>
      <c r="AH147" s="212"/>
      <c r="AI147" s="212"/>
      <c r="AJ147" s="212"/>
      <c r="AK147" s="212"/>
      <c r="AL147" s="212"/>
      <c r="AM147" s="212"/>
      <c r="AN147" s="212"/>
      <c r="AO147" s="212"/>
      <c r="AP147" s="212"/>
      <c r="AQ147" s="212"/>
      <c r="AR147" s="212"/>
      <c r="AS147" s="212"/>
      <c r="AT147" s="212"/>
      <c r="AU147" s="212"/>
      <c r="AV147" s="212"/>
      <c r="AW147" s="212"/>
      <c r="AX147" s="212"/>
      <c r="AY147" s="212"/>
      <c r="AZ147" s="212"/>
      <c r="BA147" s="212"/>
      <c r="BB147" s="212"/>
      <c r="BC147" s="212"/>
      <c r="BD147" s="212"/>
      <c r="BE147" s="212"/>
      <c r="BF147" s="212"/>
      <c r="BG147" s="212"/>
      <c r="BH147" s="212"/>
      <c r="BI147" s="231" t="str">
        <f>HYPERLINK("#일위대가목록!A65","P9-3-1/1 →")</f>
        <v>P9-3-1/1 →</v>
      </c>
    </row>
    <row r="148" spans="1:61" ht="24" customHeight="1">
      <c r="A148" s="215"/>
      <c r="B148" s="215"/>
      <c r="C148" s="229"/>
      <c r="D148" s="213"/>
      <c r="E148" s="213"/>
      <c r="F148" s="213"/>
      <c r="G148" s="213"/>
      <c r="H148" s="213"/>
      <c r="I148" s="213"/>
      <c r="J148" s="213"/>
      <c r="K148" s="213"/>
      <c r="L148" s="213"/>
      <c r="M148" s="215"/>
      <c r="N148" s="212"/>
      <c r="O148" s="212"/>
      <c r="P148" s="212"/>
      <c r="Q148" s="212"/>
      <c r="R148" s="212"/>
      <c r="S148" s="212"/>
      <c r="T148" s="212"/>
      <c r="U148" s="212"/>
      <c r="V148" s="212"/>
      <c r="W148" s="212"/>
      <c r="X148" s="212"/>
      <c r="Y148" s="212"/>
      <c r="Z148" s="212"/>
      <c r="AA148" s="212"/>
      <c r="AB148" s="212"/>
      <c r="AC148" s="212"/>
      <c r="AD148" s="212"/>
      <c r="AE148" s="212"/>
      <c r="AF148" s="212"/>
      <c r="AG148" s="212"/>
      <c r="AH148" s="212"/>
      <c r="AI148" s="212"/>
      <c r="AJ148" s="212"/>
      <c r="AK148" s="212"/>
      <c r="AL148" s="212"/>
      <c r="AM148" s="212"/>
      <c r="AN148" s="212"/>
      <c r="AO148" s="212"/>
      <c r="AP148" s="212"/>
      <c r="AQ148" s="212"/>
      <c r="AR148" s="212"/>
      <c r="AS148" s="212"/>
      <c r="AT148" s="212"/>
      <c r="AU148" s="212"/>
      <c r="AV148" s="212"/>
      <c r="AW148" s="212"/>
      <c r="AX148" s="212"/>
      <c r="AY148" s="212"/>
      <c r="AZ148" s="212"/>
      <c r="BA148" s="212"/>
      <c r="BB148" s="212"/>
      <c r="BC148" s="212"/>
      <c r="BD148" s="212"/>
      <c r="BE148" s="212"/>
      <c r="BF148" s="212"/>
      <c r="BG148" s="212"/>
      <c r="BH148" s="212"/>
      <c r="BI148" s="212"/>
    </row>
    <row r="149" spans="1:61" ht="24" customHeight="1">
      <c r="A149" s="218" t="s">
        <v>2045</v>
      </c>
      <c r="B149" s="218" t="s">
        <v>1193</v>
      </c>
      <c r="C149" s="228">
        <v>1</v>
      </c>
      <c r="D149" s="213" t="s">
        <v>437</v>
      </c>
      <c r="E149" s="212"/>
      <c r="F149" s="217">
        <f>TRUNC(F150+F151+F152+F153+F154+F155,0)</f>
        <v>0</v>
      </c>
      <c r="G149" s="212"/>
      <c r="H149" s="217">
        <f>TRUNC(H150+H151+H152+H153+H154+H155,0)</f>
        <v>0</v>
      </c>
      <c r="I149" s="212"/>
      <c r="J149" s="217">
        <f>TRUNC(J150+J151+J152+J153+J154+J155,0)</f>
        <v>0</v>
      </c>
      <c r="K149" s="212"/>
      <c r="L149" s="217">
        <f t="shared" ref="L149:L155" si="14">F149+H149+J149</f>
        <v>0</v>
      </c>
      <c r="M149" s="215" t="s">
        <v>445</v>
      </c>
      <c r="N149" s="212" t="s">
        <v>68</v>
      </c>
      <c r="O149" s="212" t="s">
        <v>1194</v>
      </c>
      <c r="P149" s="212"/>
      <c r="Q149" s="212"/>
      <c r="R149" s="212"/>
      <c r="S149" s="212"/>
      <c r="T149" s="212"/>
      <c r="U149" s="212"/>
      <c r="V149" s="212"/>
      <c r="W149" s="212"/>
      <c r="X149" s="212"/>
      <c r="Y149" s="212"/>
      <c r="Z149" s="212"/>
      <c r="AA149" s="212"/>
      <c r="AB149" s="212"/>
      <c r="AC149" s="212"/>
      <c r="AD149" s="212"/>
      <c r="AE149" s="212"/>
      <c r="AF149" s="212"/>
      <c r="AG149" s="212"/>
      <c r="AH149" s="212"/>
      <c r="AI149" s="212"/>
      <c r="AJ149" s="212"/>
      <c r="AK149" s="212"/>
      <c r="AL149" s="212"/>
      <c r="AM149" s="212"/>
      <c r="AN149" s="212"/>
      <c r="AO149" s="212"/>
      <c r="AP149" s="212"/>
      <c r="AQ149" s="212"/>
      <c r="AR149" s="212"/>
      <c r="AS149" s="212"/>
      <c r="AT149" s="212"/>
      <c r="AU149" s="212"/>
      <c r="AV149" s="212"/>
      <c r="AW149" s="212"/>
      <c r="AX149" s="212"/>
      <c r="AY149" s="212"/>
      <c r="AZ149" s="212"/>
      <c r="BA149" s="212"/>
      <c r="BB149" s="212"/>
      <c r="BC149" s="212"/>
      <c r="BD149" s="212"/>
      <c r="BE149" s="212"/>
      <c r="BF149" s="212"/>
      <c r="BG149" s="212"/>
      <c r="BH149" s="212"/>
      <c r="BI149" s="212"/>
    </row>
    <row r="150" spans="1:61" ht="24" customHeight="1">
      <c r="A150" s="218" t="s">
        <v>1190</v>
      </c>
      <c r="B150" s="218" t="s">
        <v>1193</v>
      </c>
      <c r="C150" s="228">
        <v>1</v>
      </c>
      <c r="D150" s="213" t="s">
        <v>437</v>
      </c>
      <c r="E150" s="217">
        <f>자재조서!E67</f>
        <v>0</v>
      </c>
      <c r="F150" s="217">
        <f t="shared" ref="F150:F155" si="15">TRUNC(E150*C150,0)</f>
        <v>0</v>
      </c>
      <c r="G150" s="217">
        <v>0</v>
      </c>
      <c r="H150" s="217"/>
      <c r="I150" s="217">
        <v>0</v>
      </c>
      <c r="J150" s="217"/>
      <c r="K150" s="217">
        <f t="shared" ref="K150:K155" si="16">E150+G150+I150</f>
        <v>0</v>
      </c>
      <c r="L150" s="217">
        <f t="shared" si="14"/>
        <v>0</v>
      </c>
      <c r="M150" s="215" t="s">
        <v>68</v>
      </c>
      <c r="N150" s="212" t="s">
        <v>68</v>
      </c>
      <c r="O150" s="212"/>
      <c r="P150" s="212" t="s">
        <v>1095</v>
      </c>
      <c r="Q150" s="212" t="s">
        <v>68</v>
      </c>
      <c r="R150" s="212" t="s">
        <v>2046</v>
      </c>
      <c r="S150" s="212"/>
      <c r="T150" s="212"/>
      <c r="U150" s="212"/>
      <c r="V150" s="212"/>
      <c r="W150" s="212"/>
      <c r="X150" s="212"/>
      <c r="Y150" s="212"/>
      <c r="Z150" s="212"/>
      <c r="AA150" s="212"/>
      <c r="AB150" s="212"/>
      <c r="AC150" s="212"/>
      <c r="AD150" s="212"/>
      <c r="AE150" s="212"/>
      <c r="AF150" s="212"/>
      <c r="AG150" s="212"/>
      <c r="AH150" s="212"/>
      <c r="AI150" s="212"/>
      <c r="AJ150" s="212"/>
      <c r="AK150" s="212"/>
      <c r="AL150" s="212"/>
      <c r="AM150" s="212"/>
      <c r="AN150" s="212"/>
      <c r="AO150" s="212"/>
      <c r="AP150" s="212"/>
      <c r="AQ150" s="212"/>
      <c r="AR150" s="212"/>
      <c r="AS150" s="212"/>
      <c r="AT150" s="212"/>
      <c r="AU150" s="212"/>
      <c r="AV150" s="212"/>
      <c r="AW150" s="212"/>
      <c r="AX150" s="212"/>
      <c r="AY150" s="212"/>
      <c r="AZ150" s="212"/>
      <c r="BA150" s="212"/>
      <c r="BB150" s="212"/>
      <c r="BC150" s="212"/>
      <c r="BD150" s="212"/>
      <c r="BE150" s="212"/>
      <c r="BF150" s="212"/>
      <c r="BG150" s="212"/>
      <c r="BH150" s="212"/>
      <c r="BI150" s="231" t="str">
        <f>HYPERLINK("#자재조서!A67","MZZ9000004 →")</f>
        <v>MZZ9000004 →</v>
      </c>
    </row>
    <row r="151" spans="1:61" ht="24" customHeight="1">
      <c r="A151" s="218" t="s">
        <v>2034</v>
      </c>
      <c r="B151" s="218" t="s">
        <v>2035</v>
      </c>
      <c r="C151" s="229">
        <v>3.12</v>
      </c>
      <c r="D151" s="213" t="s">
        <v>9</v>
      </c>
      <c r="E151" s="217">
        <f>자재조서!E76</f>
        <v>0</v>
      </c>
      <c r="F151" s="217">
        <f t="shared" si="15"/>
        <v>0</v>
      </c>
      <c r="G151" s="217">
        <v>0</v>
      </c>
      <c r="H151" s="217"/>
      <c r="I151" s="217">
        <v>0</v>
      </c>
      <c r="J151" s="217"/>
      <c r="K151" s="217">
        <f t="shared" si="16"/>
        <v>0</v>
      </c>
      <c r="L151" s="217">
        <f t="shared" si="14"/>
        <v>0</v>
      </c>
      <c r="M151" s="215" t="s">
        <v>68</v>
      </c>
      <c r="N151" s="212" t="s">
        <v>68</v>
      </c>
      <c r="O151" s="212"/>
      <c r="P151" s="212" t="s">
        <v>1098</v>
      </c>
      <c r="Q151" s="212" t="s">
        <v>68</v>
      </c>
      <c r="R151" s="212" t="s">
        <v>2036</v>
      </c>
      <c r="S151" s="212"/>
      <c r="T151" s="212"/>
      <c r="U151" s="212"/>
      <c r="V151" s="212"/>
      <c r="W151" s="212"/>
      <c r="X151" s="212"/>
      <c r="Y151" s="212"/>
      <c r="Z151" s="212"/>
      <c r="AA151" s="212"/>
      <c r="AB151" s="212"/>
      <c r="AC151" s="212"/>
      <c r="AD151" s="212"/>
      <c r="AE151" s="212"/>
      <c r="AF151" s="212"/>
      <c r="AG151" s="212"/>
      <c r="AH151" s="212"/>
      <c r="AI151" s="212"/>
      <c r="AJ151" s="212"/>
      <c r="AK151" s="212"/>
      <c r="AL151" s="212"/>
      <c r="AM151" s="212"/>
      <c r="AN151" s="212"/>
      <c r="AO151" s="212"/>
      <c r="AP151" s="212"/>
      <c r="AQ151" s="212"/>
      <c r="AR151" s="212"/>
      <c r="AS151" s="212"/>
      <c r="AT151" s="212"/>
      <c r="AU151" s="212"/>
      <c r="AV151" s="212"/>
      <c r="AW151" s="212"/>
      <c r="AX151" s="212"/>
      <c r="AY151" s="212"/>
      <c r="AZ151" s="212"/>
      <c r="BA151" s="212"/>
      <c r="BB151" s="212"/>
      <c r="BC151" s="212"/>
      <c r="BD151" s="212"/>
      <c r="BE151" s="212"/>
      <c r="BF151" s="212"/>
      <c r="BG151" s="212"/>
      <c r="BH151" s="212"/>
      <c r="BI151" s="231" t="str">
        <f>HYPERLINK("#자재조서!A76","MZZ9000013 →")</f>
        <v>MZZ9000013 →</v>
      </c>
    </row>
    <row r="152" spans="1:61" ht="24" customHeight="1">
      <c r="A152" s="218" t="s">
        <v>2037</v>
      </c>
      <c r="B152" s="218" t="s">
        <v>1738</v>
      </c>
      <c r="C152" s="229">
        <v>3.12</v>
      </c>
      <c r="D152" s="213" t="s">
        <v>9</v>
      </c>
      <c r="E152" s="217">
        <f>일위목록!E62</f>
        <v>0</v>
      </c>
      <c r="F152" s="217">
        <f t="shared" si="15"/>
        <v>0</v>
      </c>
      <c r="G152" s="217">
        <f>일위목록!F62</f>
        <v>0</v>
      </c>
      <c r="H152" s="217">
        <f>TRUNC(G152*C152,0)</f>
        <v>0</v>
      </c>
      <c r="I152" s="217">
        <f>일위목록!G62</f>
        <v>0</v>
      </c>
      <c r="J152" s="217">
        <f>TRUNC(I152*C152,0)</f>
        <v>0</v>
      </c>
      <c r="K152" s="217">
        <f t="shared" si="16"/>
        <v>0</v>
      </c>
      <c r="L152" s="217">
        <f t="shared" si="14"/>
        <v>0</v>
      </c>
      <c r="M152" s="215" t="s">
        <v>68</v>
      </c>
      <c r="N152" s="212" t="s">
        <v>68</v>
      </c>
      <c r="O152" s="212"/>
      <c r="P152" s="212" t="s">
        <v>1101</v>
      </c>
      <c r="Q152" s="212" t="s">
        <v>68</v>
      </c>
      <c r="R152" s="212" t="s">
        <v>1740</v>
      </c>
      <c r="S152" s="212"/>
      <c r="T152" s="212" t="s">
        <v>1129</v>
      </c>
      <c r="U152" s="212"/>
      <c r="V152" s="212"/>
      <c r="W152" s="212"/>
      <c r="X152" s="212"/>
      <c r="Y152" s="212"/>
      <c r="Z152" s="212"/>
      <c r="AA152" s="212"/>
      <c r="AB152" s="212"/>
      <c r="AC152" s="212"/>
      <c r="AD152" s="212"/>
      <c r="AE152" s="212"/>
      <c r="AF152" s="212"/>
      <c r="AG152" s="212"/>
      <c r="AH152" s="212"/>
      <c r="AI152" s="212"/>
      <c r="AJ152" s="212"/>
      <c r="AK152" s="212"/>
      <c r="AL152" s="212"/>
      <c r="AM152" s="212"/>
      <c r="AN152" s="212"/>
      <c r="AO152" s="212"/>
      <c r="AP152" s="212"/>
      <c r="AQ152" s="212"/>
      <c r="AR152" s="212"/>
      <c r="AS152" s="212"/>
      <c r="AT152" s="212"/>
      <c r="AU152" s="212"/>
      <c r="AV152" s="212"/>
      <c r="AW152" s="212"/>
      <c r="AX152" s="212"/>
      <c r="AY152" s="212"/>
      <c r="AZ152" s="212"/>
      <c r="BA152" s="212"/>
      <c r="BB152" s="212"/>
      <c r="BC152" s="212"/>
      <c r="BD152" s="212"/>
      <c r="BE152" s="212"/>
      <c r="BF152" s="212"/>
      <c r="BG152" s="212"/>
      <c r="BH152" s="212"/>
      <c r="BI152" s="231" t="str">
        <f>HYPERLINK("#일위대가목록!A62","PP10-3-1/9 →")</f>
        <v>PP10-3-1/9 →</v>
      </c>
    </row>
    <row r="153" spans="1:61" ht="24" customHeight="1">
      <c r="A153" s="218" t="s">
        <v>2038</v>
      </c>
      <c r="B153" s="218" t="s">
        <v>1742</v>
      </c>
      <c r="C153" s="228">
        <v>1</v>
      </c>
      <c r="D153" s="213" t="s">
        <v>378</v>
      </c>
      <c r="E153" s="217">
        <f>일위목록!E63</f>
        <v>0</v>
      </c>
      <c r="F153" s="217">
        <f t="shared" si="15"/>
        <v>0</v>
      </c>
      <c r="G153" s="217">
        <f>일위목록!F63</f>
        <v>0</v>
      </c>
      <c r="H153" s="217">
        <f>TRUNC(G153*C153,0)</f>
        <v>0</v>
      </c>
      <c r="I153" s="217">
        <f>일위목록!G63</f>
        <v>0</v>
      </c>
      <c r="J153" s="217">
        <f>TRUNC(I153*C153,0)</f>
        <v>0</v>
      </c>
      <c r="K153" s="217">
        <f t="shared" si="16"/>
        <v>0</v>
      </c>
      <c r="L153" s="217">
        <f t="shared" si="14"/>
        <v>0</v>
      </c>
      <c r="M153" s="215" t="s">
        <v>68</v>
      </c>
      <c r="N153" s="212" t="s">
        <v>68</v>
      </c>
      <c r="O153" s="212"/>
      <c r="P153" s="212" t="s">
        <v>1104</v>
      </c>
      <c r="Q153" s="212" t="s">
        <v>68</v>
      </c>
      <c r="R153" s="212" t="s">
        <v>1743</v>
      </c>
      <c r="S153" s="212"/>
      <c r="T153" s="212" t="s">
        <v>1129</v>
      </c>
      <c r="U153" s="212"/>
      <c r="V153" s="212"/>
      <c r="W153" s="212"/>
      <c r="X153" s="212"/>
      <c r="Y153" s="212"/>
      <c r="Z153" s="212"/>
      <c r="AA153" s="212"/>
      <c r="AB153" s="212"/>
      <c r="AC153" s="212"/>
      <c r="AD153" s="212"/>
      <c r="AE153" s="212"/>
      <c r="AF153" s="212"/>
      <c r="AG153" s="212"/>
      <c r="AH153" s="212"/>
      <c r="AI153" s="212"/>
      <c r="AJ153" s="212"/>
      <c r="AK153" s="212"/>
      <c r="AL153" s="212"/>
      <c r="AM153" s="212"/>
      <c r="AN153" s="212"/>
      <c r="AO153" s="212"/>
      <c r="AP153" s="212"/>
      <c r="AQ153" s="212"/>
      <c r="AR153" s="212"/>
      <c r="AS153" s="212"/>
      <c r="AT153" s="212"/>
      <c r="AU153" s="212"/>
      <c r="AV153" s="212"/>
      <c r="AW153" s="212"/>
      <c r="AX153" s="212"/>
      <c r="AY153" s="212"/>
      <c r="AZ153" s="212"/>
      <c r="BA153" s="212"/>
      <c r="BB153" s="212"/>
      <c r="BC153" s="212"/>
      <c r="BD153" s="212"/>
      <c r="BE153" s="212"/>
      <c r="BF153" s="212"/>
      <c r="BG153" s="212"/>
      <c r="BH153" s="212"/>
      <c r="BI153" s="231" t="str">
        <f>HYPERLINK("#일위대가목록!A63","PP10-1-1/6 →")</f>
        <v>PP10-1-1/6 →</v>
      </c>
    </row>
    <row r="154" spans="1:61" ht="24" customHeight="1">
      <c r="A154" s="218" t="s">
        <v>2039</v>
      </c>
      <c r="B154" s="218" t="s">
        <v>1745</v>
      </c>
      <c r="C154" s="229">
        <v>14.32</v>
      </c>
      <c r="D154" s="213" t="s">
        <v>1033</v>
      </c>
      <c r="E154" s="217">
        <f>일위목록!E64</f>
        <v>0</v>
      </c>
      <c r="F154" s="217">
        <f t="shared" si="15"/>
        <v>0</v>
      </c>
      <c r="G154" s="217">
        <f>일위목록!F64</f>
        <v>0</v>
      </c>
      <c r="H154" s="217">
        <f>TRUNC(G154*C154,0)</f>
        <v>0</v>
      </c>
      <c r="I154" s="217">
        <f>일위목록!G64</f>
        <v>0</v>
      </c>
      <c r="J154" s="217">
        <f>TRUNC(I154*C154,0)</f>
        <v>0</v>
      </c>
      <c r="K154" s="217">
        <f t="shared" si="16"/>
        <v>0</v>
      </c>
      <c r="L154" s="217">
        <f t="shared" si="14"/>
        <v>0</v>
      </c>
      <c r="M154" s="215" t="s">
        <v>1746</v>
      </c>
      <c r="N154" s="212" t="s">
        <v>68</v>
      </c>
      <c r="O154" s="212"/>
      <c r="P154" s="212" t="s">
        <v>1107</v>
      </c>
      <c r="Q154" s="212" t="s">
        <v>68</v>
      </c>
      <c r="R154" s="212" t="s">
        <v>1747</v>
      </c>
      <c r="S154" s="212"/>
      <c r="T154" s="212" t="s">
        <v>1129</v>
      </c>
      <c r="U154" s="212"/>
      <c r="V154" s="212"/>
      <c r="W154" s="212"/>
      <c r="X154" s="212"/>
      <c r="Y154" s="212"/>
      <c r="Z154" s="212"/>
      <c r="AA154" s="212"/>
      <c r="AB154" s="212"/>
      <c r="AC154" s="212"/>
      <c r="AD154" s="212"/>
      <c r="AE154" s="212"/>
      <c r="AF154" s="212"/>
      <c r="AG154" s="212"/>
      <c r="AH154" s="212"/>
      <c r="AI154" s="212"/>
      <c r="AJ154" s="212"/>
      <c r="AK154" s="212"/>
      <c r="AL154" s="212"/>
      <c r="AM154" s="212"/>
      <c r="AN154" s="212"/>
      <c r="AO154" s="212"/>
      <c r="AP154" s="212"/>
      <c r="AQ154" s="212"/>
      <c r="AR154" s="212"/>
      <c r="AS154" s="212"/>
      <c r="AT154" s="212"/>
      <c r="AU154" s="212"/>
      <c r="AV154" s="212"/>
      <c r="AW154" s="212"/>
      <c r="AX154" s="212"/>
      <c r="AY154" s="212"/>
      <c r="AZ154" s="212"/>
      <c r="BA154" s="212"/>
      <c r="BB154" s="212"/>
      <c r="BC154" s="212"/>
      <c r="BD154" s="212"/>
      <c r="BE154" s="212"/>
      <c r="BF154" s="212"/>
      <c r="BG154" s="212"/>
      <c r="BH154" s="212"/>
      <c r="BI154" s="231" t="str">
        <f>HYPERLINK("#일위대가목록!A64","PP10-4-3/1 →")</f>
        <v>PP10-4-3/1 →</v>
      </c>
    </row>
    <row r="155" spans="1:61" ht="24" customHeight="1">
      <c r="A155" s="218" t="s">
        <v>2040</v>
      </c>
      <c r="B155" s="218" t="s">
        <v>68</v>
      </c>
      <c r="C155" s="229">
        <v>14.32</v>
      </c>
      <c r="D155" s="213" t="s">
        <v>1033</v>
      </c>
      <c r="E155" s="217">
        <f>일위목록!E65</f>
        <v>0</v>
      </c>
      <c r="F155" s="217">
        <f t="shared" si="15"/>
        <v>0</v>
      </c>
      <c r="G155" s="217">
        <f>일위목록!F65</f>
        <v>0</v>
      </c>
      <c r="H155" s="217">
        <f>TRUNC(G155*C155,0)</f>
        <v>0</v>
      </c>
      <c r="I155" s="217">
        <f>일위목록!G65</f>
        <v>0</v>
      </c>
      <c r="J155" s="217">
        <f>TRUNC(I155*C155,0)</f>
        <v>0</v>
      </c>
      <c r="K155" s="217">
        <f t="shared" si="16"/>
        <v>0</v>
      </c>
      <c r="L155" s="217">
        <f t="shared" si="14"/>
        <v>0</v>
      </c>
      <c r="M155" s="215" t="s">
        <v>1749</v>
      </c>
      <c r="N155" s="212" t="s">
        <v>68</v>
      </c>
      <c r="O155" s="212"/>
      <c r="P155" s="212" t="s">
        <v>1108</v>
      </c>
      <c r="Q155" s="212" t="s">
        <v>68</v>
      </c>
      <c r="R155" s="212" t="s">
        <v>1750</v>
      </c>
      <c r="S155" s="212"/>
      <c r="T155" s="212" t="s">
        <v>1129</v>
      </c>
      <c r="U155" s="212"/>
      <c r="V155" s="212"/>
      <c r="W155" s="212"/>
      <c r="X155" s="212"/>
      <c r="Y155" s="212"/>
      <c r="Z155" s="212"/>
      <c r="AA155" s="212"/>
      <c r="AB155" s="212"/>
      <c r="AC155" s="212"/>
      <c r="AD155" s="212"/>
      <c r="AE155" s="212"/>
      <c r="AF155" s="212"/>
      <c r="AG155" s="212"/>
      <c r="AH155" s="212"/>
      <c r="AI155" s="212"/>
      <c r="AJ155" s="212"/>
      <c r="AK155" s="212"/>
      <c r="AL155" s="212"/>
      <c r="AM155" s="212"/>
      <c r="AN155" s="212"/>
      <c r="AO155" s="212"/>
      <c r="AP155" s="212"/>
      <c r="AQ155" s="212"/>
      <c r="AR155" s="212"/>
      <c r="AS155" s="212"/>
      <c r="AT155" s="212"/>
      <c r="AU155" s="212"/>
      <c r="AV155" s="212"/>
      <c r="AW155" s="212"/>
      <c r="AX155" s="212"/>
      <c r="AY155" s="212"/>
      <c r="AZ155" s="212"/>
      <c r="BA155" s="212"/>
      <c r="BB155" s="212"/>
      <c r="BC155" s="212"/>
      <c r="BD155" s="212"/>
      <c r="BE155" s="212"/>
      <c r="BF155" s="212"/>
      <c r="BG155" s="212"/>
      <c r="BH155" s="212"/>
      <c r="BI155" s="231" t="str">
        <f>HYPERLINK("#일위대가목록!A65","P9-3-1/1 →")</f>
        <v>P9-3-1/1 →</v>
      </c>
    </row>
    <row r="156" spans="1:61" ht="24" customHeight="1">
      <c r="A156" s="215"/>
      <c r="B156" s="215"/>
      <c r="C156" s="229"/>
      <c r="D156" s="213"/>
      <c r="E156" s="213"/>
      <c r="F156" s="213"/>
      <c r="G156" s="213"/>
      <c r="H156" s="213"/>
      <c r="I156" s="213"/>
      <c r="J156" s="213"/>
      <c r="K156" s="213"/>
      <c r="L156" s="213"/>
      <c r="M156" s="215"/>
      <c r="N156" s="212"/>
      <c r="O156" s="212"/>
      <c r="P156" s="212"/>
      <c r="Q156" s="212"/>
      <c r="R156" s="212"/>
      <c r="S156" s="212"/>
      <c r="T156" s="212"/>
      <c r="U156" s="212"/>
      <c r="V156" s="212"/>
      <c r="W156" s="212"/>
      <c r="X156" s="212"/>
      <c r="Y156" s="212"/>
      <c r="Z156" s="212"/>
      <c r="AA156" s="212"/>
      <c r="AB156" s="212"/>
      <c r="AC156" s="212"/>
      <c r="AD156" s="212"/>
      <c r="AE156" s="212"/>
      <c r="AF156" s="212"/>
      <c r="AG156" s="212"/>
      <c r="AH156" s="212"/>
      <c r="AI156" s="212"/>
      <c r="AJ156" s="212"/>
      <c r="AK156" s="212"/>
      <c r="AL156" s="212"/>
      <c r="AM156" s="212"/>
      <c r="AN156" s="212"/>
      <c r="AO156" s="212"/>
      <c r="AP156" s="212"/>
      <c r="AQ156" s="212"/>
      <c r="AR156" s="212"/>
      <c r="AS156" s="212"/>
      <c r="AT156" s="212"/>
      <c r="AU156" s="212"/>
      <c r="AV156" s="212"/>
      <c r="AW156" s="212"/>
      <c r="AX156" s="212"/>
      <c r="AY156" s="212"/>
      <c r="AZ156" s="212"/>
      <c r="BA156" s="212"/>
      <c r="BB156" s="212"/>
      <c r="BC156" s="212"/>
      <c r="BD156" s="212"/>
      <c r="BE156" s="212"/>
      <c r="BF156" s="212"/>
      <c r="BG156" s="212"/>
      <c r="BH156" s="212"/>
      <c r="BI156" s="212"/>
    </row>
    <row r="157" spans="1:61" ht="24" customHeight="1">
      <c r="A157" s="218" t="s">
        <v>2047</v>
      </c>
      <c r="B157" s="218" t="s">
        <v>1195</v>
      </c>
      <c r="C157" s="228">
        <v>1</v>
      </c>
      <c r="D157" s="213" t="s">
        <v>437</v>
      </c>
      <c r="E157" s="212"/>
      <c r="F157" s="217">
        <f>TRUNC(F158+F159+F160+F161+F162+F163,0)</f>
        <v>0</v>
      </c>
      <c r="G157" s="212"/>
      <c r="H157" s="217">
        <f>TRUNC(H158+H159+H160+H161+H162+H163,0)</f>
        <v>0</v>
      </c>
      <c r="I157" s="212"/>
      <c r="J157" s="217">
        <f>TRUNC(J158+J159+J160+J161+J162+J163,0)</f>
        <v>0</v>
      </c>
      <c r="K157" s="212"/>
      <c r="L157" s="217">
        <f t="shared" ref="L157:L163" si="17">F157+H157+J157</f>
        <v>0</v>
      </c>
      <c r="M157" s="215" t="s">
        <v>446</v>
      </c>
      <c r="N157" s="212" t="s">
        <v>68</v>
      </c>
      <c r="O157" s="212" t="s">
        <v>1196</v>
      </c>
      <c r="P157" s="212"/>
      <c r="Q157" s="212"/>
      <c r="R157" s="212"/>
      <c r="S157" s="212"/>
      <c r="T157" s="212"/>
      <c r="U157" s="212"/>
      <c r="V157" s="212"/>
      <c r="W157" s="212"/>
      <c r="X157" s="212"/>
      <c r="Y157" s="212"/>
      <c r="Z157" s="212"/>
      <c r="AA157" s="212"/>
      <c r="AB157" s="212"/>
      <c r="AC157" s="212"/>
      <c r="AD157" s="212"/>
      <c r="AE157" s="212"/>
      <c r="AF157" s="212"/>
      <c r="AG157" s="212"/>
      <c r="AH157" s="212"/>
      <c r="AI157" s="212"/>
      <c r="AJ157" s="212"/>
      <c r="AK157" s="212"/>
      <c r="AL157" s="212"/>
      <c r="AM157" s="212"/>
      <c r="AN157" s="212"/>
      <c r="AO157" s="212"/>
      <c r="AP157" s="212"/>
      <c r="AQ157" s="212"/>
      <c r="AR157" s="212"/>
      <c r="AS157" s="212"/>
      <c r="AT157" s="212"/>
      <c r="AU157" s="212"/>
      <c r="AV157" s="212"/>
      <c r="AW157" s="212"/>
      <c r="AX157" s="212"/>
      <c r="AY157" s="212"/>
      <c r="AZ157" s="212"/>
      <c r="BA157" s="212"/>
      <c r="BB157" s="212"/>
      <c r="BC157" s="212"/>
      <c r="BD157" s="212"/>
      <c r="BE157" s="212"/>
      <c r="BF157" s="212"/>
      <c r="BG157" s="212"/>
      <c r="BH157" s="212"/>
      <c r="BI157" s="212"/>
    </row>
    <row r="158" spans="1:61" ht="24" customHeight="1">
      <c r="A158" s="218" t="s">
        <v>1190</v>
      </c>
      <c r="B158" s="218" t="s">
        <v>1195</v>
      </c>
      <c r="C158" s="228">
        <v>1</v>
      </c>
      <c r="D158" s="213" t="s">
        <v>437</v>
      </c>
      <c r="E158" s="217">
        <f>자재조서!E68</f>
        <v>0</v>
      </c>
      <c r="F158" s="217">
        <f t="shared" ref="F158:F163" si="18">TRUNC(E158*C158,0)</f>
        <v>0</v>
      </c>
      <c r="G158" s="217">
        <v>0</v>
      </c>
      <c r="H158" s="217"/>
      <c r="I158" s="217">
        <v>0</v>
      </c>
      <c r="J158" s="217"/>
      <c r="K158" s="217">
        <f t="shared" ref="K158:K163" si="19">E158+G158+I158</f>
        <v>0</v>
      </c>
      <c r="L158" s="217">
        <f t="shared" si="17"/>
        <v>0</v>
      </c>
      <c r="M158" s="215" t="s">
        <v>68</v>
      </c>
      <c r="N158" s="212" t="s">
        <v>68</v>
      </c>
      <c r="O158" s="212"/>
      <c r="P158" s="212" t="s">
        <v>1095</v>
      </c>
      <c r="Q158" s="212" t="s">
        <v>68</v>
      </c>
      <c r="R158" s="212" t="s">
        <v>2048</v>
      </c>
      <c r="S158" s="212"/>
      <c r="T158" s="212"/>
      <c r="U158" s="212"/>
      <c r="V158" s="212"/>
      <c r="W158" s="212"/>
      <c r="X158" s="212"/>
      <c r="Y158" s="212"/>
      <c r="Z158" s="212"/>
      <c r="AA158" s="212"/>
      <c r="AB158" s="212"/>
      <c r="AC158" s="212"/>
      <c r="AD158" s="212"/>
      <c r="AE158" s="212"/>
      <c r="AF158" s="212"/>
      <c r="AG158" s="212"/>
      <c r="AH158" s="212"/>
      <c r="AI158" s="212"/>
      <c r="AJ158" s="212"/>
      <c r="AK158" s="212"/>
      <c r="AL158" s="212"/>
      <c r="AM158" s="212"/>
      <c r="AN158" s="212"/>
      <c r="AO158" s="212"/>
      <c r="AP158" s="212"/>
      <c r="AQ158" s="212"/>
      <c r="AR158" s="212"/>
      <c r="AS158" s="212"/>
      <c r="AT158" s="212"/>
      <c r="AU158" s="212"/>
      <c r="AV158" s="212"/>
      <c r="AW158" s="212"/>
      <c r="AX158" s="212"/>
      <c r="AY158" s="212"/>
      <c r="AZ158" s="212"/>
      <c r="BA158" s="212"/>
      <c r="BB158" s="212"/>
      <c r="BC158" s="212"/>
      <c r="BD158" s="212"/>
      <c r="BE158" s="212"/>
      <c r="BF158" s="212"/>
      <c r="BG158" s="212"/>
      <c r="BH158" s="212"/>
      <c r="BI158" s="231" t="str">
        <f>HYPERLINK("#자재조서!A68","MZZ9000005 →")</f>
        <v>MZZ9000005 →</v>
      </c>
    </row>
    <row r="159" spans="1:61" ht="24" customHeight="1">
      <c r="A159" s="218" t="s">
        <v>2034</v>
      </c>
      <c r="B159" s="218" t="s">
        <v>2035</v>
      </c>
      <c r="C159" s="229">
        <v>3.1</v>
      </c>
      <c r="D159" s="213" t="s">
        <v>9</v>
      </c>
      <c r="E159" s="217">
        <f>자재조서!E76</f>
        <v>0</v>
      </c>
      <c r="F159" s="217">
        <f t="shared" si="18"/>
        <v>0</v>
      </c>
      <c r="G159" s="217">
        <v>0</v>
      </c>
      <c r="H159" s="217"/>
      <c r="I159" s="217">
        <v>0</v>
      </c>
      <c r="J159" s="217"/>
      <c r="K159" s="217">
        <f t="shared" si="19"/>
        <v>0</v>
      </c>
      <c r="L159" s="217">
        <f t="shared" si="17"/>
        <v>0</v>
      </c>
      <c r="M159" s="215" t="s">
        <v>68</v>
      </c>
      <c r="N159" s="212" t="s">
        <v>68</v>
      </c>
      <c r="O159" s="212"/>
      <c r="P159" s="212" t="s">
        <v>1098</v>
      </c>
      <c r="Q159" s="212" t="s">
        <v>68</v>
      </c>
      <c r="R159" s="212" t="s">
        <v>2036</v>
      </c>
      <c r="S159" s="212"/>
      <c r="T159" s="212"/>
      <c r="U159" s="212"/>
      <c r="V159" s="212"/>
      <c r="W159" s="212"/>
      <c r="X159" s="212"/>
      <c r="Y159" s="212"/>
      <c r="Z159" s="212"/>
      <c r="AA159" s="212"/>
      <c r="AB159" s="212"/>
      <c r="AC159" s="212"/>
      <c r="AD159" s="212"/>
      <c r="AE159" s="212"/>
      <c r="AF159" s="212"/>
      <c r="AG159" s="212"/>
      <c r="AH159" s="212"/>
      <c r="AI159" s="212"/>
      <c r="AJ159" s="212"/>
      <c r="AK159" s="212"/>
      <c r="AL159" s="212"/>
      <c r="AM159" s="212"/>
      <c r="AN159" s="212"/>
      <c r="AO159" s="212"/>
      <c r="AP159" s="212"/>
      <c r="AQ159" s="212"/>
      <c r="AR159" s="212"/>
      <c r="AS159" s="212"/>
      <c r="AT159" s="212"/>
      <c r="AU159" s="212"/>
      <c r="AV159" s="212"/>
      <c r="AW159" s="212"/>
      <c r="AX159" s="212"/>
      <c r="AY159" s="212"/>
      <c r="AZ159" s="212"/>
      <c r="BA159" s="212"/>
      <c r="BB159" s="212"/>
      <c r="BC159" s="212"/>
      <c r="BD159" s="212"/>
      <c r="BE159" s="212"/>
      <c r="BF159" s="212"/>
      <c r="BG159" s="212"/>
      <c r="BH159" s="212"/>
      <c r="BI159" s="231" t="str">
        <f>HYPERLINK("#자재조서!A76","MZZ9000013 →")</f>
        <v>MZZ9000013 →</v>
      </c>
    </row>
    <row r="160" spans="1:61" ht="24" customHeight="1">
      <c r="A160" s="218" t="s">
        <v>2037</v>
      </c>
      <c r="B160" s="218" t="s">
        <v>1738</v>
      </c>
      <c r="C160" s="229">
        <v>3.1</v>
      </c>
      <c r="D160" s="213" t="s">
        <v>9</v>
      </c>
      <c r="E160" s="217">
        <f>일위목록!E62</f>
        <v>0</v>
      </c>
      <c r="F160" s="217">
        <f t="shared" si="18"/>
        <v>0</v>
      </c>
      <c r="G160" s="217">
        <f>일위목록!F62</f>
        <v>0</v>
      </c>
      <c r="H160" s="217">
        <f>TRUNC(G160*C160,0)</f>
        <v>0</v>
      </c>
      <c r="I160" s="217">
        <f>일위목록!G62</f>
        <v>0</v>
      </c>
      <c r="J160" s="217">
        <f>TRUNC(I160*C160,0)</f>
        <v>0</v>
      </c>
      <c r="K160" s="217">
        <f t="shared" si="19"/>
        <v>0</v>
      </c>
      <c r="L160" s="217">
        <f t="shared" si="17"/>
        <v>0</v>
      </c>
      <c r="M160" s="215" t="s">
        <v>68</v>
      </c>
      <c r="N160" s="212" t="s">
        <v>68</v>
      </c>
      <c r="O160" s="212"/>
      <c r="P160" s="212" t="s">
        <v>1101</v>
      </c>
      <c r="Q160" s="212" t="s">
        <v>68</v>
      </c>
      <c r="R160" s="212" t="s">
        <v>1740</v>
      </c>
      <c r="S160" s="212"/>
      <c r="T160" s="212" t="s">
        <v>1129</v>
      </c>
      <c r="U160" s="212"/>
      <c r="V160" s="212"/>
      <c r="W160" s="212"/>
      <c r="X160" s="212"/>
      <c r="Y160" s="212"/>
      <c r="Z160" s="212"/>
      <c r="AA160" s="212"/>
      <c r="AB160" s="212"/>
      <c r="AC160" s="212"/>
      <c r="AD160" s="212"/>
      <c r="AE160" s="212"/>
      <c r="AF160" s="212"/>
      <c r="AG160" s="212"/>
      <c r="AH160" s="212"/>
      <c r="AI160" s="212"/>
      <c r="AJ160" s="212"/>
      <c r="AK160" s="212"/>
      <c r="AL160" s="212"/>
      <c r="AM160" s="212"/>
      <c r="AN160" s="212"/>
      <c r="AO160" s="212"/>
      <c r="AP160" s="212"/>
      <c r="AQ160" s="212"/>
      <c r="AR160" s="212"/>
      <c r="AS160" s="212"/>
      <c r="AT160" s="212"/>
      <c r="AU160" s="212"/>
      <c r="AV160" s="212"/>
      <c r="AW160" s="212"/>
      <c r="AX160" s="212"/>
      <c r="AY160" s="212"/>
      <c r="AZ160" s="212"/>
      <c r="BA160" s="212"/>
      <c r="BB160" s="212"/>
      <c r="BC160" s="212"/>
      <c r="BD160" s="212"/>
      <c r="BE160" s="212"/>
      <c r="BF160" s="212"/>
      <c r="BG160" s="212"/>
      <c r="BH160" s="212"/>
      <c r="BI160" s="231" t="str">
        <f>HYPERLINK("#일위대가목록!A62","PP10-3-1/9 →")</f>
        <v>PP10-3-1/9 →</v>
      </c>
    </row>
    <row r="161" spans="1:61" ht="24" customHeight="1">
      <c r="A161" s="218" t="s">
        <v>2038</v>
      </c>
      <c r="B161" s="218" t="s">
        <v>1742</v>
      </c>
      <c r="C161" s="228">
        <v>1</v>
      </c>
      <c r="D161" s="213" t="s">
        <v>378</v>
      </c>
      <c r="E161" s="217">
        <f>일위목록!E63</f>
        <v>0</v>
      </c>
      <c r="F161" s="217">
        <f t="shared" si="18"/>
        <v>0</v>
      </c>
      <c r="G161" s="217">
        <f>일위목록!F63</f>
        <v>0</v>
      </c>
      <c r="H161" s="217">
        <f>TRUNC(G161*C161,0)</f>
        <v>0</v>
      </c>
      <c r="I161" s="217">
        <f>일위목록!G63</f>
        <v>0</v>
      </c>
      <c r="J161" s="217">
        <f>TRUNC(I161*C161,0)</f>
        <v>0</v>
      </c>
      <c r="K161" s="217">
        <f t="shared" si="19"/>
        <v>0</v>
      </c>
      <c r="L161" s="217">
        <f t="shared" si="17"/>
        <v>0</v>
      </c>
      <c r="M161" s="215" t="s">
        <v>68</v>
      </c>
      <c r="N161" s="212" t="s">
        <v>68</v>
      </c>
      <c r="O161" s="212"/>
      <c r="P161" s="212" t="s">
        <v>1104</v>
      </c>
      <c r="Q161" s="212" t="s">
        <v>68</v>
      </c>
      <c r="R161" s="212" t="s">
        <v>1743</v>
      </c>
      <c r="S161" s="212"/>
      <c r="T161" s="212" t="s">
        <v>1129</v>
      </c>
      <c r="U161" s="212"/>
      <c r="V161" s="212"/>
      <c r="W161" s="212"/>
      <c r="X161" s="212"/>
      <c r="Y161" s="212"/>
      <c r="Z161" s="212"/>
      <c r="AA161" s="212"/>
      <c r="AB161" s="212"/>
      <c r="AC161" s="212"/>
      <c r="AD161" s="212"/>
      <c r="AE161" s="212"/>
      <c r="AF161" s="212"/>
      <c r="AG161" s="212"/>
      <c r="AH161" s="212"/>
      <c r="AI161" s="212"/>
      <c r="AJ161" s="212"/>
      <c r="AK161" s="212"/>
      <c r="AL161" s="212"/>
      <c r="AM161" s="212"/>
      <c r="AN161" s="212"/>
      <c r="AO161" s="212"/>
      <c r="AP161" s="212"/>
      <c r="AQ161" s="212"/>
      <c r="AR161" s="212"/>
      <c r="AS161" s="212"/>
      <c r="AT161" s="212"/>
      <c r="AU161" s="212"/>
      <c r="AV161" s="212"/>
      <c r="AW161" s="212"/>
      <c r="AX161" s="212"/>
      <c r="AY161" s="212"/>
      <c r="AZ161" s="212"/>
      <c r="BA161" s="212"/>
      <c r="BB161" s="212"/>
      <c r="BC161" s="212"/>
      <c r="BD161" s="212"/>
      <c r="BE161" s="212"/>
      <c r="BF161" s="212"/>
      <c r="BG161" s="212"/>
      <c r="BH161" s="212"/>
      <c r="BI161" s="231" t="str">
        <f>HYPERLINK("#일위대가목록!A63","PP10-1-1/6 →")</f>
        <v>PP10-1-1/6 →</v>
      </c>
    </row>
    <row r="162" spans="1:61" ht="24" customHeight="1">
      <c r="A162" s="218" t="s">
        <v>2039</v>
      </c>
      <c r="B162" s="218" t="s">
        <v>1745</v>
      </c>
      <c r="C162" s="229">
        <v>14.28</v>
      </c>
      <c r="D162" s="213" t="s">
        <v>1033</v>
      </c>
      <c r="E162" s="217">
        <f>일위목록!E64</f>
        <v>0</v>
      </c>
      <c r="F162" s="217">
        <f t="shared" si="18"/>
        <v>0</v>
      </c>
      <c r="G162" s="217">
        <f>일위목록!F64</f>
        <v>0</v>
      </c>
      <c r="H162" s="217">
        <f>TRUNC(G162*C162,0)</f>
        <v>0</v>
      </c>
      <c r="I162" s="217">
        <f>일위목록!G64</f>
        <v>0</v>
      </c>
      <c r="J162" s="217">
        <f>TRUNC(I162*C162,0)</f>
        <v>0</v>
      </c>
      <c r="K162" s="217">
        <f t="shared" si="19"/>
        <v>0</v>
      </c>
      <c r="L162" s="217">
        <f t="shared" si="17"/>
        <v>0</v>
      </c>
      <c r="M162" s="215" t="s">
        <v>1746</v>
      </c>
      <c r="N162" s="212" t="s">
        <v>68</v>
      </c>
      <c r="O162" s="212"/>
      <c r="P162" s="212" t="s">
        <v>1107</v>
      </c>
      <c r="Q162" s="212" t="s">
        <v>68</v>
      </c>
      <c r="R162" s="212" t="s">
        <v>1747</v>
      </c>
      <c r="S162" s="212"/>
      <c r="T162" s="212" t="s">
        <v>1129</v>
      </c>
      <c r="U162" s="212"/>
      <c r="V162" s="212"/>
      <c r="W162" s="212"/>
      <c r="X162" s="212"/>
      <c r="Y162" s="212"/>
      <c r="Z162" s="212"/>
      <c r="AA162" s="212"/>
      <c r="AB162" s="212"/>
      <c r="AC162" s="212"/>
      <c r="AD162" s="212"/>
      <c r="AE162" s="212"/>
      <c r="AF162" s="212"/>
      <c r="AG162" s="212"/>
      <c r="AH162" s="212"/>
      <c r="AI162" s="212"/>
      <c r="AJ162" s="212"/>
      <c r="AK162" s="212"/>
      <c r="AL162" s="212"/>
      <c r="AM162" s="212"/>
      <c r="AN162" s="212"/>
      <c r="AO162" s="212"/>
      <c r="AP162" s="212"/>
      <c r="AQ162" s="212"/>
      <c r="AR162" s="212"/>
      <c r="AS162" s="212"/>
      <c r="AT162" s="212"/>
      <c r="AU162" s="212"/>
      <c r="AV162" s="212"/>
      <c r="AW162" s="212"/>
      <c r="AX162" s="212"/>
      <c r="AY162" s="212"/>
      <c r="AZ162" s="212"/>
      <c r="BA162" s="212"/>
      <c r="BB162" s="212"/>
      <c r="BC162" s="212"/>
      <c r="BD162" s="212"/>
      <c r="BE162" s="212"/>
      <c r="BF162" s="212"/>
      <c r="BG162" s="212"/>
      <c r="BH162" s="212"/>
      <c r="BI162" s="231" t="str">
        <f>HYPERLINK("#일위대가목록!A64","PP10-4-3/1 →")</f>
        <v>PP10-4-3/1 →</v>
      </c>
    </row>
    <row r="163" spans="1:61" ht="24" customHeight="1">
      <c r="A163" s="218" t="s">
        <v>2040</v>
      </c>
      <c r="B163" s="218" t="s">
        <v>68</v>
      </c>
      <c r="C163" s="229">
        <v>14.28</v>
      </c>
      <c r="D163" s="213" t="s">
        <v>1033</v>
      </c>
      <c r="E163" s="217">
        <f>일위목록!E65</f>
        <v>0</v>
      </c>
      <c r="F163" s="217">
        <f t="shared" si="18"/>
        <v>0</v>
      </c>
      <c r="G163" s="217">
        <f>일위목록!F65</f>
        <v>0</v>
      </c>
      <c r="H163" s="217">
        <f>TRUNC(G163*C163,0)</f>
        <v>0</v>
      </c>
      <c r="I163" s="217">
        <f>일위목록!G65</f>
        <v>0</v>
      </c>
      <c r="J163" s="217">
        <f>TRUNC(I163*C163,0)</f>
        <v>0</v>
      </c>
      <c r="K163" s="217">
        <f t="shared" si="19"/>
        <v>0</v>
      </c>
      <c r="L163" s="217">
        <f t="shared" si="17"/>
        <v>0</v>
      </c>
      <c r="M163" s="215" t="s">
        <v>1749</v>
      </c>
      <c r="N163" s="212" t="s">
        <v>68</v>
      </c>
      <c r="O163" s="212"/>
      <c r="P163" s="212" t="s">
        <v>1108</v>
      </c>
      <c r="Q163" s="212" t="s">
        <v>68</v>
      </c>
      <c r="R163" s="212" t="s">
        <v>1750</v>
      </c>
      <c r="S163" s="212"/>
      <c r="T163" s="212" t="s">
        <v>1129</v>
      </c>
      <c r="U163" s="212"/>
      <c r="V163" s="212"/>
      <c r="W163" s="212"/>
      <c r="X163" s="212"/>
      <c r="Y163" s="212"/>
      <c r="Z163" s="212"/>
      <c r="AA163" s="212"/>
      <c r="AB163" s="212"/>
      <c r="AC163" s="212"/>
      <c r="AD163" s="212"/>
      <c r="AE163" s="212"/>
      <c r="AF163" s="212"/>
      <c r="AG163" s="212"/>
      <c r="AH163" s="212"/>
      <c r="AI163" s="212"/>
      <c r="AJ163" s="212"/>
      <c r="AK163" s="212"/>
      <c r="AL163" s="212"/>
      <c r="AM163" s="212"/>
      <c r="AN163" s="212"/>
      <c r="AO163" s="212"/>
      <c r="AP163" s="212"/>
      <c r="AQ163" s="212"/>
      <c r="AR163" s="212"/>
      <c r="AS163" s="212"/>
      <c r="AT163" s="212"/>
      <c r="AU163" s="212"/>
      <c r="AV163" s="212"/>
      <c r="AW163" s="212"/>
      <c r="AX163" s="212"/>
      <c r="AY163" s="212"/>
      <c r="AZ163" s="212"/>
      <c r="BA163" s="212"/>
      <c r="BB163" s="212"/>
      <c r="BC163" s="212"/>
      <c r="BD163" s="212"/>
      <c r="BE163" s="212"/>
      <c r="BF163" s="212"/>
      <c r="BG163" s="212"/>
      <c r="BH163" s="212"/>
      <c r="BI163" s="231" t="str">
        <f>HYPERLINK("#일위대가목록!A65","P9-3-1/1 →")</f>
        <v>P9-3-1/1 →</v>
      </c>
    </row>
    <row r="164" spans="1:61" ht="24" customHeight="1">
      <c r="A164" s="215"/>
      <c r="B164" s="215"/>
      <c r="C164" s="229"/>
      <c r="D164" s="213"/>
      <c r="E164" s="213"/>
      <c r="F164" s="213"/>
      <c r="G164" s="213"/>
      <c r="H164" s="213"/>
      <c r="I164" s="213"/>
      <c r="J164" s="213"/>
      <c r="K164" s="213"/>
      <c r="L164" s="213"/>
      <c r="M164" s="215"/>
      <c r="N164" s="212"/>
      <c r="O164" s="212"/>
      <c r="P164" s="212"/>
      <c r="Q164" s="212"/>
      <c r="R164" s="212"/>
      <c r="S164" s="212"/>
      <c r="T164" s="212"/>
      <c r="U164" s="212"/>
      <c r="V164" s="212"/>
      <c r="W164" s="212"/>
      <c r="X164" s="212"/>
      <c r="Y164" s="212"/>
      <c r="Z164" s="212"/>
      <c r="AA164" s="212"/>
      <c r="AB164" s="212"/>
      <c r="AC164" s="212"/>
      <c r="AD164" s="212"/>
      <c r="AE164" s="212"/>
      <c r="AF164" s="212"/>
      <c r="AG164" s="212"/>
      <c r="AH164" s="212"/>
      <c r="AI164" s="212"/>
      <c r="AJ164" s="212"/>
      <c r="AK164" s="212"/>
      <c r="AL164" s="212"/>
      <c r="AM164" s="212"/>
      <c r="AN164" s="212"/>
      <c r="AO164" s="212"/>
      <c r="AP164" s="212"/>
      <c r="AQ164" s="212"/>
      <c r="AR164" s="212"/>
      <c r="AS164" s="212"/>
      <c r="AT164" s="212"/>
      <c r="AU164" s="212"/>
      <c r="AV164" s="212"/>
      <c r="AW164" s="212"/>
      <c r="AX164" s="212"/>
      <c r="AY164" s="212"/>
      <c r="AZ164" s="212"/>
      <c r="BA164" s="212"/>
      <c r="BB164" s="212"/>
      <c r="BC164" s="212"/>
      <c r="BD164" s="212"/>
      <c r="BE164" s="212"/>
      <c r="BF164" s="212"/>
      <c r="BG164" s="212"/>
      <c r="BH164" s="212"/>
      <c r="BI164" s="212"/>
    </row>
    <row r="165" spans="1:61" ht="24" customHeight="1">
      <c r="A165" s="218" t="s">
        <v>2049</v>
      </c>
      <c r="B165" s="218" t="s">
        <v>1197</v>
      </c>
      <c r="C165" s="228">
        <v>1</v>
      </c>
      <c r="D165" s="213" t="s">
        <v>437</v>
      </c>
      <c r="E165" s="212"/>
      <c r="F165" s="217">
        <f>TRUNC(F166+F167+F168+F169+F170+F171,0)</f>
        <v>0</v>
      </c>
      <c r="G165" s="212"/>
      <c r="H165" s="217">
        <f>TRUNC(H166+H167+H168+H169+H170+H171,0)</f>
        <v>0</v>
      </c>
      <c r="I165" s="212"/>
      <c r="J165" s="217">
        <f>TRUNC(J166+J167+J168+J169+J170+J171,0)</f>
        <v>0</v>
      </c>
      <c r="K165" s="212"/>
      <c r="L165" s="217">
        <f t="shared" ref="L165:L171" si="20">F165+H165+J165</f>
        <v>0</v>
      </c>
      <c r="M165" s="215" t="s">
        <v>447</v>
      </c>
      <c r="N165" s="212" t="s">
        <v>68</v>
      </c>
      <c r="O165" s="212" t="s">
        <v>1198</v>
      </c>
      <c r="P165" s="212"/>
      <c r="Q165" s="212"/>
      <c r="R165" s="212"/>
      <c r="S165" s="212"/>
      <c r="T165" s="212"/>
      <c r="U165" s="212"/>
      <c r="V165" s="212"/>
      <c r="W165" s="212"/>
      <c r="X165" s="212"/>
      <c r="Y165" s="212"/>
      <c r="Z165" s="212"/>
      <c r="AA165" s="212"/>
      <c r="AB165" s="212"/>
      <c r="AC165" s="212"/>
      <c r="AD165" s="212"/>
      <c r="AE165" s="212"/>
      <c r="AF165" s="212"/>
      <c r="AG165" s="212"/>
      <c r="AH165" s="212"/>
      <c r="AI165" s="212"/>
      <c r="AJ165" s="212"/>
      <c r="AK165" s="212"/>
      <c r="AL165" s="212"/>
      <c r="AM165" s="212"/>
      <c r="AN165" s="212"/>
      <c r="AO165" s="212"/>
      <c r="AP165" s="212"/>
      <c r="AQ165" s="212"/>
      <c r="AR165" s="212"/>
      <c r="AS165" s="212"/>
      <c r="AT165" s="212"/>
      <c r="AU165" s="212"/>
      <c r="AV165" s="212"/>
      <c r="AW165" s="212"/>
      <c r="AX165" s="212"/>
      <c r="AY165" s="212"/>
      <c r="AZ165" s="212"/>
      <c r="BA165" s="212"/>
      <c r="BB165" s="212"/>
      <c r="BC165" s="212"/>
      <c r="BD165" s="212"/>
      <c r="BE165" s="212"/>
      <c r="BF165" s="212"/>
      <c r="BG165" s="212"/>
      <c r="BH165" s="212"/>
      <c r="BI165" s="212"/>
    </row>
    <row r="166" spans="1:61" ht="24" customHeight="1">
      <c r="A166" s="218" t="s">
        <v>1185</v>
      </c>
      <c r="B166" s="218" t="s">
        <v>1197</v>
      </c>
      <c r="C166" s="228">
        <v>1</v>
      </c>
      <c r="D166" s="213" t="s">
        <v>437</v>
      </c>
      <c r="E166" s="217">
        <f>자재조서!E69</f>
        <v>0</v>
      </c>
      <c r="F166" s="217">
        <f t="shared" ref="F166:F171" si="21">TRUNC(E166*C166,0)</f>
        <v>0</v>
      </c>
      <c r="G166" s="217">
        <v>0</v>
      </c>
      <c r="H166" s="217"/>
      <c r="I166" s="217">
        <v>0</v>
      </c>
      <c r="J166" s="217"/>
      <c r="K166" s="217">
        <f t="shared" ref="K166:K171" si="22">E166+G166+I166</f>
        <v>0</v>
      </c>
      <c r="L166" s="217">
        <f t="shared" si="20"/>
        <v>0</v>
      </c>
      <c r="M166" s="215" t="s">
        <v>68</v>
      </c>
      <c r="N166" s="212" t="s">
        <v>68</v>
      </c>
      <c r="O166" s="212"/>
      <c r="P166" s="212" t="s">
        <v>1095</v>
      </c>
      <c r="Q166" s="212" t="s">
        <v>68</v>
      </c>
      <c r="R166" s="212" t="s">
        <v>2050</v>
      </c>
      <c r="S166" s="212"/>
      <c r="T166" s="212"/>
      <c r="U166" s="212"/>
      <c r="V166" s="212"/>
      <c r="W166" s="212"/>
      <c r="X166" s="212"/>
      <c r="Y166" s="212"/>
      <c r="Z166" s="212"/>
      <c r="AA166" s="212"/>
      <c r="AB166" s="212"/>
      <c r="AC166" s="212"/>
      <c r="AD166" s="212"/>
      <c r="AE166" s="212"/>
      <c r="AF166" s="212"/>
      <c r="AG166" s="212"/>
      <c r="AH166" s="212"/>
      <c r="AI166" s="212"/>
      <c r="AJ166" s="212"/>
      <c r="AK166" s="212"/>
      <c r="AL166" s="212"/>
      <c r="AM166" s="212"/>
      <c r="AN166" s="212"/>
      <c r="AO166" s="212"/>
      <c r="AP166" s="212"/>
      <c r="AQ166" s="212"/>
      <c r="AR166" s="212"/>
      <c r="AS166" s="212"/>
      <c r="AT166" s="212"/>
      <c r="AU166" s="212"/>
      <c r="AV166" s="212"/>
      <c r="AW166" s="212"/>
      <c r="AX166" s="212"/>
      <c r="AY166" s="212"/>
      <c r="AZ166" s="212"/>
      <c r="BA166" s="212"/>
      <c r="BB166" s="212"/>
      <c r="BC166" s="212"/>
      <c r="BD166" s="212"/>
      <c r="BE166" s="212"/>
      <c r="BF166" s="212"/>
      <c r="BG166" s="212"/>
      <c r="BH166" s="212"/>
      <c r="BI166" s="231" t="str">
        <f>HYPERLINK("#자재조서!A69","MZZ9000006 →")</f>
        <v>MZZ9000006 →</v>
      </c>
    </row>
    <row r="167" spans="1:61" ht="24" customHeight="1">
      <c r="A167" s="218" t="s">
        <v>2034</v>
      </c>
      <c r="B167" s="218" t="s">
        <v>2035</v>
      </c>
      <c r="C167" s="229">
        <v>2.99</v>
      </c>
      <c r="D167" s="213" t="s">
        <v>9</v>
      </c>
      <c r="E167" s="217">
        <f>자재조서!E76</f>
        <v>0</v>
      </c>
      <c r="F167" s="217">
        <f t="shared" si="21"/>
        <v>0</v>
      </c>
      <c r="G167" s="217">
        <v>0</v>
      </c>
      <c r="H167" s="217"/>
      <c r="I167" s="217">
        <v>0</v>
      </c>
      <c r="J167" s="217"/>
      <c r="K167" s="217">
        <f t="shared" si="22"/>
        <v>0</v>
      </c>
      <c r="L167" s="217">
        <f t="shared" si="20"/>
        <v>0</v>
      </c>
      <c r="M167" s="215" t="s">
        <v>68</v>
      </c>
      <c r="N167" s="212" t="s">
        <v>68</v>
      </c>
      <c r="O167" s="212"/>
      <c r="P167" s="212" t="s">
        <v>1098</v>
      </c>
      <c r="Q167" s="212" t="s">
        <v>68</v>
      </c>
      <c r="R167" s="212" t="s">
        <v>2036</v>
      </c>
      <c r="S167" s="212"/>
      <c r="T167" s="212"/>
      <c r="U167" s="212"/>
      <c r="V167" s="212"/>
      <c r="W167" s="212"/>
      <c r="X167" s="212"/>
      <c r="Y167" s="212"/>
      <c r="Z167" s="212"/>
      <c r="AA167" s="212"/>
      <c r="AB167" s="212"/>
      <c r="AC167" s="212"/>
      <c r="AD167" s="212"/>
      <c r="AE167" s="212"/>
      <c r="AF167" s="212"/>
      <c r="AG167" s="212"/>
      <c r="AH167" s="212"/>
      <c r="AI167" s="212"/>
      <c r="AJ167" s="212"/>
      <c r="AK167" s="212"/>
      <c r="AL167" s="212"/>
      <c r="AM167" s="212"/>
      <c r="AN167" s="212"/>
      <c r="AO167" s="212"/>
      <c r="AP167" s="212"/>
      <c r="AQ167" s="212"/>
      <c r="AR167" s="212"/>
      <c r="AS167" s="212"/>
      <c r="AT167" s="212"/>
      <c r="AU167" s="212"/>
      <c r="AV167" s="212"/>
      <c r="AW167" s="212"/>
      <c r="AX167" s="212"/>
      <c r="AY167" s="212"/>
      <c r="AZ167" s="212"/>
      <c r="BA167" s="212"/>
      <c r="BB167" s="212"/>
      <c r="BC167" s="212"/>
      <c r="BD167" s="212"/>
      <c r="BE167" s="212"/>
      <c r="BF167" s="212"/>
      <c r="BG167" s="212"/>
      <c r="BH167" s="212"/>
      <c r="BI167" s="231" t="str">
        <f>HYPERLINK("#자재조서!A76","MZZ9000013 →")</f>
        <v>MZZ9000013 →</v>
      </c>
    </row>
    <row r="168" spans="1:61" ht="24" customHeight="1">
      <c r="A168" s="218" t="s">
        <v>2037</v>
      </c>
      <c r="B168" s="218" t="s">
        <v>1738</v>
      </c>
      <c r="C168" s="229">
        <v>2.99</v>
      </c>
      <c r="D168" s="213" t="s">
        <v>9</v>
      </c>
      <c r="E168" s="217">
        <f>일위목록!E62</f>
        <v>0</v>
      </c>
      <c r="F168" s="217">
        <f t="shared" si="21"/>
        <v>0</v>
      </c>
      <c r="G168" s="217">
        <f>일위목록!F62</f>
        <v>0</v>
      </c>
      <c r="H168" s="217">
        <f>TRUNC(G168*C168,0)</f>
        <v>0</v>
      </c>
      <c r="I168" s="217">
        <f>일위목록!G62</f>
        <v>0</v>
      </c>
      <c r="J168" s="217">
        <f>TRUNC(I168*C168,0)</f>
        <v>0</v>
      </c>
      <c r="K168" s="217">
        <f t="shared" si="22"/>
        <v>0</v>
      </c>
      <c r="L168" s="217">
        <f t="shared" si="20"/>
        <v>0</v>
      </c>
      <c r="M168" s="215" t="s">
        <v>68</v>
      </c>
      <c r="N168" s="212" t="s">
        <v>68</v>
      </c>
      <c r="O168" s="212"/>
      <c r="P168" s="212" t="s">
        <v>1101</v>
      </c>
      <c r="Q168" s="212" t="s">
        <v>68</v>
      </c>
      <c r="R168" s="212" t="s">
        <v>1740</v>
      </c>
      <c r="S168" s="212"/>
      <c r="T168" s="212" t="s">
        <v>1129</v>
      </c>
      <c r="U168" s="212"/>
      <c r="V168" s="212"/>
      <c r="W168" s="212"/>
      <c r="X168" s="212"/>
      <c r="Y168" s="212"/>
      <c r="Z168" s="212"/>
      <c r="AA168" s="212"/>
      <c r="AB168" s="212"/>
      <c r="AC168" s="212"/>
      <c r="AD168" s="212"/>
      <c r="AE168" s="212"/>
      <c r="AF168" s="212"/>
      <c r="AG168" s="212"/>
      <c r="AH168" s="212"/>
      <c r="AI168" s="212"/>
      <c r="AJ168" s="212"/>
      <c r="AK168" s="212"/>
      <c r="AL168" s="212"/>
      <c r="AM168" s="212"/>
      <c r="AN168" s="212"/>
      <c r="AO168" s="212"/>
      <c r="AP168" s="212"/>
      <c r="AQ168" s="212"/>
      <c r="AR168" s="212"/>
      <c r="AS168" s="212"/>
      <c r="AT168" s="212"/>
      <c r="AU168" s="212"/>
      <c r="AV168" s="212"/>
      <c r="AW168" s="212"/>
      <c r="AX168" s="212"/>
      <c r="AY168" s="212"/>
      <c r="AZ168" s="212"/>
      <c r="BA168" s="212"/>
      <c r="BB168" s="212"/>
      <c r="BC168" s="212"/>
      <c r="BD168" s="212"/>
      <c r="BE168" s="212"/>
      <c r="BF168" s="212"/>
      <c r="BG168" s="212"/>
      <c r="BH168" s="212"/>
      <c r="BI168" s="231" t="str">
        <f>HYPERLINK("#일위대가목록!A62","PP10-3-1/9 →")</f>
        <v>PP10-3-1/9 →</v>
      </c>
    </row>
    <row r="169" spans="1:61" ht="24" customHeight="1">
      <c r="A169" s="218" t="s">
        <v>2038</v>
      </c>
      <c r="B169" s="218" t="s">
        <v>1742</v>
      </c>
      <c r="C169" s="228">
        <v>1</v>
      </c>
      <c r="D169" s="213" t="s">
        <v>378</v>
      </c>
      <c r="E169" s="217">
        <f>일위목록!E63</f>
        <v>0</v>
      </c>
      <c r="F169" s="217">
        <f t="shared" si="21"/>
        <v>0</v>
      </c>
      <c r="G169" s="217">
        <f>일위목록!F63</f>
        <v>0</v>
      </c>
      <c r="H169" s="217">
        <f>TRUNC(G169*C169,0)</f>
        <v>0</v>
      </c>
      <c r="I169" s="217">
        <f>일위목록!G63</f>
        <v>0</v>
      </c>
      <c r="J169" s="217">
        <f>TRUNC(I169*C169,0)</f>
        <v>0</v>
      </c>
      <c r="K169" s="217">
        <f t="shared" si="22"/>
        <v>0</v>
      </c>
      <c r="L169" s="217">
        <f t="shared" si="20"/>
        <v>0</v>
      </c>
      <c r="M169" s="215" t="s">
        <v>68</v>
      </c>
      <c r="N169" s="212" t="s">
        <v>68</v>
      </c>
      <c r="O169" s="212"/>
      <c r="P169" s="212" t="s">
        <v>1104</v>
      </c>
      <c r="Q169" s="212" t="s">
        <v>68</v>
      </c>
      <c r="R169" s="212" t="s">
        <v>1743</v>
      </c>
      <c r="S169" s="212"/>
      <c r="T169" s="212" t="s">
        <v>1129</v>
      </c>
      <c r="U169" s="212"/>
      <c r="V169" s="212"/>
      <c r="W169" s="212"/>
      <c r="X169" s="212"/>
      <c r="Y169" s="212"/>
      <c r="Z169" s="212"/>
      <c r="AA169" s="212"/>
      <c r="AB169" s="212"/>
      <c r="AC169" s="212"/>
      <c r="AD169" s="212"/>
      <c r="AE169" s="212"/>
      <c r="AF169" s="212"/>
      <c r="AG169" s="212"/>
      <c r="AH169" s="212"/>
      <c r="AI169" s="212"/>
      <c r="AJ169" s="212"/>
      <c r="AK169" s="212"/>
      <c r="AL169" s="212"/>
      <c r="AM169" s="212"/>
      <c r="AN169" s="212"/>
      <c r="AO169" s="212"/>
      <c r="AP169" s="212"/>
      <c r="AQ169" s="212"/>
      <c r="AR169" s="212"/>
      <c r="AS169" s="212"/>
      <c r="AT169" s="212"/>
      <c r="AU169" s="212"/>
      <c r="AV169" s="212"/>
      <c r="AW169" s="212"/>
      <c r="AX169" s="212"/>
      <c r="AY169" s="212"/>
      <c r="AZ169" s="212"/>
      <c r="BA169" s="212"/>
      <c r="BB169" s="212"/>
      <c r="BC169" s="212"/>
      <c r="BD169" s="212"/>
      <c r="BE169" s="212"/>
      <c r="BF169" s="212"/>
      <c r="BG169" s="212"/>
      <c r="BH169" s="212"/>
      <c r="BI169" s="231" t="str">
        <f>HYPERLINK("#일위대가목록!A63","PP10-1-1/6 →")</f>
        <v>PP10-1-1/6 →</v>
      </c>
    </row>
    <row r="170" spans="1:61" ht="24" customHeight="1">
      <c r="A170" s="218" t="s">
        <v>2039</v>
      </c>
      <c r="B170" s="218" t="s">
        <v>1745</v>
      </c>
      <c r="C170" s="229">
        <v>14.76</v>
      </c>
      <c r="D170" s="213" t="s">
        <v>1033</v>
      </c>
      <c r="E170" s="217">
        <f>일위목록!E64</f>
        <v>0</v>
      </c>
      <c r="F170" s="217">
        <f t="shared" si="21"/>
        <v>0</v>
      </c>
      <c r="G170" s="217">
        <f>일위목록!F64</f>
        <v>0</v>
      </c>
      <c r="H170" s="217">
        <f>TRUNC(G170*C170,0)</f>
        <v>0</v>
      </c>
      <c r="I170" s="217">
        <f>일위목록!G64</f>
        <v>0</v>
      </c>
      <c r="J170" s="217">
        <f>TRUNC(I170*C170,0)</f>
        <v>0</v>
      </c>
      <c r="K170" s="217">
        <f t="shared" si="22"/>
        <v>0</v>
      </c>
      <c r="L170" s="217">
        <f t="shared" si="20"/>
        <v>0</v>
      </c>
      <c r="M170" s="215" t="s">
        <v>1746</v>
      </c>
      <c r="N170" s="212" t="s">
        <v>68</v>
      </c>
      <c r="O170" s="212"/>
      <c r="P170" s="212" t="s">
        <v>1107</v>
      </c>
      <c r="Q170" s="212" t="s">
        <v>68</v>
      </c>
      <c r="R170" s="212" t="s">
        <v>1747</v>
      </c>
      <c r="S170" s="212"/>
      <c r="T170" s="212" t="s">
        <v>1129</v>
      </c>
      <c r="U170" s="212"/>
      <c r="V170" s="212"/>
      <c r="W170" s="212"/>
      <c r="X170" s="212"/>
      <c r="Y170" s="212"/>
      <c r="Z170" s="212"/>
      <c r="AA170" s="212"/>
      <c r="AB170" s="212"/>
      <c r="AC170" s="212"/>
      <c r="AD170" s="212"/>
      <c r="AE170" s="212"/>
      <c r="AF170" s="212"/>
      <c r="AG170" s="212"/>
      <c r="AH170" s="212"/>
      <c r="AI170" s="212"/>
      <c r="AJ170" s="212"/>
      <c r="AK170" s="212"/>
      <c r="AL170" s="212"/>
      <c r="AM170" s="212"/>
      <c r="AN170" s="212"/>
      <c r="AO170" s="212"/>
      <c r="AP170" s="212"/>
      <c r="AQ170" s="212"/>
      <c r="AR170" s="212"/>
      <c r="AS170" s="212"/>
      <c r="AT170" s="212"/>
      <c r="AU170" s="212"/>
      <c r="AV170" s="212"/>
      <c r="AW170" s="212"/>
      <c r="AX170" s="212"/>
      <c r="AY170" s="212"/>
      <c r="AZ170" s="212"/>
      <c r="BA170" s="212"/>
      <c r="BB170" s="212"/>
      <c r="BC170" s="212"/>
      <c r="BD170" s="212"/>
      <c r="BE170" s="212"/>
      <c r="BF170" s="212"/>
      <c r="BG170" s="212"/>
      <c r="BH170" s="212"/>
      <c r="BI170" s="231" t="str">
        <f>HYPERLINK("#일위대가목록!A64","PP10-4-3/1 →")</f>
        <v>PP10-4-3/1 →</v>
      </c>
    </row>
    <row r="171" spans="1:61" ht="24" customHeight="1">
      <c r="A171" s="218" t="s">
        <v>2040</v>
      </c>
      <c r="B171" s="218" t="s">
        <v>68</v>
      </c>
      <c r="C171" s="229">
        <v>14.76</v>
      </c>
      <c r="D171" s="213" t="s">
        <v>1033</v>
      </c>
      <c r="E171" s="217">
        <f>일위목록!E65</f>
        <v>0</v>
      </c>
      <c r="F171" s="217">
        <f t="shared" si="21"/>
        <v>0</v>
      </c>
      <c r="G171" s="217">
        <f>일위목록!F65</f>
        <v>0</v>
      </c>
      <c r="H171" s="217">
        <f>TRUNC(G171*C171,0)</f>
        <v>0</v>
      </c>
      <c r="I171" s="217">
        <f>일위목록!G65</f>
        <v>0</v>
      </c>
      <c r="J171" s="217">
        <f>TRUNC(I171*C171,0)</f>
        <v>0</v>
      </c>
      <c r="K171" s="217">
        <f t="shared" si="22"/>
        <v>0</v>
      </c>
      <c r="L171" s="217">
        <f t="shared" si="20"/>
        <v>0</v>
      </c>
      <c r="M171" s="215" t="s">
        <v>1749</v>
      </c>
      <c r="N171" s="212" t="s">
        <v>68</v>
      </c>
      <c r="O171" s="212"/>
      <c r="P171" s="212" t="s">
        <v>1108</v>
      </c>
      <c r="Q171" s="212" t="s">
        <v>68</v>
      </c>
      <c r="R171" s="212" t="s">
        <v>1750</v>
      </c>
      <c r="S171" s="212"/>
      <c r="T171" s="212" t="s">
        <v>1129</v>
      </c>
      <c r="U171" s="212"/>
      <c r="V171" s="212"/>
      <c r="W171" s="212"/>
      <c r="X171" s="212"/>
      <c r="Y171" s="212"/>
      <c r="Z171" s="212"/>
      <c r="AA171" s="212"/>
      <c r="AB171" s="212"/>
      <c r="AC171" s="212"/>
      <c r="AD171" s="212"/>
      <c r="AE171" s="212"/>
      <c r="AF171" s="212"/>
      <c r="AG171" s="212"/>
      <c r="AH171" s="212"/>
      <c r="AI171" s="212"/>
      <c r="AJ171" s="212"/>
      <c r="AK171" s="212"/>
      <c r="AL171" s="212"/>
      <c r="AM171" s="212"/>
      <c r="AN171" s="212"/>
      <c r="AO171" s="212"/>
      <c r="AP171" s="212"/>
      <c r="AQ171" s="212"/>
      <c r="AR171" s="212"/>
      <c r="AS171" s="212"/>
      <c r="AT171" s="212"/>
      <c r="AU171" s="212"/>
      <c r="AV171" s="212"/>
      <c r="AW171" s="212"/>
      <c r="AX171" s="212"/>
      <c r="AY171" s="212"/>
      <c r="AZ171" s="212"/>
      <c r="BA171" s="212"/>
      <c r="BB171" s="212"/>
      <c r="BC171" s="212"/>
      <c r="BD171" s="212"/>
      <c r="BE171" s="212"/>
      <c r="BF171" s="212"/>
      <c r="BG171" s="212"/>
      <c r="BH171" s="212"/>
      <c r="BI171" s="231" t="str">
        <f>HYPERLINK("#일위대가목록!A65","P9-3-1/1 →")</f>
        <v>P9-3-1/1 →</v>
      </c>
    </row>
    <row r="172" spans="1:61" ht="24" customHeight="1">
      <c r="A172" s="215"/>
      <c r="B172" s="215"/>
      <c r="C172" s="229"/>
      <c r="D172" s="213"/>
      <c r="E172" s="213"/>
      <c r="F172" s="213"/>
      <c r="G172" s="213"/>
      <c r="H172" s="213"/>
      <c r="I172" s="213"/>
      <c r="J172" s="213"/>
      <c r="K172" s="213"/>
      <c r="L172" s="213"/>
      <c r="M172" s="215"/>
      <c r="N172" s="212"/>
      <c r="O172" s="212"/>
      <c r="P172" s="212"/>
      <c r="Q172" s="212"/>
      <c r="R172" s="212"/>
      <c r="S172" s="212"/>
      <c r="T172" s="212"/>
      <c r="U172" s="212"/>
      <c r="V172" s="212"/>
      <c r="W172" s="212"/>
      <c r="X172" s="212"/>
      <c r="Y172" s="212"/>
      <c r="Z172" s="212"/>
      <c r="AA172" s="212"/>
      <c r="AB172" s="212"/>
      <c r="AC172" s="212"/>
      <c r="AD172" s="212"/>
      <c r="AE172" s="212"/>
      <c r="AF172" s="212"/>
      <c r="AG172" s="212"/>
      <c r="AH172" s="212"/>
      <c r="AI172" s="212"/>
      <c r="AJ172" s="212"/>
      <c r="AK172" s="212"/>
      <c r="AL172" s="212"/>
      <c r="AM172" s="212"/>
      <c r="AN172" s="212"/>
      <c r="AO172" s="212"/>
      <c r="AP172" s="212"/>
      <c r="AQ172" s="212"/>
      <c r="AR172" s="212"/>
      <c r="AS172" s="212"/>
      <c r="AT172" s="212"/>
      <c r="AU172" s="212"/>
      <c r="AV172" s="212"/>
      <c r="AW172" s="212"/>
      <c r="AX172" s="212"/>
      <c r="AY172" s="212"/>
      <c r="AZ172" s="212"/>
      <c r="BA172" s="212"/>
      <c r="BB172" s="212"/>
      <c r="BC172" s="212"/>
      <c r="BD172" s="212"/>
      <c r="BE172" s="212"/>
      <c r="BF172" s="212"/>
      <c r="BG172" s="212"/>
      <c r="BH172" s="212"/>
      <c r="BI172" s="212"/>
    </row>
    <row r="173" spans="1:61" ht="24" customHeight="1">
      <c r="A173" s="218" t="s">
        <v>2051</v>
      </c>
      <c r="B173" s="218" t="s">
        <v>1200</v>
      </c>
      <c r="C173" s="228">
        <v>1</v>
      </c>
      <c r="D173" s="213" t="s">
        <v>437</v>
      </c>
      <c r="E173" s="212"/>
      <c r="F173" s="217">
        <f>TRUNC(F174+F175+F176+F177+F178+F179,0)</f>
        <v>0</v>
      </c>
      <c r="G173" s="212"/>
      <c r="H173" s="217">
        <f>TRUNC(H174+H175+H176+H177+H178+H179,0)</f>
        <v>0</v>
      </c>
      <c r="I173" s="212"/>
      <c r="J173" s="217">
        <f>TRUNC(J174+J175+J176+J177+J178+J179,0)</f>
        <v>0</v>
      </c>
      <c r="K173" s="212"/>
      <c r="L173" s="217">
        <f t="shared" ref="L173:L179" si="23">F173+H173+J173</f>
        <v>0</v>
      </c>
      <c r="M173" s="215" t="s">
        <v>1692</v>
      </c>
      <c r="N173" s="212" t="s">
        <v>68</v>
      </c>
      <c r="O173" s="212" t="s">
        <v>1201</v>
      </c>
      <c r="P173" s="212"/>
      <c r="Q173" s="212"/>
      <c r="R173" s="212"/>
      <c r="S173" s="212"/>
      <c r="T173" s="212"/>
      <c r="U173" s="212"/>
      <c r="V173" s="212"/>
      <c r="W173" s="212"/>
      <c r="X173" s="212"/>
      <c r="Y173" s="212"/>
      <c r="Z173" s="212"/>
      <c r="AA173" s="212"/>
      <c r="AB173" s="212"/>
      <c r="AC173" s="212"/>
      <c r="AD173" s="212"/>
      <c r="AE173" s="212"/>
      <c r="AF173" s="212"/>
      <c r="AG173" s="212"/>
      <c r="AH173" s="212"/>
      <c r="AI173" s="212"/>
      <c r="AJ173" s="212"/>
      <c r="AK173" s="212"/>
      <c r="AL173" s="212"/>
      <c r="AM173" s="212"/>
      <c r="AN173" s="212"/>
      <c r="AO173" s="212"/>
      <c r="AP173" s="212"/>
      <c r="AQ173" s="212"/>
      <c r="AR173" s="212"/>
      <c r="AS173" s="212"/>
      <c r="AT173" s="212"/>
      <c r="AU173" s="212"/>
      <c r="AV173" s="212"/>
      <c r="AW173" s="212"/>
      <c r="AX173" s="212"/>
      <c r="AY173" s="212"/>
      <c r="AZ173" s="212"/>
      <c r="BA173" s="212"/>
      <c r="BB173" s="212"/>
      <c r="BC173" s="212"/>
      <c r="BD173" s="212"/>
      <c r="BE173" s="212"/>
      <c r="BF173" s="212"/>
      <c r="BG173" s="212"/>
      <c r="BH173" s="212"/>
      <c r="BI173" s="212"/>
    </row>
    <row r="174" spans="1:61" ht="24" customHeight="1">
      <c r="A174" s="218" t="s">
        <v>1199</v>
      </c>
      <c r="B174" s="218" t="s">
        <v>1200</v>
      </c>
      <c r="C174" s="228">
        <v>1</v>
      </c>
      <c r="D174" s="213" t="s">
        <v>437</v>
      </c>
      <c r="E174" s="217">
        <f>자재조서!E70</f>
        <v>0</v>
      </c>
      <c r="F174" s="217">
        <f t="shared" ref="F174:F179" si="24">TRUNC(E174*C174,0)</f>
        <v>0</v>
      </c>
      <c r="G174" s="217">
        <v>0</v>
      </c>
      <c r="H174" s="217"/>
      <c r="I174" s="217">
        <v>0</v>
      </c>
      <c r="J174" s="217"/>
      <c r="K174" s="217">
        <f t="shared" ref="K174:K179" si="25">E174+G174+I174</f>
        <v>0</v>
      </c>
      <c r="L174" s="217">
        <f t="shared" si="23"/>
        <v>0</v>
      </c>
      <c r="M174" s="215" t="s">
        <v>68</v>
      </c>
      <c r="N174" s="212" t="s">
        <v>68</v>
      </c>
      <c r="O174" s="212"/>
      <c r="P174" s="212" t="s">
        <v>1095</v>
      </c>
      <c r="Q174" s="212" t="s">
        <v>68</v>
      </c>
      <c r="R174" s="212" t="s">
        <v>2052</v>
      </c>
      <c r="S174" s="212"/>
      <c r="T174" s="212"/>
      <c r="U174" s="212"/>
      <c r="V174" s="212"/>
      <c r="W174" s="212"/>
      <c r="X174" s="212"/>
      <c r="Y174" s="212"/>
      <c r="Z174" s="212"/>
      <c r="AA174" s="212"/>
      <c r="AB174" s="212"/>
      <c r="AC174" s="212"/>
      <c r="AD174" s="212"/>
      <c r="AE174" s="212"/>
      <c r="AF174" s="212"/>
      <c r="AG174" s="212"/>
      <c r="AH174" s="212"/>
      <c r="AI174" s="212"/>
      <c r="AJ174" s="212"/>
      <c r="AK174" s="212"/>
      <c r="AL174" s="212"/>
      <c r="AM174" s="212"/>
      <c r="AN174" s="212"/>
      <c r="AO174" s="212"/>
      <c r="AP174" s="212"/>
      <c r="AQ174" s="212"/>
      <c r="AR174" s="212"/>
      <c r="AS174" s="212"/>
      <c r="AT174" s="212"/>
      <c r="AU174" s="212"/>
      <c r="AV174" s="212"/>
      <c r="AW174" s="212"/>
      <c r="AX174" s="212"/>
      <c r="AY174" s="212"/>
      <c r="AZ174" s="212"/>
      <c r="BA174" s="212"/>
      <c r="BB174" s="212"/>
      <c r="BC174" s="212"/>
      <c r="BD174" s="212"/>
      <c r="BE174" s="212"/>
      <c r="BF174" s="212"/>
      <c r="BG174" s="212"/>
      <c r="BH174" s="212"/>
      <c r="BI174" s="231" t="str">
        <f>HYPERLINK("#자재조서!A70","MZZ9000007 →")</f>
        <v>MZZ9000007 →</v>
      </c>
    </row>
    <row r="175" spans="1:61" ht="24" customHeight="1">
      <c r="A175" s="218" t="s">
        <v>2053</v>
      </c>
      <c r="B175" s="218" t="s">
        <v>2054</v>
      </c>
      <c r="C175" s="229">
        <v>2.04</v>
      </c>
      <c r="D175" s="213" t="s">
        <v>2055</v>
      </c>
      <c r="E175" s="217">
        <f>자재조서!E21</f>
        <v>0</v>
      </c>
      <c r="F175" s="217">
        <f t="shared" si="24"/>
        <v>0</v>
      </c>
      <c r="G175" s="217">
        <v>0</v>
      </c>
      <c r="H175" s="217"/>
      <c r="I175" s="217">
        <v>0</v>
      </c>
      <c r="J175" s="217"/>
      <c r="K175" s="217">
        <f t="shared" si="25"/>
        <v>0</v>
      </c>
      <c r="L175" s="217">
        <f t="shared" si="23"/>
        <v>0</v>
      </c>
      <c r="M175" s="215" t="s">
        <v>68</v>
      </c>
      <c r="N175" s="212" t="s">
        <v>68</v>
      </c>
      <c r="O175" s="212"/>
      <c r="P175" s="212" t="s">
        <v>1098</v>
      </c>
      <c r="Q175" s="212" t="s">
        <v>68</v>
      </c>
      <c r="R175" s="212" t="s">
        <v>2056</v>
      </c>
      <c r="S175" s="212"/>
      <c r="T175" s="212"/>
      <c r="U175" s="212"/>
      <c r="V175" s="212"/>
      <c r="W175" s="212"/>
      <c r="X175" s="212"/>
      <c r="Y175" s="212"/>
      <c r="Z175" s="212"/>
      <c r="AA175" s="212"/>
      <c r="AB175" s="212"/>
      <c r="AC175" s="212"/>
      <c r="AD175" s="212"/>
      <c r="AE175" s="212"/>
      <c r="AF175" s="212"/>
      <c r="AG175" s="212"/>
      <c r="AH175" s="212"/>
      <c r="AI175" s="212"/>
      <c r="AJ175" s="212"/>
      <c r="AK175" s="212"/>
      <c r="AL175" s="212"/>
      <c r="AM175" s="212"/>
      <c r="AN175" s="212"/>
      <c r="AO175" s="212"/>
      <c r="AP175" s="212"/>
      <c r="AQ175" s="212"/>
      <c r="AR175" s="212"/>
      <c r="AS175" s="212"/>
      <c r="AT175" s="212"/>
      <c r="AU175" s="212"/>
      <c r="AV175" s="212"/>
      <c r="AW175" s="212"/>
      <c r="AX175" s="212"/>
      <c r="AY175" s="212"/>
      <c r="AZ175" s="212"/>
      <c r="BA175" s="212"/>
      <c r="BB175" s="212"/>
      <c r="BC175" s="212"/>
      <c r="BD175" s="212"/>
      <c r="BE175" s="212"/>
      <c r="BF175" s="212"/>
      <c r="BG175" s="212"/>
      <c r="BH175" s="212"/>
      <c r="BI175" s="231" t="str">
        <f>HYPERLINK("#자재조서!A21","M4036023 →")</f>
        <v>M4036023 →</v>
      </c>
    </row>
    <row r="176" spans="1:61" ht="24" customHeight="1">
      <c r="A176" s="218" t="s">
        <v>2037</v>
      </c>
      <c r="B176" s="218" t="s">
        <v>1738</v>
      </c>
      <c r="C176" s="229">
        <v>2.04</v>
      </c>
      <c r="D176" s="213" t="s">
        <v>9</v>
      </c>
      <c r="E176" s="217">
        <f>일위목록!E62</f>
        <v>0</v>
      </c>
      <c r="F176" s="217">
        <f t="shared" si="24"/>
        <v>0</v>
      </c>
      <c r="G176" s="217">
        <f>일위목록!F62</f>
        <v>0</v>
      </c>
      <c r="H176" s="217">
        <f>TRUNC(G176*C176,0)</f>
        <v>0</v>
      </c>
      <c r="I176" s="217">
        <f>일위목록!G62</f>
        <v>0</v>
      </c>
      <c r="J176" s="217">
        <f>TRUNC(I176*C176,0)</f>
        <v>0</v>
      </c>
      <c r="K176" s="217">
        <f t="shared" si="25"/>
        <v>0</v>
      </c>
      <c r="L176" s="217">
        <f t="shared" si="23"/>
        <v>0</v>
      </c>
      <c r="M176" s="215" t="s">
        <v>68</v>
      </c>
      <c r="N176" s="212" t="s">
        <v>68</v>
      </c>
      <c r="O176" s="212"/>
      <c r="P176" s="212" t="s">
        <v>2057</v>
      </c>
      <c r="Q176" s="212" t="s">
        <v>68</v>
      </c>
      <c r="R176" s="212" t="s">
        <v>1740</v>
      </c>
      <c r="S176" s="212"/>
      <c r="T176" s="212" t="s">
        <v>1129</v>
      </c>
      <c r="U176" s="212"/>
      <c r="V176" s="212"/>
      <c r="W176" s="212"/>
      <c r="X176" s="212"/>
      <c r="Y176" s="212"/>
      <c r="Z176" s="212"/>
      <c r="AA176" s="212"/>
      <c r="AB176" s="212"/>
      <c r="AC176" s="212"/>
      <c r="AD176" s="212"/>
      <c r="AE176" s="212"/>
      <c r="AF176" s="212"/>
      <c r="AG176" s="212"/>
      <c r="AH176" s="212"/>
      <c r="AI176" s="212"/>
      <c r="AJ176" s="212"/>
      <c r="AK176" s="212"/>
      <c r="AL176" s="212"/>
      <c r="AM176" s="212"/>
      <c r="AN176" s="212"/>
      <c r="AO176" s="212"/>
      <c r="AP176" s="212"/>
      <c r="AQ176" s="212"/>
      <c r="AR176" s="212"/>
      <c r="AS176" s="212"/>
      <c r="AT176" s="212"/>
      <c r="AU176" s="212"/>
      <c r="AV176" s="212"/>
      <c r="AW176" s="212"/>
      <c r="AX176" s="212"/>
      <c r="AY176" s="212"/>
      <c r="AZ176" s="212"/>
      <c r="BA176" s="212"/>
      <c r="BB176" s="212"/>
      <c r="BC176" s="212"/>
      <c r="BD176" s="212"/>
      <c r="BE176" s="212"/>
      <c r="BF176" s="212"/>
      <c r="BG176" s="212"/>
      <c r="BH176" s="212"/>
      <c r="BI176" s="231" t="str">
        <f>HYPERLINK("#일위대가목록!A62","PP10-3-1/9 →")</f>
        <v>PP10-3-1/9 →</v>
      </c>
    </row>
    <row r="177" spans="1:61" ht="24" customHeight="1">
      <c r="A177" s="218" t="s">
        <v>2058</v>
      </c>
      <c r="B177" s="218" t="s">
        <v>1727</v>
      </c>
      <c r="C177" s="228">
        <v>1</v>
      </c>
      <c r="D177" s="213" t="s">
        <v>378</v>
      </c>
      <c r="E177" s="217">
        <f>일위목록!E66</f>
        <v>0</v>
      </c>
      <c r="F177" s="217">
        <f t="shared" si="24"/>
        <v>0</v>
      </c>
      <c r="G177" s="217">
        <f>일위목록!F66</f>
        <v>0</v>
      </c>
      <c r="H177" s="217">
        <f>TRUNC(G177*C177,0)</f>
        <v>0</v>
      </c>
      <c r="I177" s="217">
        <f>일위목록!G66</f>
        <v>0</v>
      </c>
      <c r="J177" s="217">
        <f>TRUNC(I177*C177,0)</f>
        <v>0</v>
      </c>
      <c r="K177" s="217">
        <f t="shared" si="25"/>
        <v>0</v>
      </c>
      <c r="L177" s="217">
        <f t="shared" si="23"/>
        <v>0</v>
      </c>
      <c r="M177" s="215" t="s">
        <v>68</v>
      </c>
      <c r="N177" s="212" t="s">
        <v>68</v>
      </c>
      <c r="O177" s="212"/>
      <c r="P177" s="212" t="s">
        <v>1101</v>
      </c>
      <c r="Q177" s="212" t="s">
        <v>68</v>
      </c>
      <c r="R177" s="212" t="s">
        <v>1752</v>
      </c>
      <c r="S177" s="212"/>
      <c r="T177" s="212" t="s">
        <v>1129</v>
      </c>
      <c r="U177" s="212"/>
      <c r="V177" s="212"/>
      <c r="W177" s="212"/>
      <c r="X177" s="212"/>
      <c r="Y177" s="212"/>
      <c r="Z177" s="212"/>
      <c r="AA177" s="212"/>
      <c r="AB177" s="212"/>
      <c r="AC177" s="212"/>
      <c r="AD177" s="212"/>
      <c r="AE177" s="212"/>
      <c r="AF177" s="212"/>
      <c r="AG177" s="212"/>
      <c r="AH177" s="212"/>
      <c r="AI177" s="212"/>
      <c r="AJ177" s="212"/>
      <c r="AK177" s="212"/>
      <c r="AL177" s="212"/>
      <c r="AM177" s="212"/>
      <c r="AN177" s="212"/>
      <c r="AO177" s="212"/>
      <c r="AP177" s="212"/>
      <c r="AQ177" s="212"/>
      <c r="AR177" s="212"/>
      <c r="AS177" s="212"/>
      <c r="AT177" s="212"/>
      <c r="AU177" s="212"/>
      <c r="AV177" s="212"/>
      <c r="AW177" s="212"/>
      <c r="AX177" s="212"/>
      <c r="AY177" s="212"/>
      <c r="AZ177" s="212"/>
      <c r="BA177" s="212"/>
      <c r="BB177" s="212"/>
      <c r="BC177" s="212"/>
      <c r="BD177" s="212"/>
      <c r="BE177" s="212"/>
      <c r="BF177" s="212"/>
      <c r="BG177" s="212"/>
      <c r="BH177" s="212"/>
      <c r="BI177" s="231" t="str">
        <f>HYPERLINK("#일위대가목록!A66","PP10-1-3/2 →")</f>
        <v>PP10-1-3/2 →</v>
      </c>
    </row>
    <row r="178" spans="1:61" ht="24" customHeight="1">
      <c r="A178" s="218" t="s">
        <v>2039</v>
      </c>
      <c r="B178" s="218" t="s">
        <v>1745</v>
      </c>
      <c r="C178" s="229">
        <v>12.4</v>
      </c>
      <c r="D178" s="213" t="s">
        <v>1033</v>
      </c>
      <c r="E178" s="217">
        <f>일위목록!E64</f>
        <v>0</v>
      </c>
      <c r="F178" s="217">
        <f t="shared" si="24"/>
        <v>0</v>
      </c>
      <c r="G178" s="217">
        <f>일위목록!F64</f>
        <v>0</v>
      </c>
      <c r="H178" s="217">
        <f>TRUNC(G178*C178,0)</f>
        <v>0</v>
      </c>
      <c r="I178" s="217">
        <f>일위목록!G64</f>
        <v>0</v>
      </c>
      <c r="J178" s="217">
        <f>TRUNC(I178*C178,0)</f>
        <v>0</v>
      </c>
      <c r="K178" s="217">
        <f t="shared" si="25"/>
        <v>0</v>
      </c>
      <c r="L178" s="217">
        <f t="shared" si="23"/>
        <v>0</v>
      </c>
      <c r="M178" s="215" t="s">
        <v>68</v>
      </c>
      <c r="N178" s="212" t="s">
        <v>68</v>
      </c>
      <c r="O178" s="212"/>
      <c r="P178" s="212" t="s">
        <v>1104</v>
      </c>
      <c r="Q178" s="212" t="s">
        <v>68</v>
      </c>
      <c r="R178" s="212" t="s">
        <v>1747</v>
      </c>
      <c r="S178" s="212"/>
      <c r="T178" s="212" t="s">
        <v>1129</v>
      </c>
      <c r="U178" s="212"/>
      <c r="V178" s="212"/>
      <c r="W178" s="212"/>
      <c r="X178" s="212"/>
      <c r="Y178" s="212"/>
      <c r="Z178" s="212"/>
      <c r="AA178" s="212"/>
      <c r="AB178" s="212"/>
      <c r="AC178" s="212"/>
      <c r="AD178" s="212"/>
      <c r="AE178" s="212"/>
      <c r="AF178" s="212"/>
      <c r="AG178" s="212"/>
      <c r="AH178" s="212"/>
      <c r="AI178" s="212"/>
      <c r="AJ178" s="212"/>
      <c r="AK178" s="212"/>
      <c r="AL178" s="212"/>
      <c r="AM178" s="212"/>
      <c r="AN178" s="212"/>
      <c r="AO178" s="212"/>
      <c r="AP178" s="212"/>
      <c r="AQ178" s="212"/>
      <c r="AR178" s="212"/>
      <c r="AS178" s="212"/>
      <c r="AT178" s="212"/>
      <c r="AU178" s="212"/>
      <c r="AV178" s="212"/>
      <c r="AW178" s="212"/>
      <c r="AX178" s="212"/>
      <c r="AY178" s="212"/>
      <c r="AZ178" s="212"/>
      <c r="BA178" s="212"/>
      <c r="BB178" s="212"/>
      <c r="BC178" s="212"/>
      <c r="BD178" s="212"/>
      <c r="BE178" s="212"/>
      <c r="BF178" s="212"/>
      <c r="BG178" s="212"/>
      <c r="BH178" s="212"/>
      <c r="BI178" s="231" t="str">
        <f>HYPERLINK("#일위대가목록!A64","PP10-4-3/1 →")</f>
        <v>PP10-4-3/1 →</v>
      </c>
    </row>
    <row r="179" spans="1:61" ht="24" customHeight="1">
      <c r="A179" s="218" t="s">
        <v>2059</v>
      </c>
      <c r="B179" s="218" t="s">
        <v>68</v>
      </c>
      <c r="C179" s="229">
        <v>12.4</v>
      </c>
      <c r="D179" s="213" t="s">
        <v>1033</v>
      </c>
      <c r="E179" s="217">
        <f>일위목록!E65</f>
        <v>0</v>
      </c>
      <c r="F179" s="217">
        <f t="shared" si="24"/>
        <v>0</v>
      </c>
      <c r="G179" s="217">
        <f>일위목록!F65</f>
        <v>0</v>
      </c>
      <c r="H179" s="217">
        <f>TRUNC(G179*C179,0)</f>
        <v>0</v>
      </c>
      <c r="I179" s="217">
        <f>일위목록!G65</f>
        <v>0</v>
      </c>
      <c r="J179" s="217">
        <f>TRUNC(I179*C179,0)</f>
        <v>0</v>
      </c>
      <c r="K179" s="217">
        <f t="shared" si="25"/>
        <v>0</v>
      </c>
      <c r="L179" s="217">
        <f t="shared" si="23"/>
        <v>0</v>
      </c>
      <c r="M179" s="215" t="s">
        <v>68</v>
      </c>
      <c r="N179" s="212" t="s">
        <v>68</v>
      </c>
      <c r="O179" s="212"/>
      <c r="P179" s="212" t="s">
        <v>1107</v>
      </c>
      <c r="Q179" s="212" t="s">
        <v>68</v>
      </c>
      <c r="R179" s="212" t="s">
        <v>1750</v>
      </c>
      <c r="S179" s="212"/>
      <c r="T179" s="212" t="s">
        <v>1129</v>
      </c>
      <c r="U179" s="212"/>
      <c r="V179" s="212"/>
      <c r="W179" s="212"/>
      <c r="X179" s="212"/>
      <c r="Y179" s="212"/>
      <c r="Z179" s="212"/>
      <c r="AA179" s="212"/>
      <c r="AB179" s="212"/>
      <c r="AC179" s="212"/>
      <c r="AD179" s="212"/>
      <c r="AE179" s="212"/>
      <c r="AF179" s="212"/>
      <c r="AG179" s="212"/>
      <c r="AH179" s="212"/>
      <c r="AI179" s="212"/>
      <c r="AJ179" s="212"/>
      <c r="AK179" s="212"/>
      <c r="AL179" s="212"/>
      <c r="AM179" s="212"/>
      <c r="AN179" s="212"/>
      <c r="AO179" s="212"/>
      <c r="AP179" s="212"/>
      <c r="AQ179" s="212"/>
      <c r="AR179" s="212"/>
      <c r="AS179" s="212"/>
      <c r="AT179" s="212"/>
      <c r="AU179" s="212"/>
      <c r="AV179" s="212"/>
      <c r="AW179" s="212"/>
      <c r="AX179" s="212"/>
      <c r="AY179" s="212"/>
      <c r="AZ179" s="212"/>
      <c r="BA179" s="212"/>
      <c r="BB179" s="212"/>
      <c r="BC179" s="212"/>
      <c r="BD179" s="212"/>
      <c r="BE179" s="212"/>
      <c r="BF179" s="212"/>
      <c r="BG179" s="212"/>
      <c r="BH179" s="212"/>
      <c r="BI179" s="231" t="str">
        <f>HYPERLINK("#일위대가목록!A65","P9-3-1/1 →")</f>
        <v>P9-3-1/1 →</v>
      </c>
    </row>
    <row r="180" spans="1:61" ht="24" customHeight="1">
      <c r="A180" s="215"/>
      <c r="B180" s="215"/>
      <c r="C180" s="229"/>
      <c r="D180" s="213"/>
      <c r="E180" s="213"/>
      <c r="F180" s="213"/>
      <c r="G180" s="213"/>
      <c r="H180" s="213"/>
      <c r="I180" s="213"/>
      <c r="J180" s="213"/>
      <c r="K180" s="213"/>
      <c r="L180" s="213"/>
      <c r="M180" s="215"/>
      <c r="N180" s="212"/>
      <c r="O180" s="212"/>
      <c r="P180" s="212"/>
      <c r="Q180" s="212"/>
      <c r="R180" s="212"/>
      <c r="S180" s="212"/>
      <c r="T180" s="212"/>
      <c r="U180" s="212"/>
      <c r="V180" s="212"/>
      <c r="W180" s="212"/>
      <c r="X180" s="212"/>
      <c r="Y180" s="212"/>
      <c r="Z180" s="212"/>
      <c r="AA180" s="212"/>
      <c r="AB180" s="212"/>
      <c r="AC180" s="212"/>
      <c r="AD180" s="212"/>
      <c r="AE180" s="212"/>
      <c r="AF180" s="212"/>
      <c r="AG180" s="212"/>
      <c r="AH180" s="212"/>
      <c r="AI180" s="212"/>
      <c r="AJ180" s="212"/>
      <c r="AK180" s="212"/>
      <c r="AL180" s="212"/>
      <c r="AM180" s="212"/>
      <c r="AN180" s="212"/>
      <c r="AO180" s="212"/>
      <c r="AP180" s="212"/>
      <c r="AQ180" s="212"/>
      <c r="AR180" s="212"/>
      <c r="AS180" s="212"/>
      <c r="AT180" s="212"/>
      <c r="AU180" s="212"/>
      <c r="AV180" s="212"/>
      <c r="AW180" s="212"/>
      <c r="AX180" s="212"/>
      <c r="AY180" s="212"/>
      <c r="AZ180" s="212"/>
      <c r="BA180" s="212"/>
      <c r="BB180" s="212"/>
      <c r="BC180" s="212"/>
      <c r="BD180" s="212"/>
      <c r="BE180" s="212"/>
      <c r="BF180" s="212"/>
      <c r="BG180" s="212"/>
      <c r="BH180" s="212"/>
      <c r="BI180" s="212"/>
    </row>
    <row r="181" spans="1:61" ht="24" customHeight="1">
      <c r="A181" s="218" t="s">
        <v>2060</v>
      </c>
      <c r="B181" s="218" t="s">
        <v>1203</v>
      </c>
      <c r="C181" s="228">
        <v>1</v>
      </c>
      <c r="D181" s="213" t="s">
        <v>437</v>
      </c>
      <c r="E181" s="212"/>
      <c r="F181" s="217">
        <f>TRUNC(F182+F183+F184+F185+F186+F187,0)</f>
        <v>0</v>
      </c>
      <c r="G181" s="212"/>
      <c r="H181" s="217">
        <f>TRUNC(H182+H183+H184+H185+H186+H187,0)</f>
        <v>0</v>
      </c>
      <c r="I181" s="212"/>
      <c r="J181" s="217">
        <f>TRUNC(J182+J183+J184+J185+J186+J187,0)</f>
        <v>0</v>
      </c>
      <c r="K181" s="212"/>
      <c r="L181" s="217">
        <f t="shared" ref="L181:L187" si="26">F181+H181+J181</f>
        <v>0</v>
      </c>
      <c r="M181" s="215" t="s">
        <v>1694</v>
      </c>
      <c r="N181" s="212" t="s">
        <v>68</v>
      </c>
      <c r="O181" s="212" t="s">
        <v>1204</v>
      </c>
      <c r="P181" s="212"/>
      <c r="Q181" s="212"/>
      <c r="R181" s="212"/>
      <c r="S181" s="212"/>
      <c r="T181" s="212"/>
      <c r="U181" s="212"/>
      <c r="V181" s="212"/>
      <c r="W181" s="212"/>
      <c r="X181" s="212"/>
      <c r="Y181" s="212"/>
      <c r="Z181" s="212"/>
      <c r="AA181" s="212"/>
      <c r="AB181" s="212"/>
      <c r="AC181" s="212"/>
      <c r="AD181" s="212"/>
      <c r="AE181" s="212"/>
      <c r="AF181" s="212"/>
      <c r="AG181" s="212"/>
      <c r="AH181" s="212"/>
      <c r="AI181" s="212"/>
      <c r="AJ181" s="212"/>
      <c r="AK181" s="212"/>
      <c r="AL181" s="212"/>
      <c r="AM181" s="212"/>
      <c r="AN181" s="212"/>
      <c r="AO181" s="212"/>
      <c r="AP181" s="212"/>
      <c r="AQ181" s="212"/>
      <c r="AR181" s="212"/>
      <c r="AS181" s="212"/>
      <c r="AT181" s="212"/>
      <c r="AU181" s="212"/>
      <c r="AV181" s="212"/>
      <c r="AW181" s="212"/>
      <c r="AX181" s="212"/>
      <c r="AY181" s="212"/>
      <c r="AZ181" s="212"/>
      <c r="BA181" s="212"/>
      <c r="BB181" s="212"/>
      <c r="BC181" s="212"/>
      <c r="BD181" s="212"/>
      <c r="BE181" s="212"/>
      <c r="BF181" s="212"/>
      <c r="BG181" s="212"/>
      <c r="BH181" s="212"/>
      <c r="BI181" s="212"/>
    </row>
    <row r="182" spans="1:61" ht="24" customHeight="1">
      <c r="A182" s="218" t="s">
        <v>1202</v>
      </c>
      <c r="B182" s="218" t="s">
        <v>1203</v>
      </c>
      <c r="C182" s="228">
        <v>1</v>
      </c>
      <c r="D182" s="213" t="s">
        <v>437</v>
      </c>
      <c r="E182" s="217">
        <f>자재조서!E71</f>
        <v>0</v>
      </c>
      <c r="F182" s="217">
        <f t="shared" ref="F182:F187" si="27">TRUNC(E182*C182,0)</f>
        <v>0</v>
      </c>
      <c r="G182" s="217">
        <v>0</v>
      </c>
      <c r="H182" s="217"/>
      <c r="I182" s="217">
        <v>0</v>
      </c>
      <c r="J182" s="217"/>
      <c r="K182" s="217">
        <f t="shared" ref="K182:K187" si="28">E182+G182+I182</f>
        <v>0</v>
      </c>
      <c r="L182" s="217">
        <f t="shared" si="26"/>
        <v>0</v>
      </c>
      <c r="M182" s="215" t="s">
        <v>68</v>
      </c>
      <c r="N182" s="212" t="s">
        <v>68</v>
      </c>
      <c r="O182" s="212"/>
      <c r="P182" s="212" t="s">
        <v>1095</v>
      </c>
      <c r="Q182" s="212" t="s">
        <v>68</v>
      </c>
      <c r="R182" s="212" t="s">
        <v>2061</v>
      </c>
      <c r="S182" s="212"/>
      <c r="T182" s="212"/>
      <c r="U182" s="212"/>
      <c r="V182" s="212"/>
      <c r="W182" s="212"/>
      <c r="X182" s="212"/>
      <c r="Y182" s="212"/>
      <c r="Z182" s="212"/>
      <c r="AA182" s="212"/>
      <c r="AB182" s="212"/>
      <c r="AC182" s="212"/>
      <c r="AD182" s="212"/>
      <c r="AE182" s="212"/>
      <c r="AF182" s="212"/>
      <c r="AG182" s="212"/>
      <c r="AH182" s="212"/>
      <c r="AI182" s="212"/>
      <c r="AJ182" s="212"/>
      <c r="AK182" s="212"/>
      <c r="AL182" s="212"/>
      <c r="AM182" s="212"/>
      <c r="AN182" s="212"/>
      <c r="AO182" s="212"/>
      <c r="AP182" s="212"/>
      <c r="AQ182" s="212"/>
      <c r="AR182" s="212"/>
      <c r="AS182" s="212"/>
      <c r="AT182" s="212"/>
      <c r="AU182" s="212"/>
      <c r="AV182" s="212"/>
      <c r="AW182" s="212"/>
      <c r="AX182" s="212"/>
      <c r="AY182" s="212"/>
      <c r="AZ182" s="212"/>
      <c r="BA182" s="212"/>
      <c r="BB182" s="212"/>
      <c r="BC182" s="212"/>
      <c r="BD182" s="212"/>
      <c r="BE182" s="212"/>
      <c r="BF182" s="212"/>
      <c r="BG182" s="212"/>
      <c r="BH182" s="212"/>
      <c r="BI182" s="231" t="str">
        <f>HYPERLINK("#자재조서!A71","MZZ9000008 →")</f>
        <v>MZZ9000008 →</v>
      </c>
    </row>
    <row r="183" spans="1:61" ht="24" customHeight="1">
      <c r="A183" s="218" t="s">
        <v>2053</v>
      </c>
      <c r="B183" s="218" t="s">
        <v>2054</v>
      </c>
      <c r="C183" s="229">
        <v>2.2400000000000002</v>
      </c>
      <c r="D183" s="213" t="s">
        <v>2055</v>
      </c>
      <c r="E183" s="217">
        <f>자재조서!E21</f>
        <v>0</v>
      </c>
      <c r="F183" s="217">
        <f t="shared" si="27"/>
        <v>0</v>
      </c>
      <c r="G183" s="217">
        <v>0</v>
      </c>
      <c r="H183" s="217"/>
      <c r="I183" s="217">
        <v>0</v>
      </c>
      <c r="J183" s="217"/>
      <c r="K183" s="217">
        <f t="shared" si="28"/>
        <v>0</v>
      </c>
      <c r="L183" s="217">
        <f t="shared" si="26"/>
        <v>0</v>
      </c>
      <c r="M183" s="215" t="s">
        <v>68</v>
      </c>
      <c r="N183" s="212" t="s">
        <v>68</v>
      </c>
      <c r="O183" s="212"/>
      <c r="P183" s="212" t="s">
        <v>1098</v>
      </c>
      <c r="Q183" s="212" t="s">
        <v>68</v>
      </c>
      <c r="R183" s="212" t="s">
        <v>2056</v>
      </c>
      <c r="S183" s="212"/>
      <c r="T183" s="212"/>
      <c r="U183" s="212"/>
      <c r="V183" s="212"/>
      <c r="W183" s="212"/>
      <c r="X183" s="212"/>
      <c r="Y183" s="212"/>
      <c r="Z183" s="212"/>
      <c r="AA183" s="212"/>
      <c r="AB183" s="212"/>
      <c r="AC183" s="212"/>
      <c r="AD183" s="212"/>
      <c r="AE183" s="212"/>
      <c r="AF183" s="212"/>
      <c r="AG183" s="212"/>
      <c r="AH183" s="212"/>
      <c r="AI183" s="212"/>
      <c r="AJ183" s="212"/>
      <c r="AK183" s="212"/>
      <c r="AL183" s="212"/>
      <c r="AM183" s="212"/>
      <c r="AN183" s="212"/>
      <c r="AO183" s="212"/>
      <c r="AP183" s="212"/>
      <c r="AQ183" s="212"/>
      <c r="AR183" s="212"/>
      <c r="AS183" s="212"/>
      <c r="AT183" s="212"/>
      <c r="AU183" s="212"/>
      <c r="AV183" s="212"/>
      <c r="AW183" s="212"/>
      <c r="AX183" s="212"/>
      <c r="AY183" s="212"/>
      <c r="AZ183" s="212"/>
      <c r="BA183" s="212"/>
      <c r="BB183" s="212"/>
      <c r="BC183" s="212"/>
      <c r="BD183" s="212"/>
      <c r="BE183" s="212"/>
      <c r="BF183" s="212"/>
      <c r="BG183" s="212"/>
      <c r="BH183" s="212"/>
      <c r="BI183" s="231" t="str">
        <f>HYPERLINK("#자재조서!A21","M4036023 →")</f>
        <v>M4036023 →</v>
      </c>
    </row>
    <row r="184" spans="1:61" ht="24" customHeight="1">
      <c r="A184" s="218" t="s">
        <v>2037</v>
      </c>
      <c r="B184" s="218" t="s">
        <v>1738</v>
      </c>
      <c r="C184" s="229">
        <v>2.2400000000000002</v>
      </c>
      <c r="D184" s="213" t="s">
        <v>9</v>
      </c>
      <c r="E184" s="217">
        <f>일위목록!E62</f>
        <v>0</v>
      </c>
      <c r="F184" s="217">
        <f t="shared" si="27"/>
        <v>0</v>
      </c>
      <c r="G184" s="217">
        <f>일위목록!F62</f>
        <v>0</v>
      </c>
      <c r="H184" s="217">
        <f>TRUNC(G184*C184,0)</f>
        <v>0</v>
      </c>
      <c r="I184" s="217">
        <f>일위목록!G62</f>
        <v>0</v>
      </c>
      <c r="J184" s="217">
        <f>TRUNC(I184*C184,0)</f>
        <v>0</v>
      </c>
      <c r="K184" s="217">
        <f t="shared" si="28"/>
        <v>0</v>
      </c>
      <c r="L184" s="217">
        <f t="shared" si="26"/>
        <v>0</v>
      </c>
      <c r="M184" s="215" t="s">
        <v>68</v>
      </c>
      <c r="N184" s="212" t="s">
        <v>68</v>
      </c>
      <c r="O184" s="212"/>
      <c r="P184" s="212" t="s">
        <v>1101</v>
      </c>
      <c r="Q184" s="212" t="s">
        <v>68</v>
      </c>
      <c r="R184" s="212" t="s">
        <v>1740</v>
      </c>
      <c r="S184" s="212"/>
      <c r="T184" s="212" t="s">
        <v>1129</v>
      </c>
      <c r="U184" s="212"/>
      <c r="V184" s="212"/>
      <c r="W184" s="212"/>
      <c r="X184" s="212"/>
      <c r="Y184" s="212"/>
      <c r="Z184" s="212"/>
      <c r="AA184" s="212"/>
      <c r="AB184" s="212"/>
      <c r="AC184" s="212"/>
      <c r="AD184" s="212"/>
      <c r="AE184" s="212"/>
      <c r="AF184" s="212"/>
      <c r="AG184" s="212"/>
      <c r="AH184" s="212"/>
      <c r="AI184" s="212"/>
      <c r="AJ184" s="212"/>
      <c r="AK184" s="212"/>
      <c r="AL184" s="212"/>
      <c r="AM184" s="212"/>
      <c r="AN184" s="212"/>
      <c r="AO184" s="212"/>
      <c r="AP184" s="212"/>
      <c r="AQ184" s="212"/>
      <c r="AR184" s="212"/>
      <c r="AS184" s="212"/>
      <c r="AT184" s="212"/>
      <c r="AU184" s="212"/>
      <c r="AV184" s="212"/>
      <c r="AW184" s="212"/>
      <c r="AX184" s="212"/>
      <c r="AY184" s="212"/>
      <c r="AZ184" s="212"/>
      <c r="BA184" s="212"/>
      <c r="BB184" s="212"/>
      <c r="BC184" s="212"/>
      <c r="BD184" s="212"/>
      <c r="BE184" s="212"/>
      <c r="BF184" s="212"/>
      <c r="BG184" s="212"/>
      <c r="BH184" s="212"/>
      <c r="BI184" s="231" t="str">
        <f>HYPERLINK("#일위대가목록!A62","PP10-3-1/9 →")</f>
        <v>PP10-3-1/9 →</v>
      </c>
    </row>
    <row r="185" spans="1:61" ht="24" customHeight="1">
      <c r="A185" s="218" t="s">
        <v>2058</v>
      </c>
      <c r="B185" s="218" t="s">
        <v>1727</v>
      </c>
      <c r="C185" s="228">
        <v>1</v>
      </c>
      <c r="D185" s="213" t="s">
        <v>378</v>
      </c>
      <c r="E185" s="217">
        <f>일위목록!E66</f>
        <v>0</v>
      </c>
      <c r="F185" s="217">
        <f t="shared" si="27"/>
        <v>0</v>
      </c>
      <c r="G185" s="217">
        <f>일위목록!F66</f>
        <v>0</v>
      </c>
      <c r="H185" s="217">
        <f>TRUNC(G185*C185,0)</f>
        <v>0</v>
      </c>
      <c r="I185" s="217">
        <f>일위목록!G66</f>
        <v>0</v>
      </c>
      <c r="J185" s="217">
        <f>TRUNC(I185*C185,0)</f>
        <v>0</v>
      </c>
      <c r="K185" s="217">
        <f t="shared" si="28"/>
        <v>0</v>
      </c>
      <c r="L185" s="217">
        <f t="shared" si="26"/>
        <v>0</v>
      </c>
      <c r="M185" s="215" t="s">
        <v>68</v>
      </c>
      <c r="N185" s="212" t="s">
        <v>68</v>
      </c>
      <c r="O185" s="212"/>
      <c r="P185" s="212" t="s">
        <v>1104</v>
      </c>
      <c r="Q185" s="212" t="s">
        <v>68</v>
      </c>
      <c r="R185" s="212" t="s">
        <v>1752</v>
      </c>
      <c r="S185" s="212"/>
      <c r="T185" s="212" t="s">
        <v>1129</v>
      </c>
      <c r="U185" s="212"/>
      <c r="V185" s="212"/>
      <c r="W185" s="212"/>
      <c r="X185" s="212"/>
      <c r="Y185" s="212"/>
      <c r="Z185" s="212"/>
      <c r="AA185" s="212"/>
      <c r="AB185" s="212"/>
      <c r="AC185" s="212"/>
      <c r="AD185" s="212"/>
      <c r="AE185" s="212"/>
      <c r="AF185" s="212"/>
      <c r="AG185" s="212"/>
      <c r="AH185" s="212"/>
      <c r="AI185" s="212"/>
      <c r="AJ185" s="212"/>
      <c r="AK185" s="212"/>
      <c r="AL185" s="212"/>
      <c r="AM185" s="212"/>
      <c r="AN185" s="212"/>
      <c r="AO185" s="212"/>
      <c r="AP185" s="212"/>
      <c r="AQ185" s="212"/>
      <c r="AR185" s="212"/>
      <c r="AS185" s="212"/>
      <c r="AT185" s="212"/>
      <c r="AU185" s="212"/>
      <c r="AV185" s="212"/>
      <c r="AW185" s="212"/>
      <c r="AX185" s="212"/>
      <c r="AY185" s="212"/>
      <c r="AZ185" s="212"/>
      <c r="BA185" s="212"/>
      <c r="BB185" s="212"/>
      <c r="BC185" s="212"/>
      <c r="BD185" s="212"/>
      <c r="BE185" s="212"/>
      <c r="BF185" s="212"/>
      <c r="BG185" s="212"/>
      <c r="BH185" s="212"/>
      <c r="BI185" s="231" t="str">
        <f>HYPERLINK("#일위대가목록!A66","PP10-1-3/2 →")</f>
        <v>PP10-1-3/2 →</v>
      </c>
    </row>
    <row r="186" spans="1:61" ht="24" customHeight="1">
      <c r="A186" s="218" t="s">
        <v>2039</v>
      </c>
      <c r="B186" s="218" t="s">
        <v>1745</v>
      </c>
      <c r="C186" s="229">
        <v>11.98</v>
      </c>
      <c r="D186" s="213" t="s">
        <v>1033</v>
      </c>
      <c r="E186" s="217">
        <f>일위목록!E64</f>
        <v>0</v>
      </c>
      <c r="F186" s="217">
        <f t="shared" si="27"/>
        <v>0</v>
      </c>
      <c r="G186" s="217">
        <f>일위목록!F64</f>
        <v>0</v>
      </c>
      <c r="H186" s="217">
        <f>TRUNC(G186*C186,0)</f>
        <v>0</v>
      </c>
      <c r="I186" s="217">
        <f>일위목록!G64</f>
        <v>0</v>
      </c>
      <c r="J186" s="217">
        <f>TRUNC(I186*C186,0)</f>
        <v>0</v>
      </c>
      <c r="K186" s="217">
        <f t="shared" si="28"/>
        <v>0</v>
      </c>
      <c r="L186" s="217">
        <f t="shared" si="26"/>
        <v>0</v>
      </c>
      <c r="M186" s="215" t="s">
        <v>68</v>
      </c>
      <c r="N186" s="212" t="s">
        <v>68</v>
      </c>
      <c r="O186" s="212"/>
      <c r="P186" s="212" t="s">
        <v>1107</v>
      </c>
      <c r="Q186" s="212" t="s">
        <v>68</v>
      </c>
      <c r="R186" s="212" t="s">
        <v>1747</v>
      </c>
      <c r="S186" s="212"/>
      <c r="T186" s="212" t="s">
        <v>1129</v>
      </c>
      <c r="U186" s="212"/>
      <c r="V186" s="212"/>
      <c r="W186" s="212"/>
      <c r="X186" s="212"/>
      <c r="Y186" s="212"/>
      <c r="Z186" s="212"/>
      <c r="AA186" s="212"/>
      <c r="AB186" s="212"/>
      <c r="AC186" s="212"/>
      <c r="AD186" s="212"/>
      <c r="AE186" s="212"/>
      <c r="AF186" s="212"/>
      <c r="AG186" s="212"/>
      <c r="AH186" s="212"/>
      <c r="AI186" s="212"/>
      <c r="AJ186" s="212"/>
      <c r="AK186" s="212"/>
      <c r="AL186" s="212"/>
      <c r="AM186" s="212"/>
      <c r="AN186" s="212"/>
      <c r="AO186" s="212"/>
      <c r="AP186" s="212"/>
      <c r="AQ186" s="212"/>
      <c r="AR186" s="212"/>
      <c r="AS186" s="212"/>
      <c r="AT186" s="212"/>
      <c r="AU186" s="212"/>
      <c r="AV186" s="212"/>
      <c r="AW186" s="212"/>
      <c r="AX186" s="212"/>
      <c r="AY186" s="212"/>
      <c r="AZ186" s="212"/>
      <c r="BA186" s="212"/>
      <c r="BB186" s="212"/>
      <c r="BC186" s="212"/>
      <c r="BD186" s="212"/>
      <c r="BE186" s="212"/>
      <c r="BF186" s="212"/>
      <c r="BG186" s="212"/>
      <c r="BH186" s="212"/>
      <c r="BI186" s="231" t="str">
        <f>HYPERLINK("#일위대가목록!A64","PP10-4-3/1 →")</f>
        <v>PP10-4-3/1 →</v>
      </c>
    </row>
    <row r="187" spans="1:61" ht="24" customHeight="1">
      <c r="A187" s="218" t="s">
        <v>2059</v>
      </c>
      <c r="B187" s="218" t="s">
        <v>68</v>
      </c>
      <c r="C187" s="229">
        <v>11.98</v>
      </c>
      <c r="D187" s="213" t="s">
        <v>1033</v>
      </c>
      <c r="E187" s="217">
        <f>일위목록!E65</f>
        <v>0</v>
      </c>
      <c r="F187" s="217">
        <f t="shared" si="27"/>
        <v>0</v>
      </c>
      <c r="G187" s="217">
        <f>일위목록!F65</f>
        <v>0</v>
      </c>
      <c r="H187" s="217">
        <f>TRUNC(G187*C187,0)</f>
        <v>0</v>
      </c>
      <c r="I187" s="217">
        <f>일위목록!G65</f>
        <v>0</v>
      </c>
      <c r="J187" s="217">
        <f>TRUNC(I187*C187,0)</f>
        <v>0</v>
      </c>
      <c r="K187" s="217">
        <f t="shared" si="28"/>
        <v>0</v>
      </c>
      <c r="L187" s="217">
        <f t="shared" si="26"/>
        <v>0</v>
      </c>
      <c r="M187" s="215" t="s">
        <v>68</v>
      </c>
      <c r="N187" s="212" t="s">
        <v>68</v>
      </c>
      <c r="O187" s="212"/>
      <c r="P187" s="212" t="s">
        <v>1108</v>
      </c>
      <c r="Q187" s="212" t="s">
        <v>68</v>
      </c>
      <c r="R187" s="212" t="s">
        <v>1750</v>
      </c>
      <c r="S187" s="212"/>
      <c r="T187" s="212" t="s">
        <v>1129</v>
      </c>
      <c r="U187" s="212"/>
      <c r="V187" s="212"/>
      <c r="W187" s="212"/>
      <c r="X187" s="212"/>
      <c r="Y187" s="212"/>
      <c r="Z187" s="212"/>
      <c r="AA187" s="212"/>
      <c r="AB187" s="212"/>
      <c r="AC187" s="212"/>
      <c r="AD187" s="212"/>
      <c r="AE187" s="212"/>
      <c r="AF187" s="212"/>
      <c r="AG187" s="212"/>
      <c r="AH187" s="212"/>
      <c r="AI187" s="212"/>
      <c r="AJ187" s="212"/>
      <c r="AK187" s="212"/>
      <c r="AL187" s="212"/>
      <c r="AM187" s="212"/>
      <c r="AN187" s="212"/>
      <c r="AO187" s="212"/>
      <c r="AP187" s="212"/>
      <c r="AQ187" s="212"/>
      <c r="AR187" s="212"/>
      <c r="AS187" s="212"/>
      <c r="AT187" s="212"/>
      <c r="AU187" s="212"/>
      <c r="AV187" s="212"/>
      <c r="AW187" s="212"/>
      <c r="AX187" s="212"/>
      <c r="AY187" s="212"/>
      <c r="AZ187" s="212"/>
      <c r="BA187" s="212"/>
      <c r="BB187" s="212"/>
      <c r="BC187" s="212"/>
      <c r="BD187" s="212"/>
      <c r="BE187" s="212"/>
      <c r="BF187" s="212"/>
      <c r="BG187" s="212"/>
      <c r="BH187" s="212"/>
      <c r="BI187" s="231" t="str">
        <f>HYPERLINK("#일위대가목록!A65","P9-3-1/1 →")</f>
        <v>P9-3-1/1 →</v>
      </c>
    </row>
    <row r="188" spans="1:61" ht="24" customHeight="1">
      <c r="A188" s="215"/>
      <c r="B188" s="215"/>
      <c r="C188" s="229"/>
      <c r="D188" s="213"/>
      <c r="E188" s="213"/>
      <c r="F188" s="213"/>
      <c r="G188" s="213"/>
      <c r="H188" s="213"/>
      <c r="I188" s="213"/>
      <c r="J188" s="213"/>
      <c r="K188" s="213"/>
      <c r="L188" s="213"/>
      <c r="M188" s="215"/>
      <c r="N188" s="212"/>
      <c r="O188" s="212"/>
      <c r="P188" s="212"/>
      <c r="Q188" s="212"/>
      <c r="R188" s="212"/>
      <c r="S188" s="212"/>
      <c r="T188" s="212"/>
      <c r="U188" s="212"/>
      <c r="V188" s="212"/>
      <c r="W188" s="212"/>
      <c r="X188" s="212"/>
      <c r="Y188" s="212"/>
      <c r="Z188" s="212"/>
      <c r="AA188" s="212"/>
      <c r="AB188" s="212"/>
      <c r="AC188" s="212"/>
      <c r="AD188" s="212"/>
      <c r="AE188" s="212"/>
      <c r="AF188" s="212"/>
      <c r="AG188" s="212"/>
      <c r="AH188" s="212"/>
      <c r="AI188" s="212"/>
      <c r="AJ188" s="212"/>
      <c r="AK188" s="212"/>
      <c r="AL188" s="212"/>
      <c r="AM188" s="212"/>
      <c r="AN188" s="212"/>
      <c r="AO188" s="212"/>
      <c r="AP188" s="212"/>
      <c r="AQ188" s="212"/>
      <c r="AR188" s="212"/>
      <c r="AS188" s="212"/>
      <c r="AT188" s="212"/>
      <c r="AU188" s="212"/>
      <c r="AV188" s="212"/>
      <c r="AW188" s="212"/>
      <c r="AX188" s="212"/>
      <c r="AY188" s="212"/>
      <c r="AZ188" s="212"/>
      <c r="BA188" s="212"/>
      <c r="BB188" s="212"/>
      <c r="BC188" s="212"/>
      <c r="BD188" s="212"/>
      <c r="BE188" s="212"/>
      <c r="BF188" s="212"/>
      <c r="BG188" s="212"/>
      <c r="BH188" s="212"/>
      <c r="BI188" s="212"/>
    </row>
    <row r="189" spans="1:61" ht="24" customHeight="1">
      <c r="A189" s="218" t="s">
        <v>2062</v>
      </c>
      <c r="B189" s="218" t="s">
        <v>1205</v>
      </c>
      <c r="C189" s="228">
        <v>1</v>
      </c>
      <c r="D189" s="213" t="s">
        <v>437</v>
      </c>
      <c r="E189" s="212"/>
      <c r="F189" s="217">
        <f>TRUNC(F190+F191+F192+F193+F194+F195,0)</f>
        <v>0</v>
      </c>
      <c r="G189" s="212"/>
      <c r="H189" s="217">
        <f>TRUNC(H190+H191+H192+H193+H194+H195,0)</f>
        <v>0</v>
      </c>
      <c r="I189" s="212"/>
      <c r="J189" s="217">
        <f>TRUNC(J190+J191+J192+J193+J194+J195,0)</f>
        <v>0</v>
      </c>
      <c r="K189" s="212"/>
      <c r="L189" s="217">
        <f t="shared" ref="L189:L195" si="29">F189+H189+J189</f>
        <v>0</v>
      </c>
      <c r="M189" s="215" t="s">
        <v>460</v>
      </c>
      <c r="N189" s="212" t="s">
        <v>68</v>
      </c>
      <c r="O189" s="212" t="s">
        <v>1206</v>
      </c>
      <c r="P189" s="212"/>
      <c r="Q189" s="212"/>
      <c r="R189" s="212"/>
      <c r="S189" s="212"/>
      <c r="T189" s="212"/>
      <c r="U189" s="212"/>
      <c r="V189" s="212"/>
      <c r="W189" s="212"/>
      <c r="X189" s="212"/>
      <c r="Y189" s="212"/>
      <c r="Z189" s="212"/>
      <c r="AA189" s="212"/>
      <c r="AB189" s="212"/>
      <c r="AC189" s="212"/>
      <c r="AD189" s="212"/>
      <c r="AE189" s="212"/>
      <c r="AF189" s="212"/>
      <c r="AG189" s="212"/>
      <c r="AH189" s="212"/>
      <c r="AI189" s="212"/>
      <c r="AJ189" s="212"/>
      <c r="AK189" s="212"/>
      <c r="AL189" s="212"/>
      <c r="AM189" s="212"/>
      <c r="AN189" s="212"/>
      <c r="AO189" s="212"/>
      <c r="AP189" s="212"/>
      <c r="AQ189" s="212"/>
      <c r="AR189" s="212"/>
      <c r="AS189" s="212"/>
      <c r="AT189" s="212"/>
      <c r="AU189" s="212"/>
      <c r="AV189" s="212"/>
      <c r="AW189" s="212"/>
      <c r="AX189" s="212"/>
      <c r="AY189" s="212"/>
      <c r="AZ189" s="212"/>
      <c r="BA189" s="212"/>
      <c r="BB189" s="212"/>
      <c r="BC189" s="212"/>
      <c r="BD189" s="212"/>
      <c r="BE189" s="212"/>
      <c r="BF189" s="212"/>
      <c r="BG189" s="212"/>
      <c r="BH189" s="212"/>
      <c r="BI189" s="212"/>
    </row>
    <row r="190" spans="1:61" ht="24" customHeight="1">
      <c r="A190" s="218" t="s">
        <v>1185</v>
      </c>
      <c r="B190" s="218" t="s">
        <v>1205</v>
      </c>
      <c r="C190" s="228">
        <v>1</v>
      </c>
      <c r="D190" s="213" t="s">
        <v>437</v>
      </c>
      <c r="E190" s="217">
        <f>자재조서!E72</f>
        <v>0</v>
      </c>
      <c r="F190" s="217">
        <f t="shared" ref="F190:F195" si="30">TRUNC(E190*C190,0)</f>
        <v>0</v>
      </c>
      <c r="G190" s="217">
        <v>0</v>
      </c>
      <c r="H190" s="217"/>
      <c r="I190" s="217">
        <v>0</v>
      </c>
      <c r="J190" s="217"/>
      <c r="K190" s="217">
        <f t="shared" ref="K190:K195" si="31">E190+G190+I190</f>
        <v>0</v>
      </c>
      <c r="L190" s="217">
        <f t="shared" si="29"/>
        <v>0</v>
      </c>
      <c r="M190" s="215" t="s">
        <v>68</v>
      </c>
      <c r="N190" s="212" t="s">
        <v>68</v>
      </c>
      <c r="O190" s="212"/>
      <c r="P190" s="212" t="s">
        <v>1095</v>
      </c>
      <c r="Q190" s="212" t="s">
        <v>68</v>
      </c>
      <c r="R190" s="212" t="s">
        <v>2063</v>
      </c>
      <c r="S190" s="212"/>
      <c r="T190" s="212"/>
      <c r="U190" s="212"/>
      <c r="V190" s="212"/>
      <c r="W190" s="212"/>
      <c r="X190" s="212"/>
      <c r="Y190" s="212"/>
      <c r="Z190" s="212"/>
      <c r="AA190" s="212"/>
      <c r="AB190" s="212"/>
      <c r="AC190" s="212"/>
      <c r="AD190" s="212"/>
      <c r="AE190" s="212"/>
      <c r="AF190" s="212"/>
      <c r="AG190" s="212"/>
      <c r="AH190" s="212"/>
      <c r="AI190" s="212"/>
      <c r="AJ190" s="212"/>
      <c r="AK190" s="212"/>
      <c r="AL190" s="212"/>
      <c r="AM190" s="212"/>
      <c r="AN190" s="212"/>
      <c r="AO190" s="212"/>
      <c r="AP190" s="212"/>
      <c r="AQ190" s="212"/>
      <c r="AR190" s="212"/>
      <c r="AS190" s="212"/>
      <c r="AT190" s="212"/>
      <c r="AU190" s="212"/>
      <c r="AV190" s="212"/>
      <c r="AW190" s="212"/>
      <c r="AX190" s="212"/>
      <c r="AY190" s="212"/>
      <c r="AZ190" s="212"/>
      <c r="BA190" s="212"/>
      <c r="BB190" s="212"/>
      <c r="BC190" s="212"/>
      <c r="BD190" s="212"/>
      <c r="BE190" s="212"/>
      <c r="BF190" s="212"/>
      <c r="BG190" s="212"/>
      <c r="BH190" s="212"/>
      <c r="BI190" s="231" t="str">
        <f>HYPERLINK("#자재조서!A72","MZZ9000009 →")</f>
        <v>MZZ9000009 →</v>
      </c>
    </row>
    <row r="191" spans="1:61" ht="24" customHeight="1">
      <c r="A191" s="218" t="s">
        <v>2053</v>
      </c>
      <c r="B191" s="218" t="s">
        <v>2054</v>
      </c>
      <c r="C191" s="229">
        <v>0.8</v>
      </c>
      <c r="D191" s="213" t="s">
        <v>2055</v>
      </c>
      <c r="E191" s="217">
        <f>자재조서!E21</f>
        <v>0</v>
      </c>
      <c r="F191" s="217">
        <f t="shared" si="30"/>
        <v>0</v>
      </c>
      <c r="G191" s="217">
        <v>0</v>
      </c>
      <c r="H191" s="217"/>
      <c r="I191" s="217">
        <v>0</v>
      </c>
      <c r="J191" s="217"/>
      <c r="K191" s="217">
        <f t="shared" si="31"/>
        <v>0</v>
      </c>
      <c r="L191" s="217">
        <f t="shared" si="29"/>
        <v>0</v>
      </c>
      <c r="M191" s="215" t="s">
        <v>68</v>
      </c>
      <c r="N191" s="212" t="s">
        <v>68</v>
      </c>
      <c r="O191" s="212"/>
      <c r="P191" s="212" t="s">
        <v>1098</v>
      </c>
      <c r="Q191" s="212" t="s">
        <v>68</v>
      </c>
      <c r="R191" s="212" t="s">
        <v>2056</v>
      </c>
      <c r="S191" s="212"/>
      <c r="T191" s="212"/>
      <c r="U191" s="212"/>
      <c r="V191" s="212"/>
      <c r="W191" s="212"/>
      <c r="X191" s="212"/>
      <c r="Y191" s="212"/>
      <c r="Z191" s="212"/>
      <c r="AA191" s="212"/>
      <c r="AB191" s="212"/>
      <c r="AC191" s="212"/>
      <c r="AD191" s="212"/>
      <c r="AE191" s="212"/>
      <c r="AF191" s="212"/>
      <c r="AG191" s="212"/>
      <c r="AH191" s="212"/>
      <c r="AI191" s="212"/>
      <c r="AJ191" s="212"/>
      <c r="AK191" s="212"/>
      <c r="AL191" s="212"/>
      <c r="AM191" s="212"/>
      <c r="AN191" s="212"/>
      <c r="AO191" s="212"/>
      <c r="AP191" s="212"/>
      <c r="AQ191" s="212"/>
      <c r="AR191" s="212"/>
      <c r="AS191" s="212"/>
      <c r="AT191" s="212"/>
      <c r="AU191" s="212"/>
      <c r="AV191" s="212"/>
      <c r="AW191" s="212"/>
      <c r="AX191" s="212"/>
      <c r="AY191" s="212"/>
      <c r="AZ191" s="212"/>
      <c r="BA191" s="212"/>
      <c r="BB191" s="212"/>
      <c r="BC191" s="212"/>
      <c r="BD191" s="212"/>
      <c r="BE191" s="212"/>
      <c r="BF191" s="212"/>
      <c r="BG191" s="212"/>
      <c r="BH191" s="212"/>
      <c r="BI191" s="231" t="str">
        <f>HYPERLINK("#자재조서!A21","M4036023 →")</f>
        <v>M4036023 →</v>
      </c>
    </row>
    <row r="192" spans="1:61" ht="24" customHeight="1">
      <c r="A192" s="218" t="s">
        <v>2037</v>
      </c>
      <c r="B192" s="218" t="s">
        <v>1738</v>
      </c>
      <c r="C192" s="229">
        <v>0.8</v>
      </c>
      <c r="D192" s="213" t="s">
        <v>9</v>
      </c>
      <c r="E192" s="217">
        <f>일위목록!E62</f>
        <v>0</v>
      </c>
      <c r="F192" s="217">
        <f t="shared" si="30"/>
        <v>0</v>
      </c>
      <c r="G192" s="217">
        <f>일위목록!F62</f>
        <v>0</v>
      </c>
      <c r="H192" s="217">
        <f>TRUNC(G192*C192,0)</f>
        <v>0</v>
      </c>
      <c r="I192" s="217">
        <f>일위목록!G62</f>
        <v>0</v>
      </c>
      <c r="J192" s="217">
        <f>TRUNC(I192*C192,0)</f>
        <v>0</v>
      </c>
      <c r="K192" s="217">
        <f t="shared" si="31"/>
        <v>0</v>
      </c>
      <c r="L192" s="217">
        <f t="shared" si="29"/>
        <v>0</v>
      </c>
      <c r="M192" s="215" t="s">
        <v>68</v>
      </c>
      <c r="N192" s="212" t="s">
        <v>68</v>
      </c>
      <c r="O192" s="212"/>
      <c r="P192" s="212" t="s">
        <v>1101</v>
      </c>
      <c r="Q192" s="212" t="s">
        <v>68</v>
      </c>
      <c r="R192" s="212" t="s">
        <v>1740</v>
      </c>
      <c r="S192" s="212"/>
      <c r="T192" s="212" t="s">
        <v>1129</v>
      </c>
      <c r="U192" s="212"/>
      <c r="V192" s="212"/>
      <c r="W192" s="212"/>
      <c r="X192" s="212"/>
      <c r="Y192" s="212"/>
      <c r="Z192" s="212"/>
      <c r="AA192" s="212"/>
      <c r="AB192" s="212"/>
      <c r="AC192" s="212"/>
      <c r="AD192" s="212"/>
      <c r="AE192" s="212"/>
      <c r="AF192" s="212"/>
      <c r="AG192" s="212"/>
      <c r="AH192" s="212"/>
      <c r="AI192" s="212"/>
      <c r="AJ192" s="212"/>
      <c r="AK192" s="212"/>
      <c r="AL192" s="212"/>
      <c r="AM192" s="212"/>
      <c r="AN192" s="212"/>
      <c r="AO192" s="212"/>
      <c r="AP192" s="212"/>
      <c r="AQ192" s="212"/>
      <c r="AR192" s="212"/>
      <c r="AS192" s="212"/>
      <c r="AT192" s="212"/>
      <c r="AU192" s="212"/>
      <c r="AV192" s="212"/>
      <c r="AW192" s="212"/>
      <c r="AX192" s="212"/>
      <c r="AY192" s="212"/>
      <c r="AZ192" s="212"/>
      <c r="BA192" s="212"/>
      <c r="BB192" s="212"/>
      <c r="BC192" s="212"/>
      <c r="BD192" s="212"/>
      <c r="BE192" s="212"/>
      <c r="BF192" s="212"/>
      <c r="BG192" s="212"/>
      <c r="BH192" s="212"/>
      <c r="BI192" s="231" t="str">
        <f>HYPERLINK("#일위대가목록!A62","PP10-3-1/9 →")</f>
        <v>PP10-3-1/9 →</v>
      </c>
    </row>
    <row r="193" spans="1:61" ht="24" customHeight="1">
      <c r="A193" s="218" t="s">
        <v>2058</v>
      </c>
      <c r="B193" s="218" t="s">
        <v>1727</v>
      </c>
      <c r="C193" s="228">
        <v>1</v>
      </c>
      <c r="D193" s="213" t="s">
        <v>378</v>
      </c>
      <c r="E193" s="217">
        <f>일위목록!E66</f>
        <v>0</v>
      </c>
      <c r="F193" s="217">
        <f t="shared" si="30"/>
        <v>0</v>
      </c>
      <c r="G193" s="217">
        <f>일위목록!F66</f>
        <v>0</v>
      </c>
      <c r="H193" s="217">
        <f>TRUNC(G193*C193,0)</f>
        <v>0</v>
      </c>
      <c r="I193" s="217">
        <f>일위목록!G66</f>
        <v>0</v>
      </c>
      <c r="J193" s="217">
        <f>TRUNC(I193*C193,0)</f>
        <v>0</v>
      </c>
      <c r="K193" s="217">
        <f t="shared" si="31"/>
        <v>0</v>
      </c>
      <c r="L193" s="217">
        <f t="shared" si="29"/>
        <v>0</v>
      </c>
      <c r="M193" s="215" t="s">
        <v>68</v>
      </c>
      <c r="N193" s="212" t="s">
        <v>68</v>
      </c>
      <c r="O193" s="212"/>
      <c r="P193" s="212" t="s">
        <v>1104</v>
      </c>
      <c r="Q193" s="212" t="s">
        <v>68</v>
      </c>
      <c r="R193" s="212" t="s">
        <v>1752</v>
      </c>
      <c r="S193" s="212"/>
      <c r="T193" s="212" t="s">
        <v>1129</v>
      </c>
      <c r="U193" s="212"/>
      <c r="V193" s="212"/>
      <c r="W193" s="212"/>
      <c r="X193" s="212"/>
      <c r="Y193" s="212"/>
      <c r="Z193" s="212"/>
      <c r="AA193" s="212"/>
      <c r="AB193" s="212"/>
      <c r="AC193" s="212"/>
      <c r="AD193" s="212"/>
      <c r="AE193" s="212"/>
      <c r="AF193" s="212"/>
      <c r="AG193" s="212"/>
      <c r="AH193" s="212"/>
      <c r="AI193" s="212"/>
      <c r="AJ193" s="212"/>
      <c r="AK193" s="212"/>
      <c r="AL193" s="212"/>
      <c r="AM193" s="212"/>
      <c r="AN193" s="212"/>
      <c r="AO193" s="212"/>
      <c r="AP193" s="212"/>
      <c r="AQ193" s="212"/>
      <c r="AR193" s="212"/>
      <c r="AS193" s="212"/>
      <c r="AT193" s="212"/>
      <c r="AU193" s="212"/>
      <c r="AV193" s="212"/>
      <c r="AW193" s="212"/>
      <c r="AX193" s="212"/>
      <c r="AY193" s="212"/>
      <c r="AZ193" s="212"/>
      <c r="BA193" s="212"/>
      <c r="BB193" s="212"/>
      <c r="BC193" s="212"/>
      <c r="BD193" s="212"/>
      <c r="BE193" s="212"/>
      <c r="BF193" s="212"/>
      <c r="BG193" s="212"/>
      <c r="BH193" s="212"/>
      <c r="BI193" s="231" t="str">
        <f>HYPERLINK("#일위대가목록!A66","PP10-1-3/2 →")</f>
        <v>PP10-1-3/2 →</v>
      </c>
    </row>
    <row r="194" spans="1:61" ht="24" customHeight="1">
      <c r="A194" s="218" t="s">
        <v>2039</v>
      </c>
      <c r="B194" s="218" t="s">
        <v>1745</v>
      </c>
      <c r="C194" s="229">
        <v>7.16</v>
      </c>
      <c r="D194" s="213" t="s">
        <v>1033</v>
      </c>
      <c r="E194" s="217">
        <f>일위목록!E64</f>
        <v>0</v>
      </c>
      <c r="F194" s="217">
        <f t="shared" si="30"/>
        <v>0</v>
      </c>
      <c r="G194" s="217">
        <f>일위목록!F64</f>
        <v>0</v>
      </c>
      <c r="H194" s="217">
        <f>TRUNC(G194*C194,0)</f>
        <v>0</v>
      </c>
      <c r="I194" s="217">
        <f>일위목록!G64</f>
        <v>0</v>
      </c>
      <c r="J194" s="217">
        <f>TRUNC(I194*C194,0)</f>
        <v>0</v>
      </c>
      <c r="K194" s="217">
        <f t="shared" si="31"/>
        <v>0</v>
      </c>
      <c r="L194" s="217">
        <f t="shared" si="29"/>
        <v>0</v>
      </c>
      <c r="M194" s="215" t="s">
        <v>68</v>
      </c>
      <c r="N194" s="212" t="s">
        <v>68</v>
      </c>
      <c r="O194" s="212"/>
      <c r="P194" s="212" t="s">
        <v>1107</v>
      </c>
      <c r="Q194" s="212" t="s">
        <v>68</v>
      </c>
      <c r="R194" s="212" t="s">
        <v>1747</v>
      </c>
      <c r="S194" s="212"/>
      <c r="T194" s="212" t="s">
        <v>1129</v>
      </c>
      <c r="U194" s="212"/>
      <c r="V194" s="212"/>
      <c r="W194" s="212"/>
      <c r="X194" s="212"/>
      <c r="Y194" s="212"/>
      <c r="Z194" s="212"/>
      <c r="AA194" s="212"/>
      <c r="AB194" s="212"/>
      <c r="AC194" s="212"/>
      <c r="AD194" s="212"/>
      <c r="AE194" s="212"/>
      <c r="AF194" s="212"/>
      <c r="AG194" s="212"/>
      <c r="AH194" s="212"/>
      <c r="AI194" s="212"/>
      <c r="AJ194" s="212"/>
      <c r="AK194" s="212"/>
      <c r="AL194" s="212"/>
      <c r="AM194" s="212"/>
      <c r="AN194" s="212"/>
      <c r="AO194" s="212"/>
      <c r="AP194" s="212"/>
      <c r="AQ194" s="212"/>
      <c r="AR194" s="212"/>
      <c r="AS194" s="212"/>
      <c r="AT194" s="212"/>
      <c r="AU194" s="212"/>
      <c r="AV194" s="212"/>
      <c r="AW194" s="212"/>
      <c r="AX194" s="212"/>
      <c r="AY194" s="212"/>
      <c r="AZ194" s="212"/>
      <c r="BA194" s="212"/>
      <c r="BB194" s="212"/>
      <c r="BC194" s="212"/>
      <c r="BD194" s="212"/>
      <c r="BE194" s="212"/>
      <c r="BF194" s="212"/>
      <c r="BG194" s="212"/>
      <c r="BH194" s="212"/>
      <c r="BI194" s="231" t="str">
        <f>HYPERLINK("#일위대가목록!A64","PP10-4-3/1 →")</f>
        <v>PP10-4-3/1 →</v>
      </c>
    </row>
    <row r="195" spans="1:61" ht="24" customHeight="1">
      <c r="A195" s="218" t="s">
        <v>2059</v>
      </c>
      <c r="B195" s="218" t="s">
        <v>68</v>
      </c>
      <c r="C195" s="229">
        <v>7.16</v>
      </c>
      <c r="D195" s="213" t="s">
        <v>1033</v>
      </c>
      <c r="E195" s="217">
        <f>일위목록!E65</f>
        <v>0</v>
      </c>
      <c r="F195" s="217">
        <f t="shared" si="30"/>
        <v>0</v>
      </c>
      <c r="G195" s="217">
        <f>일위목록!F65</f>
        <v>0</v>
      </c>
      <c r="H195" s="217">
        <f>TRUNC(G195*C195,0)</f>
        <v>0</v>
      </c>
      <c r="I195" s="217">
        <f>일위목록!G65</f>
        <v>0</v>
      </c>
      <c r="J195" s="217">
        <f>TRUNC(I195*C195,0)</f>
        <v>0</v>
      </c>
      <c r="K195" s="217">
        <f t="shared" si="31"/>
        <v>0</v>
      </c>
      <c r="L195" s="217">
        <f t="shared" si="29"/>
        <v>0</v>
      </c>
      <c r="M195" s="215" t="s">
        <v>68</v>
      </c>
      <c r="N195" s="212" t="s">
        <v>68</v>
      </c>
      <c r="O195" s="212"/>
      <c r="P195" s="212" t="s">
        <v>1108</v>
      </c>
      <c r="Q195" s="212" t="s">
        <v>68</v>
      </c>
      <c r="R195" s="212" t="s">
        <v>1750</v>
      </c>
      <c r="S195" s="212"/>
      <c r="T195" s="212" t="s">
        <v>1129</v>
      </c>
      <c r="U195" s="212"/>
      <c r="V195" s="212"/>
      <c r="W195" s="212"/>
      <c r="X195" s="212"/>
      <c r="Y195" s="212"/>
      <c r="Z195" s="212"/>
      <c r="AA195" s="212"/>
      <c r="AB195" s="212"/>
      <c r="AC195" s="212"/>
      <c r="AD195" s="212"/>
      <c r="AE195" s="212"/>
      <c r="AF195" s="212"/>
      <c r="AG195" s="212"/>
      <c r="AH195" s="212"/>
      <c r="AI195" s="212"/>
      <c r="AJ195" s="212"/>
      <c r="AK195" s="212"/>
      <c r="AL195" s="212"/>
      <c r="AM195" s="212"/>
      <c r="AN195" s="212"/>
      <c r="AO195" s="212"/>
      <c r="AP195" s="212"/>
      <c r="AQ195" s="212"/>
      <c r="AR195" s="212"/>
      <c r="AS195" s="212"/>
      <c r="AT195" s="212"/>
      <c r="AU195" s="212"/>
      <c r="AV195" s="212"/>
      <c r="AW195" s="212"/>
      <c r="AX195" s="212"/>
      <c r="AY195" s="212"/>
      <c r="AZ195" s="212"/>
      <c r="BA195" s="212"/>
      <c r="BB195" s="212"/>
      <c r="BC195" s="212"/>
      <c r="BD195" s="212"/>
      <c r="BE195" s="212"/>
      <c r="BF195" s="212"/>
      <c r="BG195" s="212"/>
      <c r="BH195" s="212"/>
      <c r="BI195" s="231" t="str">
        <f>HYPERLINK("#일위대가목록!A65","P9-3-1/1 →")</f>
        <v>P9-3-1/1 →</v>
      </c>
    </row>
    <row r="196" spans="1:61" ht="24" customHeight="1">
      <c r="A196" s="215"/>
      <c r="B196" s="215"/>
      <c r="C196" s="229"/>
      <c r="D196" s="213"/>
      <c r="E196" s="213"/>
      <c r="F196" s="213"/>
      <c r="G196" s="213"/>
      <c r="H196" s="213"/>
      <c r="I196" s="213"/>
      <c r="J196" s="213"/>
      <c r="K196" s="213"/>
      <c r="L196" s="213"/>
      <c r="M196" s="215"/>
      <c r="N196" s="212"/>
      <c r="O196" s="212"/>
      <c r="P196" s="212"/>
      <c r="Q196" s="212"/>
      <c r="R196" s="212"/>
      <c r="S196" s="212"/>
      <c r="T196" s="212"/>
      <c r="U196" s="212"/>
      <c r="V196" s="212"/>
      <c r="W196" s="212"/>
      <c r="X196" s="212"/>
      <c r="Y196" s="212"/>
      <c r="Z196" s="212"/>
      <c r="AA196" s="212"/>
      <c r="AB196" s="212"/>
      <c r="AC196" s="212"/>
      <c r="AD196" s="212"/>
      <c r="AE196" s="212"/>
      <c r="AF196" s="212"/>
      <c r="AG196" s="212"/>
      <c r="AH196" s="212"/>
      <c r="AI196" s="212"/>
      <c r="AJ196" s="212"/>
      <c r="AK196" s="212"/>
      <c r="AL196" s="212"/>
      <c r="AM196" s="212"/>
      <c r="AN196" s="212"/>
      <c r="AO196" s="212"/>
      <c r="AP196" s="212"/>
      <c r="AQ196" s="212"/>
      <c r="AR196" s="212"/>
      <c r="AS196" s="212"/>
      <c r="AT196" s="212"/>
      <c r="AU196" s="212"/>
      <c r="AV196" s="212"/>
      <c r="AW196" s="212"/>
      <c r="AX196" s="212"/>
      <c r="AY196" s="212"/>
      <c r="AZ196" s="212"/>
      <c r="BA196" s="212"/>
      <c r="BB196" s="212"/>
      <c r="BC196" s="212"/>
      <c r="BD196" s="212"/>
      <c r="BE196" s="212"/>
      <c r="BF196" s="212"/>
      <c r="BG196" s="212"/>
      <c r="BH196" s="212"/>
      <c r="BI196" s="212"/>
    </row>
    <row r="197" spans="1:61" ht="24" customHeight="1">
      <c r="A197" s="218" t="s">
        <v>2064</v>
      </c>
      <c r="B197" s="218" t="s">
        <v>1207</v>
      </c>
      <c r="C197" s="228">
        <v>1</v>
      </c>
      <c r="D197" s="213" t="s">
        <v>437</v>
      </c>
      <c r="E197" s="212"/>
      <c r="F197" s="217">
        <f>TRUNC(F198+F199+F200+F201+F202+F203,0)</f>
        <v>0</v>
      </c>
      <c r="G197" s="212"/>
      <c r="H197" s="217">
        <f>TRUNC(H198+H199+H200+H201+H202+H203,0)</f>
        <v>0</v>
      </c>
      <c r="I197" s="212"/>
      <c r="J197" s="217">
        <f>TRUNC(J198+J199+J200+J201+J202+J203,0)</f>
        <v>0</v>
      </c>
      <c r="K197" s="212"/>
      <c r="L197" s="217">
        <f t="shared" ref="L197:L203" si="32">F197+H197+J197</f>
        <v>0</v>
      </c>
      <c r="M197" s="215" t="s">
        <v>461</v>
      </c>
      <c r="N197" s="212" t="s">
        <v>68</v>
      </c>
      <c r="O197" s="212" t="s">
        <v>1208</v>
      </c>
      <c r="P197" s="212"/>
      <c r="Q197" s="212"/>
      <c r="R197" s="212"/>
      <c r="S197" s="212"/>
      <c r="T197" s="212"/>
      <c r="U197" s="212"/>
      <c r="V197" s="212"/>
      <c r="W197" s="212"/>
      <c r="X197" s="212"/>
      <c r="Y197" s="212"/>
      <c r="Z197" s="212"/>
      <c r="AA197" s="212"/>
      <c r="AB197" s="212"/>
      <c r="AC197" s="212"/>
      <c r="AD197" s="212"/>
      <c r="AE197" s="212"/>
      <c r="AF197" s="212"/>
      <c r="AG197" s="212"/>
      <c r="AH197" s="212"/>
      <c r="AI197" s="212"/>
      <c r="AJ197" s="212"/>
      <c r="AK197" s="212"/>
      <c r="AL197" s="212"/>
      <c r="AM197" s="212"/>
      <c r="AN197" s="212"/>
      <c r="AO197" s="212"/>
      <c r="AP197" s="212"/>
      <c r="AQ197" s="212"/>
      <c r="AR197" s="212"/>
      <c r="AS197" s="212"/>
      <c r="AT197" s="212"/>
      <c r="AU197" s="212"/>
      <c r="AV197" s="212"/>
      <c r="AW197" s="212"/>
      <c r="AX197" s="212"/>
      <c r="AY197" s="212"/>
      <c r="AZ197" s="212"/>
      <c r="BA197" s="212"/>
      <c r="BB197" s="212"/>
      <c r="BC197" s="212"/>
      <c r="BD197" s="212"/>
      <c r="BE197" s="212"/>
      <c r="BF197" s="212"/>
      <c r="BG197" s="212"/>
      <c r="BH197" s="212"/>
      <c r="BI197" s="212"/>
    </row>
    <row r="198" spans="1:61" ht="24" customHeight="1">
      <c r="A198" s="218" t="s">
        <v>1185</v>
      </c>
      <c r="B198" s="218" t="s">
        <v>1207</v>
      </c>
      <c r="C198" s="228">
        <v>1</v>
      </c>
      <c r="D198" s="213" t="s">
        <v>437</v>
      </c>
      <c r="E198" s="217">
        <f>자재조서!E73</f>
        <v>0</v>
      </c>
      <c r="F198" s="217">
        <f t="shared" ref="F198:F203" si="33">TRUNC(E198*C198,0)</f>
        <v>0</v>
      </c>
      <c r="G198" s="217">
        <v>0</v>
      </c>
      <c r="H198" s="217"/>
      <c r="I198" s="217">
        <v>0</v>
      </c>
      <c r="J198" s="217"/>
      <c r="K198" s="217">
        <f t="shared" ref="K198:K203" si="34">E198+G198+I198</f>
        <v>0</v>
      </c>
      <c r="L198" s="217">
        <f t="shared" si="32"/>
        <v>0</v>
      </c>
      <c r="M198" s="215" t="s">
        <v>68</v>
      </c>
      <c r="N198" s="212" t="s">
        <v>68</v>
      </c>
      <c r="O198" s="212"/>
      <c r="P198" s="212" t="s">
        <v>1095</v>
      </c>
      <c r="Q198" s="212" t="s">
        <v>68</v>
      </c>
      <c r="R198" s="212" t="s">
        <v>2065</v>
      </c>
      <c r="S198" s="212"/>
      <c r="T198" s="212"/>
      <c r="U198" s="212"/>
      <c r="V198" s="212"/>
      <c r="W198" s="212"/>
      <c r="X198" s="212"/>
      <c r="Y198" s="212"/>
      <c r="Z198" s="212"/>
      <c r="AA198" s="212"/>
      <c r="AB198" s="212"/>
      <c r="AC198" s="212"/>
      <c r="AD198" s="212"/>
      <c r="AE198" s="212"/>
      <c r="AF198" s="212"/>
      <c r="AG198" s="212"/>
      <c r="AH198" s="212"/>
      <c r="AI198" s="212"/>
      <c r="AJ198" s="212"/>
      <c r="AK198" s="212"/>
      <c r="AL198" s="212"/>
      <c r="AM198" s="212"/>
      <c r="AN198" s="212"/>
      <c r="AO198" s="212"/>
      <c r="AP198" s="212"/>
      <c r="AQ198" s="212"/>
      <c r="AR198" s="212"/>
      <c r="AS198" s="212"/>
      <c r="AT198" s="212"/>
      <c r="AU198" s="212"/>
      <c r="AV198" s="212"/>
      <c r="AW198" s="212"/>
      <c r="AX198" s="212"/>
      <c r="AY198" s="212"/>
      <c r="AZ198" s="212"/>
      <c r="BA198" s="212"/>
      <c r="BB198" s="212"/>
      <c r="BC198" s="212"/>
      <c r="BD198" s="212"/>
      <c r="BE198" s="212"/>
      <c r="BF198" s="212"/>
      <c r="BG198" s="212"/>
      <c r="BH198" s="212"/>
      <c r="BI198" s="231" t="str">
        <f>HYPERLINK("#자재조서!A73","MZZ9000010 →")</f>
        <v>MZZ9000010 →</v>
      </c>
    </row>
    <row r="199" spans="1:61" ht="24" customHeight="1">
      <c r="A199" s="218" t="s">
        <v>2053</v>
      </c>
      <c r="B199" s="218" t="s">
        <v>2054</v>
      </c>
      <c r="C199" s="229">
        <v>0.31</v>
      </c>
      <c r="D199" s="213" t="s">
        <v>2055</v>
      </c>
      <c r="E199" s="217">
        <f>자재조서!E21</f>
        <v>0</v>
      </c>
      <c r="F199" s="217">
        <f t="shared" si="33"/>
        <v>0</v>
      </c>
      <c r="G199" s="217">
        <v>0</v>
      </c>
      <c r="H199" s="217"/>
      <c r="I199" s="217">
        <v>0</v>
      </c>
      <c r="J199" s="217"/>
      <c r="K199" s="217">
        <f t="shared" si="34"/>
        <v>0</v>
      </c>
      <c r="L199" s="217">
        <f t="shared" si="32"/>
        <v>0</v>
      </c>
      <c r="M199" s="215" t="s">
        <v>68</v>
      </c>
      <c r="N199" s="212" t="s">
        <v>68</v>
      </c>
      <c r="O199" s="212"/>
      <c r="P199" s="212" t="s">
        <v>1098</v>
      </c>
      <c r="Q199" s="212" t="s">
        <v>68</v>
      </c>
      <c r="R199" s="212" t="s">
        <v>2056</v>
      </c>
      <c r="S199" s="212"/>
      <c r="T199" s="212"/>
      <c r="U199" s="212"/>
      <c r="V199" s="212"/>
      <c r="W199" s="212"/>
      <c r="X199" s="212"/>
      <c r="Y199" s="212"/>
      <c r="Z199" s="212"/>
      <c r="AA199" s="212"/>
      <c r="AB199" s="212"/>
      <c r="AC199" s="212"/>
      <c r="AD199" s="212"/>
      <c r="AE199" s="212"/>
      <c r="AF199" s="212"/>
      <c r="AG199" s="212"/>
      <c r="AH199" s="212"/>
      <c r="AI199" s="212"/>
      <c r="AJ199" s="212"/>
      <c r="AK199" s="212"/>
      <c r="AL199" s="212"/>
      <c r="AM199" s="212"/>
      <c r="AN199" s="212"/>
      <c r="AO199" s="212"/>
      <c r="AP199" s="212"/>
      <c r="AQ199" s="212"/>
      <c r="AR199" s="212"/>
      <c r="AS199" s="212"/>
      <c r="AT199" s="212"/>
      <c r="AU199" s="212"/>
      <c r="AV199" s="212"/>
      <c r="AW199" s="212"/>
      <c r="AX199" s="212"/>
      <c r="AY199" s="212"/>
      <c r="AZ199" s="212"/>
      <c r="BA199" s="212"/>
      <c r="BB199" s="212"/>
      <c r="BC199" s="212"/>
      <c r="BD199" s="212"/>
      <c r="BE199" s="212"/>
      <c r="BF199" s="212"/>
      <c r="BG199" s="212"/>
      <c r="BH199" s="212"/>
      <c r="BI199" s="231" t="str">
        <f>HYPERLINK("#자재조서!A21","M4036023 →")</f>
        <v>M4036023 →</v>
      </c>
    </row>
    <row r="200" spans="1:61" ht="24" customHeight="1">
      <c r="A200" s="218" t="s">
        <v>2037</v>
      </c>
      <c r="B200" s="218" t="s">
        <v>1738</v>
      </c>
      <c r="C200" s="229">
        <v>0.31</v>
      </c>
      <c r="D200" s="213" t="s">
        <v>9</v>
      </c>
      <c r="E200" s="217">
        <f>일위목록!E62</f>
        <v>0</v>
      </c>
      <c r="F200" s="217">
        <f t="shared" si="33"/>
        <v>0</v>
      </c>
      <c r="G200" s="217">
        <f>일위목록!F62</f>
        <v>0</v>
      </c>
      <c r="H200" s="217">
        <f>TRUNC(G200*C200,0)</f>
        <v>0</v>
      </c>
      <c r="I200" s="217">
        <f>일위목록!G62</f>
        <v>0</v>
      </c>
      <c r="J200" s="217">
        <f>TRUNC(I200*C200,0)</f>
        <v>0</v>
      </c>
      <c r="K200" s="217">
        <f t="shared" si="34"/>
        <v>0</v>
      </c>
      <c r="L200" s="217">
        <f t="shared" si="32"/>
        <v>0</v>
      </c>
      <c r="M200" s="215" t="s">
        <v>68</v>
      </c>
      <c r="N200" s="212" t="s">
        <v>68</v>
      </c>
      <c r="O200" s="212"/>
      <c r="P200" s="212" t="s">
        <v>1101</v>
      </c>
      <c r="Q200" s="212" t="s">
        <v>68</v>
      </c>
      <c r="R200" s="212" t="s">
        <v>1740</v>
      </c>
      <c r="S200" s="212"/>
      <c r="T200" s="212" t="s">
        <v>1129</v>
      </c>
      <c r="U200" s="212"/>
      <c r="V200" s="212"/>
      <c r="W200" s="212"/>
      <c r="X200" s="212"/>
      <c r="Y200" s="212"/>
      <c r="Z200" s="212"/>
      <c r="AA200" s="212"/>
      <c r="AB200" s="212"/>
      <c r="AC200" s="212"/>
      <c r="AD200" s="212"/>
      <c r="AE200" s="212"/>
      <c r="AF200" s="212"/>
      <c r="AG200" s="212"/>
      <c r="AH200" s="212"/>
      <c r="AI200" s="212"/>
      <c r="AJ200" s="212"/>
      <c r="AK200" s="212"/>
      <c r="AL200" s="212"/>
      <c r="AM200" s="212"/>
      <c r="AN200" s="212"/>
      <c r="AO200" s="212"/>
      <c r="AP200" s="212"/>
      <c r="AQ200" s="212"/>
      <c r="AR200" s="212"/>
      <c r="AS200" s="212"/>
      <c r="AT200" s="212"/>
      <c r="AU200" s="212"/>
      <c r="AV200" s="212"/>
      <c r="AW200" s="212"/>
      <c r="AX200" s="212"/>
      <c r="AY200" s="212"/>
      <c r="AZ200" s="212"/>
      <c r="BA200" s="212"/>
      <c r="BB200" s="212"/>
      <c r="BC200" s="212"/>
      <c r="BD200" s="212"/>
      <c r="BE200" s="212"/>
      <c r="BF200" s="212"/>
      <c r="BG200" s="212"/>
      <c r="BH200" s="212"/>
      <c r="BI200" s="231" t="str">
        <f>HYPERLINK("#일위대가목록!A62","PP10-3-1/9 →")</f>
        <v>PP10-3-1/9 →</v>
      </c>
    </row>
    <row r="201" spans="1:61" ht="24" customHeight="1">
      <c r="A201" s="218" t="s">
        <v>2058</v>
      </c>
      <c r="B201" s="218" t="s">
        <v>1727</v>
      </c>
      <c r="C201" s="228">
        <v>1</v>
      </c>
      <c r="D201" s="213" t="s">
        <v>378</v>
      </c>
      <c r="E201" s="217">
        <f>일위목록!E66</f>
        <v>0</v>
      </c>
      <c r="F201" s="217">
        <f t="shared" si="33"/>
        <v>0</v>
      </c>
      <c r="G201" s="217">
        <f>일위목록!F66</f>
        <v>0</v>
      </c>
      <c r="H201" s="217">
        <f>TRUNC(G201*C201,0)</f>
        <v>0</v>
      </c>
      <c r="I201" s="217">
        <f>일위목록!G66</f>
        <v>0</v>
      </c>
      <c r="J201" s="217">
        <f>TRUNC(I201*C201,0)</f>
        <v>0</v>
      </c>
      <c r="K201" s="217">
        <f t="shared" si="34"/>
        <v>0</v>
      </c>
      <c r="L201" s="217">
        <f t="shared" si="32"/>
        <v>0</v>
      </c>
      <c r="M201" s="215" t="s">
        <v>68</v>
      </c>
      <c r="N201" s="212" t="s">
        <v>68</v>
      </c>
      <c r="O201" s="212"/>
      <c r="P201" s="212" t="s">
        <v>1104</v>
      </c>
      <c r="Q201" s="212" t="s">
        <v>68</v>
      </c>
      <c r="R201" s="212" t="s">
        <v>1752</v>
      </c>
      <c r="S201" s="212"/>
      <c r="T201" s="212" t="s">
        <v>1129</v>
      </c>
      <c r="U201" s="212"/>
      <c r="V201" s="212"/>
      <c r="W201" s="212"/>
      <c r="X201" s="212"/>
      <c r="Y201" s="212"/>
      <c r="Z201" s="212"/>
      <c r="AA201" s="212"/>
      <c r="AB201" s="212"/>
      <c r="AC201" s="212"/>
      <c r="AD201" s="212"/>
      <c r="AE201" s="212"/>
      <c r="AF201" s="212"/>
      <c r="AG201" s="212"/>
      <c r="AH201" s="212"/>
      <c r="AI201" s="212"/>
      <c r="AJ201" s="212"/>
      <c r="AK201" s="212"/>
      <c r="AL201" s="212"/>
      <c r="AM201" s="212"/>
      <c r="AN201" s="212"/>
      <c r="AO201" s="212"/>
      <c r="AP201" s="212"/>
      <c r="AQ201" s="212"/>
      <c r="AR201" s="212"/>
      <c r="AS201" s="212"/>
      <c r="AT201" s="212"/>
      <c r="AU201" s="212"/>
      <c r="AV201" s="212"/>
      <c r="AW201" s="212"/>
      <c r="AX201" s="212"/>
      <c r="AY201" s="212"/>
      <c r="AZ201" s="212"/>
      <c r="BA201" s="212"/>
      <c r="BB201" s="212"/>
      <c r="BC201" s="212"/>
      <c r="BD201" s="212"/>
      <c r="BE201" s="212"/>
      <c r="BF201" s="212"/>
      <c r="BG201" s="212"/>
      <c r="BH201" s="212"/>
      <c r="BI201" s="231" t="str">
        <f>HYPERLINK("#일위대가목록!A66","PP10-1-3/2 →")</f>
        <v>PP10-1-3/2 →</v>
      </c>
    </row>
    <row r="202" spans="1:61" ht="24" customHeight="1">
      <c r="A202" s="218" t="s">
        <v>2039</v>
      </c>
      <c r="B202" s="218" t="s">
        <v>1745</v>
      </c>
      <c r="C202" s="229">
        <v>4.7</v>
      </c>
      <c r="D202" s="213" t="s">
        <v>1033</v>
      </c>
      <c r="E202" s="217">
        <f>일위목록!E64</f>
        <v>0</v>
      </c>
      <c r="F202" s="217">
        <f t="shared" si="33"/>
        <v>0</v>
      </c>
      <c r="G202" s="217">
        <f>일위목록!F64</f>
        <v>0</v>
      </c>
      <c r="H202" s="217">
        <f>TRUNC(G202*C202,0)</f>
        <v>0</v>
      </c>
      <c r="I202" s="217">
        <f>일위목록!G64</f>
        <v>0</v>
      </c>
      <c r="J202" s="217">
        <f>TRUNC(I202*C202,0)</f>
        <v>0</v>
      </c>
      <c r="K202" s="217">
        <f t="shared" si="34"/>
        <v>0</v>
      </c>
      <c r="L202" s="217">
        <f t="shared" si="32"/>
        <v>0</v>
      </c>
      <c r="M202" s="215" t="s">
        <v>68</v>
      </c>
      <c r="N202" s="212" t="s">
        <v>68</v>
      </c>
      <c r="O202" s="212"/>
      <c r="P202" s="212" t="s">
        <v>1107</v>
      </c>
      <c r="Q202" s="212" t="s">
        <v>68</v>
      </c>
      <c r="R202" s="212" t="s">
        <v>1747</v>
      </c>
      <c r="S202" s="212"/>
      <c r="T202" s="212" t="s">
        <v>1129</v>
      </c>
      <c r="U202" s="212"/>
      <c r="V202" s="212"/>
      <c r="W202" s="212"/>
      <c r="X202" s="212"/>
      <c r="Y202" s="212"/>
      <c r="Z202" s="212"/>
      <c r="AA202" s="212"/>
      <c r="AB202" s="212"/>
      <c r="AC202" s="212"/>
      <c r="AD202" s="212"/>
      <c r="AE202" s="212"/>
      <c r="AF202" s="212"/>
      <c r="AG202" s="212"/>
      <c r="AH202" s="212"/>
      <c r="AI202" s="212"/>
      <c r="AJ202" s="212"/>
      <c r="AK202" s="212"/>
      <c r="AL202" s="212"/>
      <c r="AM202" s="212"/>
      <c r="AN202" s="212"/>
      <c r="AO202" s="212"/>
      <c r="AP202" s="212"/>
      <c r="AQ202" s="212"/>
      <c r="AR202" s="212"/>
      <c r="AS202" s="212"/>
      <c r="AT202" s="212"/>
      <c r="AU202" s="212"/>
      <c r="AV202" s="212"/>
      <c r="AW202" s="212"/>
      <c r="AX202" s="212"/>
      <c r="AY202" s="212"/>
      <c r="AZ202" s="212"/>
      <c r="BA202" s="212"/>
      <c r="BB202" s="212"/>
      <c r="BC202" s="212"/>
      <c r="BD202" s="212"/>
      <c r="BE202" s="212"/>
      <c r="BF202" s="212"/>
      <c r="BG202" s="212"/>
      <c r="BH202" s="212"/>
      <c r="BI202" s="231" t="str">
        <f>HYPERLINK("#일위대가목록!A64","PP10-4-3/1 →")</f>
        <v>PP10-4-3/1 →</v>
      </c>
    </row>
    <row r="203" spans="1:61" ht="24" customHeight="1">
      <c r="A203" s="218" t="s">
        <v>2059</v>
      </c>
      <c r="B203" s="218" t="s">
        <v>68</v>
      </c>
      <c r="C203" s="229">
        <v>4.7</v>
      </c>
      <c r="D203" s="213" t="s">
        <v>1033</v>
      </c>
      <c r="E203" s="217">
        <f>일위목록!E65</f>
        <v>0</v>
      </c>
      <c r="F203" s="217">
        <f t="shared" si="33"/>
        <v>0</v>
      </c>
      <c r="G203" s="217">
        <f>일위목록!F65</f>
        <v>0</v>
      </c>
      <c r="H203" s="217">
        <f>TRUNC(G203*C203,0)</f>
        <v>0</v>
      </c>
      <c r="I203" s="217">
        <f>일위목록!G65</f>
        <v>0</v>
      </c>
      <c r="J203" s="217">
        <f>TRUNC(I203*C203,0)</f>
        <v>0</v>
      </c>
      <c r="K203" s="217">
        <f t="shared" si="34"/>
        <v>0</v>
      </c>
      <c r="L203" s="217">
        <f t="shared" si="32"/>
        <v>0</v>
      </c>
      <c r="M203" s="215" t="s">
        <v>68</v>
      </c>
      <c r="N203" s="212" t="s">
        <v>68</v>
      </c>
      <c r="O203" s="212"/>
      <c r="P203" s="212" t="s">
        <v>1108</v>
      </c>
      <c r="Q203" s="212" t="s">
        <v>68</v>
      </c>
      <c r="R203" s="212" t="s">
        <v>1750</v>
      </c>
      <c r="S203" s="212"/>
      <c r="T203" s="212" t="s">
        <v>1129</v>
      </c>
      <c r="U203" s="212"/>
      <c r="V203" s="212"/>
      <c r="W203" s="212"/>
      <c r="X203" s="212"/>
      <c r="Y203" s="212"/>
      <c r="Z203" s="212"/>
      <c r="AA203" s="212"/>
      <c r="AB203" s="212"/>
      <c r="AC203" s="212"/>
      <c r="AD203" s="212"/>
      <c r="AE203" s="212"/>
      <c r="AF203" s="212"/>
      <c r="AG203" s="212"/>
      <c r="AH203" s="212"/>
      <c r="AI203" s="212"/>
      <c r="AJ203" s="212"/>
      <c r="AK203" s="212"/>
      <c r="AL203" s="212"/>
      <c r="AM203" s="212"/>
      <c r="AN203" s="212"/>
      <c r="AO203" s="212"/>
      <c r="AP203" s="212"/>
      <c r="AQ203" s="212"/>
      <c r="AR203" s="212"/>
      <c r="AS203" s="212"/>
      <c r="AT203" s="212"/>
      <c r="AU203" s="212"/>
      <c r="AV203" s="212"/>
      <c r="AW203" s="212"/>
      <c r="AX203" s="212"/>
      <c r="AY203" s="212"/>
      <c r="AZ203" s="212"/>
      <c r="BA203" s="212"/>
      <c r="BB203" s="212"/>
      <c r="BC203" s="212"/>
      <c r="BD203" s="212"/>
      <c r="BE203" s="212"/>
      <c r="BF203" s="212"/>
      <c r="BG203" s="212"/>
      <c r="BH203" s="212"/>
      <c r="BI203" s="231" t="str">
        <f>HYPERLINK("#일위대가목록!A65","P9-3-1/1 →")</f>
        <v>P9-3-1/1 →</v>
      </c>
    </row>
    <row r="204" spans="1:61" ht="24" customHeight="1">
      <c r="A204" s="215"/>
      <c r="B204" s="215"/>
      <c r="C204" s="229"/>
      <c r="D204" s="213"/>
      <c r="E204" s="213"/>
      <c r="F204" s="213"/>
      <c r="G204" s="213"/>
      <c r="H204" s="213"/>
      <c r="I204" s="213"/>
      <c r="J204" s="213"/>
      <c r="K204" s="213"/>
      <c r="L204" s="213"/>
      <c r="M204" s="215"/>
      <c r="N204" s="212"/>
      <c r="O204" s="212"/>
      <c r="P204" s="212"/>
      <c r="Q204" s="212"/>
      <c r="R204" s="212"/>
      <c r="S204" s="212"/>
      <c r="T204" s="212"/>
      <c r="U204" s="212"/>
      <c r="V204" s="212"/>
      <c r="W204" s="212"/>
      <c r="X204" s="212"/>
      <c r="Y204" s="212"/>
      <c r="Z204" s="212"/>
      <c r="AA204" s="212"/>
      <c r="AB204" s="212"/>
      <c r="AC204" s="212"/>
      <c r="AD204" s="212"/>
      <c r="AE204" s="212"/>
      <c r="AF204" s="212"/>
      <c r="AG204" s="212"/>
      <c r="AH204" s="212"/>
      <c r="AI204" s="212"/>
      <c r="AJ204" s="212"/>
      <c r="AK204" s="212"/>
      <c r="AL204" s="212"/>
      <c r="AM204" s="212"/>
      <c r="AN204" s="212"/>
      <c r="AO204" s="212"/>
      <c r="AP204" s="212"/>
      <c r="AQ204" s="212"/>
      <c r="AR204" s="212"/>
      <c r="AS204" s="212"/>
      <c r="AT204" s="212"/>
      <c r="AU204" s="212"/>
      <c r="AV204" s="212"/>
      <c r="AW204" s="212"/>
      <c r="AX204" s="212"/>
      <c r="AY204" s="212"/>
      <c r="AZ204" s="212"/>
      <c r="BA204" s="212"/>
      <c r="BB204" s="212"/>
      <c r="BC204" s="212"/>
      <c r="BD204" s="212"/>
      <c r="BE204" s="212"/>
      <c r="BF204" s="212"/>
      <c r="BG204" s="212"/>
      <c r="BH204" s="212"/>
      <c r="BI204" s="212"/>
    </row>
    <row r="205" spans="1:61" ht="24" customHeight="1">
      <c r="A205" s="218" t="s">
        <v>2066</v>
      </c>
      <c r="B205" s="218" t="s">
        <v>1210</v>
      </c>
      <c r="C205" s="228">
        <v>1</v>
      </c>
      <c r="D205" s="213" t="s">
        <v>437</v>
      </c>
      <c r="E205" s="212"/>
      <c r="F205" s="217">
        <f>TRUNC(F206+F207+F208+F209+F210+F211,0)</f>
        <v>0</v>
      </c>
      <c r="G205" s="212"/>
      <c r="H205" s="217">
        <f>TRUNC(H206+H207+H208+H209+H210+H211,0)</f>
        <v>0</v>
      </c>
      <c r="I205" s="212"/>
      <c r="J205" s="217">
        <f>TRUNC(J206+J207+J208+J209+J210+J211,0)</f>
        <v>0</v>
      </c>
      <c r="K205" s="212"/>
      <c r="L205" s="217">
        <f t="shared" ref="L205:L211" si="35">F205+H205+J205</f>
        <v>0</v>
      </c>
      <c r="M205" s="215" t="s">
        <v>462</v>
      </c>
      <c r="N205" s="212" t="s">
        <v>68</v>
      </c>
      <c r="O205" s="212" t="s">
        <v>1211</v>
      </c>
      <c r="P205" s="212"/>
      <c r="Q205" s="212"/>
      <c r="R205" s="212"/>
      <c r="S205" s="212"/>
      <c r="T205" s="212"/>
      <c r="U205" s="212"/>
      <c r="V205" s="212"/>
      <c r="W205" s="212"/>
      <c r="X205" s="212"/>
      <c r="Y205" s="212"/>
      <c r="Z205" s="212"/>
      <c r="AA205" s="212"/>
      <c r="AB205" s="212"/>
      <c r="AC205" s="212"/>
      <c r="AD205" s="212"/>
      <c r="AE205" s="212"/>
      <c r="AF205" s="212"/>
      <c r="AG205" s="212"/>
      <c r="AH205" s="212"/>
      <c r="AI205" s="212"/>
      <c r="AJ205" s="212"/>
      <c r="AK205" s="212"/>
      <c r="AL205" s="212"/>
      <c r="AM205" s="212"/>
      <c r="AN205" s="212"/>
      <c r="AO205" s="212"/>
      <c r="AP205" s="212"/>
      <c r="AQ205" s="212"/>
      <c r="AR205" s="212"/>
      <c r="AS205" s="212"/>
      <c r="AT205" s="212"/>
      <c r="AU205" s="212"/>
      <c r="AV205" s="212"/>
      <c r="AW205" s="212"/>
      <c r="AX205" s="212"/>
      <c r="AY205" s="212"/>
      <c r="AZ205" s="212"/>
      <c r="BA205" s="212"/>
      <c r="BB205" s="212"/>
      <c r="BC205" s="212"/>
      <c r="BD205" s="212"/>
      <c r="BE205" s="212"/>
      <c r="BF205" s="212"/>
      <c r="BG205" s="212"/>
      <c r="BH205" s="212"/>
      <c r="BI205" s="212"/>
    </row>
    <row r="206" spans="1:61" ht="24" customHeight="1">
      <c r="A206" s="218" t="s">
        <v>1209</v>
      </c>
      <c r="B206" s="218" t="s">
        <v>1210</v>
      </c>
      <c r="C206" s="228">
        <v>1</v>
      </c>
      <c r="D206" s="213" t="s">
        <v>437</v>
      </c>
      <c r="E206" s="217">
        <f>자재조서!E74</f>
        <v>0</v>
      </c>
      <c r="F206" s="217">
        <f t="shared" ref="F206:F211" si="36">TRUNC(E206*C206,0)</f>
        <v>0</v>
      </c>
      <c r="G206" s="217">
        <v>0</v>
      </c>
      <c r="H206" s="217"/>
      <c r="I206" s="217">
        <v>0</v>
      </c>
      <c r="J206" s="217"/>
      <c r="K206" s="217">
        <f t="shared" ref="K206:K211" si="37">E206+G206+I206</f>
        <v>0</v>
      </c>
      <c r="L206" s="217">
        <f t="shared" si="35"/>
        <v>0</v>
      </c>
      <c r="M206" s="215" t="s">
        <v>68</v>
      </c>
      <c r="N206" s="212" t="s">
        <v>68</v>
      </c>
      <c r="O206" s="212"/>
      <c r="P206" s="212" t="s">
        <v>1095</v>
      </c>
      <c r="Q206" s="212" t="s">
        <v>68</v>
      </c>
      <c r="R206" s="212" t="s">
        <v>2067</v>
      </c>
      <c r="S206" s="212"/>
      <c r="T206" s="212"/>
      <c r="U206" s="212"/>
      <c r="V206" s="212"/>
      <c r="W206" s="212"/>
      <c r="X206" s="212"/>
      <c r="Y206" s="212"/>
      <c r="Z206" s="212"/>
      <c r="AA206" s="212"/>
      <c r="AB206" s="212"/>
      <c r="AC206" s="212"/>
      <c r="AD206" s="212"/>
      <c r="AE206" s="212"/>
      <c r="AF206" s="212"/>
      <c r="AG206" s="212"/>
      <c r="AH206" s="212"/>
      <c r="AI206" s="212"/>
      <c r="AJ206" s="212"/>
      <c r="AK206" s="212"/>
      <c r="AL206" s="212"/>
      <c r="AM206" s="212"/>
      <c r="AN206" s="212"/>
      <c r="AO206" s="212"/>
      <c r="AP206" s="212"/>
      <c r="AQ206" s="212"/>
      <c r="AR206" s="212"/>
      <c r="AS206" s="212"/>
      <c r="AT206" s="212"/>
      <c r="AU206" s="212"/>
      <c r="AV206" s="212"/>
      <c r="AW206" s="212"/>
      <c r="AX206" s="212"/>
      <c r="AY206" s="212"/>
      <c r="AZ206" s="212"/>
      <c r="BA206" s="212"/>
      <c r="BB206" s="212"/>
      <c r="BC206" s="212"/>
      <c r="BD206" s="212"/>
      <c r="BE206" s="212"/>
      <c r="BF206" s="212"/>
      <c r="BG206" s="212"/>
      <c r="BH206" s="212"/>
      <c r="BI206" s="231" t="str">
        <f>HYPERLINK("#자재조서!A74","MZZ9000011 →")</f>
        <v>MZZ9000011 →</v>
      </c>
    </row>
    <row r="207" spans="1:61" ht="24" customHeight="1">
      <c r="A207" s="218" t="s">
        <v>2053</v>
      </c>
      <c r="B207" s="218" t="s">
        <v>2054</v>
      </c>
      <c r="C207" s="229">
        <v>0.8</v>
      </c>
      <c r="D207" s="213" t="s">
        <v>2055</v>
      </c>
      <c r="E207" s="217">
        <f>자재조서!E21</f>
        <v>0</v>
      </c>
      <c r="F207" s="217">
        <f t="shared" si="36"/>
        <v>0</v>
      </c>
      <c r="G207" s="217">
        <v>0</v>
      </c>
      <c r="H207" s="217"/>
      <c r="I207" s="217">
        <v>0</v>
      </c>
      <c r="J207" s="217"/>
      <c r="K207" s="217">
        <f t="shared" si="37"/>
        <v>0</v>
      </c>
      <c r="L207" s="217">
        <f t="shared" si="35"/>
        <v>0</v>
      </c>
      <c r="M207" s="215" t="s">
        <v>68</v>
      </c>
      <c r="N207" s="212" t="s">
        <v>68</v>
      </c>
      <c r="O207" s="212"/>
      <c r="P207" s="212" t="s">
        <v>1098</v>
      </c>
      <c r="Q207" s="212" t="s">
        <v>68</v>
      </c>
      <c r="R207" s="212" t="s">
        <v>2056</v>
      </c>
      <c r="S207" s="212"/>
      <c r="T207" s="212"/>
      <c r="U207" s="212"/>
      <c r="V207" s="212"/>
      <c r="W207" s="212"/>
      <c r="X207" s="212"/>
      <c r="Y207" s="212"/>
      <c r="Z207" s="212"/>
      <c r="AA207" s="212"/>
      <c r="AB207" s="212"/>
      <c r="AC207" s="212"/>
      <c r="AD207" s="212"/>
      <c r="AE207" s="212"/>
      <c r="AF207" s="212"/>
      <c r="AG207" s="212"/>
      <c r="AH207" s="212"/>
      <c r="AI207" s="212"/>
      <c r="AJ207" s="212"/>
      <c r="AK207" s="212"/>
      <c r="AL207" s="212"/>
      <c r="AM207" s="212"/>
      <c r="AN207" s="212"/>
      <c r="AO207" s="212"/>
      <c r="AP207" s="212"/>
      <c r="AQ207" s="212"/>
      <c r="AR207" s="212"/>
      <c r="AS207" s="212"/>
      <c r="AT207" s="212"/>
      <c r="AU207" s="212"/>
      <c r="AV207" s="212"/>
      <c r="AW207" s="212"/>
      <c r="AX207" s="212"/>
      <c r="AY207" s="212"/>
      <c r="AZ207" s="212"/>
      <c r="BA207" s="212"/>
      <c r="BB207" s="212"/>
      <c r="BC207" s="212"/>
      <c r="BD207" s="212"/>
      <c r="BE207" s="212"/>
      <c r="BF207" s="212"/>
      <c r="BG207" s="212"/>
      <c r="BH207" s="212"/>
      <c r="BI207" s="231" t="str">
        <f>HYPERLINK("#자재조서!A21","M4036023 →")</f>
        <v>M4036023 →</v>
      </c>
    </row>
    <row r="208" spans="1:61" ht="24" customHeight="1">
      <c r="A208" s="218" t="s">
        <v>2037</v>
      </c>
      <c r="B208" s="218" t="s">
        <v>1738</v>
      </c>
      <c r="C208" s="229">
        <v>0.8</v>
      </c>
      <c r="D208" s="213" t="s">
        <v>9</v>
      </c>
      <c r="E208" s="217">
        <f>일위목록!E62</f>
        <v>0</v>
      </c>
      <c r="F208" s="217">
        <f t="shared" si="36"/>
        <v>0</v>
      </c>
      <c r="G208" s="217">
        <f>일위목록!F62</f>
        <v>0</v>
      </c>
      <c r="H208" s="217">
        <f>TRUNC(G208*C208,0)</f>
        <v>0</v>
      </c>
      <c r="I208" s="217">
        <f>일위목록!G62</f>
        <v>0</v>
      </c>
      <c r="J208" s="217">
        <f>TRUNC(I208*C208,0)</f>
        <v>0</v>
      </c>
      <c r="K208" s="217">
        <f t="shared" si="37"/>
        <v>0</v>
      </c>
      <c r="L208" s="217">
        <f t="shared" si="35"/>
        <v>0</v>
      </c>
      <c r="M208" s="215" t="s">
        <v>68</v>
      </c>
      <c r="N208" s="212" t="s">
        <v>68</v>
      </c>
      <c r="O208" s="212"/>
      <c r="P208" s="212" t="s">
        <v>1101</v>
      </c>
      <c r="Q208" s="212" t="s">
        <v>68</v>
      </c>
      <c r="R208" s="212" t="s">
        <v>1740</v>
      </c>
      <c r="S208" s="212"/>
      <c r="T208" s="212" t="s">
        <v>1129</v>
      </c>
      <c r="U208" s="212"/>
      <c r="V208" s="212"/>
      <c r="W208" s="212"/>
      <c r="X208" s="212"/>
      <c r="Y208" s="212"/>
      <c r="Z208" s="212"/>
      <c r="AA208" s="212"/>
      <c r="AB208" s="212"/>
      <c r="AC208" s="212"/>
      <c r="AD208" s="212"/>
      <c r="AE208" s="212"/>
      <c r="AF208" s="212"/>
      <c r="AG208" s="212"/>
      <c r="AH208" s="212"/>
      <c r="AI208" s="212"/>
      <c r="AJ208" s="212"/>
      <c r="AK208" s="212"/>
      <c r="AL208" s="212"/>
      <c r="AM208" s="212"/>
      <c r="AN208" s="212"/>
      <c r="AO208" s="212"/>
      <c r="AP208" s="212"/>
      <c r="AQ208" s="212"/>
      <c r="AR208" s="212"/>
      <c r="AS208" s="212"/>
      <c r="AT208" s="212"/>
      <c r="AU208" s="212"/>
      <c r="AV208" s="212"/>
      <c r="AW208" s="212"/>
      <c r="AX208" s="212"/>
      <c r="AY208" s="212"/>
      <c r="AZ208" s="212"/>
      <c r="BA208" s="212"/>
      <c r="BB208" s="212"/>
      <c r="BC208" s="212"/>
      <c r="BD208" s="212"/>
      <c r="BE208" s="212"/>
      <c r="BF208" s="212"/>
      <c r="BG208" s="212"/>
      <c r="BH208" s="212"/>
      <c r="BI208" s="231" t="str">
        <f>HYPERLINK("#일위대가목록!A62","PP10-3-1/9 →")</f>
        <v>PP10-3-1/9 →</v>
      </c>
    </row>
    <row r="209" spans="1:61" ht="24" customHeight="1">
      <c r="A209" s="218" t="s">
        <v>2058</v>
      </c>
      <c r="B209" s="218" t="s">
        <v>1727</v>
      </c>
      <c r="C209" s="228">
        <v>1</v>
      </c>
      <c r="D209" s="213" t="s">
        <v>378</v>
      </c>
      <c r="E209" s="217">
        <f>일위목록!E66</f>
        <v>0</v>
      </c>
      <c r="F209" s="217">
        <f t="shared" si="36"/>
        <v>0</v>
      </c>
      <c r="G209" s="217">
        <f>일위목록!F66</f>
        <v>0</v>
      </c>
      <c r="H209" s="217">
        <f>TRUNC(G209*C209,0)</f>
        <v>0</v>
      </c>
      <c r="I209" s="217">
        <f>일위목록!G66</f>
        <v>0</v>
      </c>
      <c r="J209" s="217">
        <f>TRUNC(I209*C209,0)</f>
        <v>0</v>
      </c>
      <c r="K209" s="217">
        <f t="shared" si="37"/>
        <v>0</v>
      </c>
      <c r="L209" s="217">
        <f t="shared" si="35"/>
        <v>0</v>
      </c>
      <c r="M209" s="215" t="s">
        <v>68</v>
      </c>
      <c r="N209" s="212" t="s">
        <v>68</v>
      </c>
      <c r="O209" s="212"/>
      <c r="P209" s="212" t="s">
        <v>1104</v>
      </c>
      <c r="Q209" s="212" t="s">
        <v>68</v>
      </c>
      <c r="R209" s="212" t="s">
        <v>1752</v>
      </c>
      <c r="S209" s="212"/>
      <c r="T209" s="212" t="s">
        <v>1129</v>
      </c>
      <c r="U209" s="212"/>
      <c r="V209" s="212"/>
      <c r="W209" s="212"/>
      <c r="X209" s="212"/>
      <c r="Y209" s="212"/>
      <c r="Z209" s="212"/>
      <c r="AA209" s="212"/>
      <c r="AB209" s="212"/>
      <c r="AC209" s="212"/>
      <c r="AD209" s="212"/>
      <c r="AE209" s="212"/>
      <c r="AF209" s="212"/>
      <c r="AG209" s="212"/>
      <c r="AH209" s="212"/>
      <c r="AI209" s="212"/>
      <c r="AJ209" s="212"/>
      <c r="AK209" s="212"/>
      <c r="AL209" s="212"/>
      <c r="AM209" s="212"/>
      <c r="AN209" s="212"/>
      <c r="AO209" s="212"/>
      <c r="AP209" s="212"/>
      <c r="AQ209" s="212"/>
      <c r="AR209" s="212"/>
      <c r="AS209" s="212"/>
      <c r="AT209" s="212"/>
      <c r="AU209" s="212"/>
      <c r="AV209" s="212"/>
      <c r="AW209" s="212"/>
      <c r="AX209" s="212"/>
      <c r="AY209" s="212"/>
      <c r="AZ209" s="212"/>
      <c r="BA209" s="212"/>
      <c r="BB209" s="212"/>
      <c r="BC209" s="212"/>
      <c r="BD209" s="212"/>
      <c r="BE209" s="212"/>
      <c r="BF209" s="212"/>
      <c r="BG209" s="212"/>
      <c r="BH209" s="212"/>
      <c r="BI209" s="231" t="str">
        <f>HYPERLINK("#일위대가목록!A66","PP10-1-3/2 →")</f>
        <v>PP10-1-3/2 →</v>
      </c>
    </row>
    <row r="210" spans="1:61" ht="24" customHeight="1">
      <c r="A210" s="218" t="s">
        <v>2039</v>
      </c>
      <c r="B210" s="218" t="s">
        <v>1745</v>
      </c>
      <c r="C210" s="229">
        <v>7.16</v>
      </c>
      <c r="D210" s="213" t="s">
        <v>1033</v>
      </c>
      <c r="E210" s="217">
        <f>일위목록!E64</f>
        <v>0</v>
      </c>
      <c r="F210" s="217">
        <f t="shared" si="36"/>
        <v>0</v>
      </c>
      <c r="G210" s="217">
        <f>일위목록!F64</f>
        <v>0</v>
      </c>
      <c r="H210" s="217">
        <f>TRUNC(G210*C210,0)</f>
        <v>0</v>
      </c>
      <c r="I210" s="217">
        <f>일위목록!G64</f>
        <v>0</v>
      </c>
      <c r="J210" s="217">
        <f>TRUNC(I210*C210,0)</f>
        <v>0</v>
      </c>
      <c r="K210" s="217">
        <f t="shared" si="37"/>
        <v>0</v>
      </c>
      <c r="L210" s="217">
        <f t="shared" si="35"/>
        <v>0</v>
      </c>
      <c r="M210" s="215" t="s">
        <v>68</v>
      </c>
      <c r="N210" s="212" t="s">
        <v>68</v>
      </c>
      <c r="O210" s="212"/>
      <c r="P210" s="212" t="s">
        <v>1107</v>
      </c>
      <c r="Q210" s="212" t="s">
        <v>68</v>
      </c>
      <c r="R210" s="212" t="s">
        <v>1747</v>
      </c>
      <c r="S210" s="212"/>
      <c r="T210" s="212" t="s">
        <v>1129</v>
      </c>
      <c r="U210" s="212"/>
      <c r="V210" s="212"/>
      <c r="W210" s="212"/>
      <c r="X210" s="212"/>
      <c r="Y210" s="212"/>
      <c r="Z210" s="212"/>
      <c r="AA210" s="212"/>
      <c r="AB210" s="212"/>
      <c r="AC210" s="212"/>
      <c r="AD210" s="212"/>
      <c r="AE210" s="212"/>
      <c r="AF210" s="212"/>
      <c r="AG210" s="212"/>
      <c r="AH210" s="212"/>
      <c r="AI210" s="212"/>
      <c r="AJ210" s="212"/>
      <c r="AK210" s="212"/>
      <c r="AL210" s="212"/>
      <c r="AM210" s="212"/>
      <c r="AN210" s="212"/>
      <c r="AO210" s="212"/>
      <c r="AP210" s="212"/>
      <c r="AQ210" s="212"/>
      <c r="AR210" s="212"/>
      <c r="AS210" s="212"/>
      <c r="AT210" s="212"/>
      <c r="AU210" s="212"/>
      <c r="AV210" s="212"/>
      <c r="AW210" s="212"/>
      <c r="AX210" s="212"/>
      <c r="AY210" s="212"/>
      <c r="AZ210" s="212"/>
      <c r="BA210" s="212"/>
      <c r="BB210" s="212"/>
      <c r="BC210" s="212"/>
      <c r="BD210" s="212"/>
      <c r="BE210" s="212"/>
      <c r="BF210" s="212"/>
      <c r="BG210" s="212"/>
      <c r="BH210" s="212"/>
      <c r="BI210" s="231" t="str">
        <f>HYPERLINK("#일위대가목록!A64","PP10-4-3/1 →")</f>
        <v>PP10-4-3/1 →</v>
      </c>
    </row>
    <row r="211" spans="1:61" ht="24" customHeight="1">
      <c r="A211" s="218" t="s">
        <v>2059</v>
      </c>
      <c r="B211" s="218" t="s">
        <v>68</v>
      </c>
      <c r="C211" s="229">
        <v>7.16</v>
      </c>
      <c r="D211" s="213" t="s">
        <v>1033</v>
      </c>
      <c r="E211" s="217">
        <f>일위목록!E65</f>
        <v>0</v>
      </c>
      <c r="F211" s="217">
        <f t="shared" si="36"/>
        <v>0</v>
      </c>
      <c r="G211" s="217">
        <f>일위목록!F65</f>
        <v>0</v>
      </c>
      <c r="H211" s="217">
        <f>TRUNC(G211*C211,0)</f>
        <v>0</v>
      </c>
      <c r="I211" s="217">
        <f>일위목록!G65</f>
        <v>0</v>
      </c>
      <c r="J211" s="217">
        <f>TRUNC(I211*C211,0)</f>
        <v>0</v>
      </c>
      <c r="K211" s="217">
        <f t="shared" si="37"/>
        <v>0</v>
      </c>
      <c r="L211" s="217">
        <f t="shared" si="35"/>
        <v>0</v>
      </c>
      <c r="M211" s="215" t="s">
        <v>68</v>
      </c>
      <c r="N211" s="212" t="s">
        <v>68</v>
      </c>
      <c r="O211" s="212"/>
      <c r="P211" s="212" t="s">
        <v>1108</v>
      </c>
      <c r="Q211" s="212" t="s">
        <v>68</v>
      </c>
      <c r="R211" s="212" t="s">
        <v>1750</v>
      </c>
      <c r="S211" s="212"/>
      <c r="T211" s="212" t="s">
        <v>1129</v>
      </c>
      <c r="U211" s="212"/>
      <c r="V211" s="212"/>
      <c r="W211" s="212"/>
      <c r="X211" s="212"/>
      <c r="Y211" s="212"/>
      <c r="Z211" s="212"/>
      <c r="AA211" s="212"/>
      <c r="AB211" s="212"/>
      <c r="AC211" s="212"/>
      <c r="AD211" s="212"/>
      <c r="AE211" s="212"/>
      <c r="AF211" s="212"/>
      <c r="AG211" s="212"/>
      <c r="AH211" s="212"/>
      <c r="AI211" s="212"/>
      <c r="AJ211" s="212"/>
      <c r="AK211" s="212"/>
      <c r="AL211" s="212"/>
      <c r="AM211" s="212"/>
      <c r="AN211" s="212"/>
      <c r="AO211" s="212"/>
      <c r="AP211" s="212"/>
      <c r="AQ211" s="212"/>
      <c r="AR211" s="212"/>
      <c r="AS211" s="212"/>
      <c r="AT211" s="212"/>
      <c r="AU211" s="212"/>
      <c r="AV211" s="212"/>
      <c r="AW211" s="212"/>
      <c r="AX211" s="212"/>
      <c r="AY211" s="212"/>
      <c r="AZ211" s="212"/>
      <c r="BA211" s="212"/>
      <c r="BB211" s="212"/>
      <c r="BC211" s="212"/>
      <c r="BD211" s="212"/>
      <c r="BE211" s="212"/>
      <c r="BF211" s="212"/>
      <c r="BG211" s="212"/>
      <c r="BH211" s="212"/>
      <c r="BI211" s="231" t="str">
        <f>HYPERLINK("#일위대가목록!A65","P9-3-1/1 →")</f>
        <v>P9-3-1/1 →</v>
      </c>
    </row>
    <row r="212" spans="1:61" ht="24" customHeight="1">
      <c r="A212" s="215"/>
      <c r="B212" s="215"/>
      <c r="C212" s="229"/>
      <c r="D212" s="213"/>
      <c r="E212" s="213"/>
      <c r="F212" s="213"/>
      <c r="G212" s="213"/>
      <c r="H212" s="213"/>
      <c r="I212" s="213"/>
      <c r="J212" s="213"/>
      <c r="K212" s="213"/>
      <c r="L212" s="213"/>
      <c r="M212" s="215"/>
      <c r="N212" s="212"/>
      <c r="O212" s="212"/>
      <c r="P212" s="212"/>
      <c r="Q212" s="212"/>
      <c r="R212" s="212"/>
      <c r="S212" s="212"/>
      <c r="T212" s="212"/>
      <c r="U212" s="212"/>
      <c r="V212" s="212"/>
      <c r="W212" s="212"/>
      <c r="X212" s="212"/>
      <c r="Y212" s="212"/>
      <c r="Z212" s="212"/>
      <c r="AA212" s="212"/>
      <c r="AB212" s="212"/>
      <c r="AC212" s="212"/>
      <c r="AD212" s="212"/>
      <c r="AE212" s="212"/>
      <c r="AF212" s="212"/>
      <c r="AG212" s="212"/>
      <c r="AH212" s="212"/>
      <c r="AI212" s="212"/>
      <c r="AJ212" s="212"/>
      <c r="AK212" s="212"/>
      <c r="AL212" s="212"/>
      <c r="AM212" s="212"/>
      <c r="AN212" s="212"/>
      <c r="AO212" s="212"/>
      <c r="AP212" s="212"/>
      <c r="AQ212" s="212"/>
      <c r="AR212" s="212"/>
      <c r="AS212" s="212"/>
      <c r="AT212" s="212"/>
      <c r="AU212" s="212"/>
      <c r="AV212" s="212"/>
      <c r="AW212" s="212"/>
      <c r="AX212" s="212"/>
      <c r="AY212" s="212"/>
      <c r="AZ212" s="212"/>
      <c r="BA212" s="212"/>
      <c r="BB212" s="212"/>
      <c r="BC212" s="212"/>
      <c r="BD212" s="212"/>
      <c r="BE212" s="212"/>
      <c r="BF212" s="212"/>
      <c r="BG212" s="212"/>
      <c r="BH212" s="212"/>
      <c r="BI212" s="212"/>
    </row>
    <row r="213" spans="1:61" ht="24" customHeight="1">
      <c r="A213" s="218" t="s">
        <v>2068</v>
      </c>
      <c r="B213" s="218" t="s">
        <v>1212</v>
      </c>
      <c r="C213" s="228">
        <v>1</v>
      </c>
      <c r="D213" s="213" t="s">
        <v>437</v>
      </c>
      <c r="E213" s="212"/>
      <c r="F213" s="217">
        <f>TRUNC(F214+F215+F216+F217+F218+F219,0)</f>
        <v>0</v>
      </c>
      <c r="G213" s="212"/>
      <c r="H213" s="217">
        <f>TRUNC(H214+H215+H216+H217+H218+H219,0)</f>
        <v>0</v>
      </c>
      <c r="I213" s="212"/>
      <c r="J213" s="217">
        <f>TRUNC(J214+J215+J216+J217+J218+J219,0)</f>
        <v>0</v>
      </c>
      <c r="K213" s="212"/>
      <c r="L213" s="217">
        <f t="shared" ref="L213:L219" si="38">F213+H213+J213</f>
        <v>0</v>
      </c>
      <c r="M213" s="215" t="s">
        <v>463</v>
      </c>
      <c r="N213" s="212" t="s">
        <v>68</v>
      </c>
      <c r="O213" s="212" t="s">
        <v>1213</v>
      </c>
      <c r="P213" s="212"/>
      <c r="Q213" s="212"/>
      <c r="R213" s="212"/>
      <c r="S213" s="212"/>
      <c r="T213" s="212"/>
      <c r="U213" s="212"/>
      <c r="V213" s="212"/>
      <c r="W213" s="212"/>
      <c r="X213" s="212"/>
      <c r="Y213" s="212"/>
      <c r="Z213" s="212"/>
      <c r="AA213" s="212"/>
      <c r="AB213" s="212"/>
      <c r="AC213" s="212"/>
      <c r="AD213" s="212"/>
      <c r="AE213" s="212"/>
      <c r="AF213" s="212"/>
      <c r="AG213" s="212"/>
      <c r="AH213" s="212"/>
      <c r="AI213" s="212"/>
      <c r="AJ213" s="212"/>
      <c r="AK213" s="212"/>
      <c r="AL213" s="212"/>
      <c r="AM213" s="212"/>
      <c r="AN213" s="212"/>
      <c r="AO213" s="212"/>
      <c r="AP213" s="212"/>
      <c r="AQ213" s="212"/>
      <c r="AR213" s="212"/>
      <c r="AS213" s="212"/>
      <c r="AT213" s="212"/>
      <c r="AU213" s="212"/>
      <c r="AV213" s="212"/>
      <c r="AW213" s="212"/>
      <c r="AX213" s="212"/>
      <c r="AY213" s="212"/>
      <c r="AZ213" s="212"/>
      <c r="BA213" s="212"/>
      <c r="BB213" s="212"/>
      <c r="BC213" s="212"/>
      <c r="BD213" s="212"/>
      <c r="BE213" s="212"/>
      <c r="BF213" s="212"/>
      <c r="BG213" s="212"/>
      <c r="BH213" s="212"/>
      <c r="BI213" s="212"/>
    </row>
    <row r="214" spans="1:61" ht="24" customHeight="1">
      <c r="A214" s="218" t="s">
        <v>1209</v>
      </c>
      <c r="B214" s="218" t="s">
        <v>1212</v>
      </c>
      <c r="C214" s="228">
        <v>1</v>
      </c>
      <c r="D214" s="213" t="s">
        <v>437</v>
      </c>
      <c r="E214" s="217">
        <f>자재조서!E75</f>
        <v>0</v>
      </c>
      <c r="F214" s="217">
        <f t="shared" ref="F214:F219" si="39">TRUNC(E214*C214,0)</f>
        <v>0</v>
      </c>
      <c r="G214" s="217">
        <v>0</v>
      </c>
      <c r="H214" s="217"/>
      <c r="I214" s="217">
        <v>0</v>
      </c>
      <c r="J214" s="217"/>
      <c r="K214" s="217">
        <f t="shared" ref="K214:K219" si="40">E214+G214+I214</f>
        <v>0</v>
      </c>
      <c r="L214" s="217">
        <f t="shared" si="38"/>
        <v>0</v>
      </c>
      <c r="M214" s="215" t="s">
        <v>68</v>
      </c>
      <c r="N214" s="212" t="s">
        <v>68</v>
      </c>
      <c r="O214" s="212"/>
      <c r="P214" s="212" t="s">
        <v>1095</v>
      </c>
      <c r="Q214" s="212" t="s">
        <v>68</v>
      </c>
      <c r="R214" s="212" t="s">
        <v>2069</v>
      </c>
      <c r="S214" s="212"/>
      <c r="T214" s="212"/>
      <c r="U214" s="212"/>
      <c r="V214" s="212"/>
      <c r="W214" s="212"/>
      <c r="X214" s="212"/>
      <c r="Y214" s="212"/>
      <c r="Z214" s="212"/>
      <c r="AA214" s="212"/>
      <c r="AB214" s="212"/>
      <c r="AC214" s="212"/>
      <c r="AD214" s="212"/>
      <c r="AE214" s="212"/>
      <c r="AF214" s="212"/>
      <c r="AG214" s="212"/>
      <c r="AH214" s="212"/>
      <c r="AI214" s="212"/>
      <c r="AJ214" s="212"/>
      <c r="AK214" s="212"/>
      <c r="AL214" s="212"/>
      <c r="AM214" s="212"/>
      <c r="AN214" s="212"/>
      <c r="AO214" s="212"/>
      <c r="AP214" s="212"/>
      <c r="AQ214" s="212"/>
      <c r="AR214" s="212"/>
      <c r="AS214" s="212"/>
      <c r="AT214" s="212"/>
      <c r="AU214" s="212"/>
      <c r="AV214" s="212"/>
      <c r="AW214" s="212"/>
      <c r="AX214" s="212"/>
      <c r="AY214" s="212"/>
      <c r="AZ214" s="212"/>
      <c r="BA214" s="212"/>
      <c r="BB214" s="212"/>
      <c r="BC214" s="212"/>
      <c r="BD214" s="212"/>
      <c r="BE214" s="212"/>
      <c r="BF214" s="212"/>
      <c r="BG214" s="212"/>
      <c r="BH214" s="212"/>
      <c r="BI214" s="231" t="str">
        <f>HYPERLINK("#자재조서!A75","MZZ9000012 →")</f>
        <v>MZZ9000012 →</v>
      </c>
    </row>
    <row r="215" spans="1:61" ht="24" customHeight="1">
      <c r="A215" s="218" t="s">
        <v>2053</v>
      </c>
      <c r="B215" s="218" t="s">
        <v>2054</v>
      </c>
      <c r="C215" s="229">
        <v>0.68</v>
      </c>
      <c r="D215" s="213" t="s">
        <v>2055</v>
      </c>
      <c r="E215" s="217">
        <f>자재조서!E21</f>
        <v>0</v>
      </c>
      <c r="F215" s="217">
        <f t="shared" si="39"/>
        <v>0</v>
      </c>
      <c r="G215" s="217">
        <v>0</v>
      </c>
      <c r="H215" s="217"/>
      <c r="I215" s="217">
        <v>0</v>
      </c>
      <c r="J215" s="217"/>
      <c r="K215" s="217">
        <f t="shared" si="40"/>
        <v>0</v>
      </c>
      <c r="L215" s="217">
        <f t="shared" si="38"/>
        <v>0</v>
      </c>
      <c r="M215" s="215" t="s">
        <v>68</v>
      </c>
      <c r="N215" s="212" t="s">
        <v>68</v>
      </c>
      <c r="O215" s="212"/>
      <c r="P215" s="212" t="s">
        <v>1098</v>
      </c>
      <c r="Q215" s="212" t="s">
        <v>68</v>
      </c>
      <c r="R215" s="212" t="s">
        <v>2056</v>
      </c>
      <c r="S215" s="212"/>
      <c r="T215" s="212"/>
      <c r="U215" s="212"/>
      <c r="V215" s="212"/>
      <c r="W215" s="212"/>
      <c r="X215" s="212"/>
      <c r="Y215" s="212"/>
      <c r="Z215" s="212"/>
      <c r="AA215" s="212"/>
      <c r="AB215" s="212"/>
      <c r="AC215" s="212"/>
      <c r="AD215" s="212"/>
      <c r="AE215" s="212"/>
      <c r="AF215" s="212"/>
      <c r="AG215" s="212"/>
      <c r="AH215" s="212"/>
      <c r="AI215" s="212"/>
      <c r="AJ215" s="212"/>
      <c r="AK215" s="212"/>
      <c r="AL215" s="212"/>
      <c r="AM215" s="212"/>
      <c r="AN215" s="212"/>
      <c r="AO215" s="212"/>
      <c r="AP215" s="212"/>
      <c r="AQ215" s="212"/>
      <c r="AR215" s="212"/>
      <c r="AS215" s="212"/>
      <c r="AT215" s="212"/>
      <c r="AU215" s="212"/>
      <c r="AV215" s="212"/>
      <c r="AW215" s="212"/>
      <c r="AX215" s="212"/>
      <c r="AY215" s="212"/>
      <c r="AZ215" s="212"/>
      <c r="BA215" s="212"/>
      <c r="BB215" s="212"/>
      <c r="BC215" s="212"/>
      <c r="BD215" s="212"/>
      <c r="BE215" s="212"/>
      <c r="BF215" s="212"/>
      <c r="BG215" s="212"/>
      <c r="BH215" s="212"/>
      <c r="BI215" s="231" t="str">
        <f>HYPERLINK("#자재조서!A21","M4036023 →")</f>
        <v>M4036023 →</v>
      </c>
    </row>
    <row r="216" spans="1:61" ht="24" customHeight="1">
      <c r="A216" s="218" t="s">
        <v>2037</v>
      </c>
      <c r="B216" s="218" t="s">
        <v>1738</v>
      </c>
      <c r="C216" s="229">
        <v>0.68</v>
      </c>
      <c r="D216" s="213" t="s">
        <v>9</v>
      </c>
      <c r="E216" s="217">
        <f>일위목록!E62</f>
        <v>0</v>
      </c>
      <c r="F216" s="217">
        <f t="shared" si="39"/>
        <v>0</v>
      </c>
      <c r="G216" s="217">
        <f>일위목록!F62</f>
        <v>0</v>
      </c>
      <c r="H216" s="217">
        <f>TRUNC(G216*C216,0)</f>
        <v>0</v>
      </c>
      <c r="I216" s="217">
        <f>일위목록!G62</f>
        <v>0</v>
      </c>
      <c r="J216" s="217">
        <f>TRUNC(I216*C216,0)</f>
        <v>0</v>
      </c>
      <c r="K216" s="217">
        <f t="shared" si="40"/>
        <v>0</v>
      </c>
      <c r="L216" s="217">
        <f t="shared" si="38"/>
        <v>0</v>
      </c>
      <c r="M216" s="215" t="s">
        <v>68</v>
      </c>
      <c r="N216" s="212" t="s">
        <v>68</v>
      </c>
      <c r="O216" s="212"/>
      <c r="P216" s="212" t="s">
        <v>1101</v>
      </c>
      <c r="Q216" s="212" t="s">
        <v>68</v>
      </c>
      <c r="R216" s="212" t="s">
        <v>1740</v>
      </c>
      <c r="S216" s="212"/>
      <c r="T216" s="212" t="s">
        <v>1129</v>
      </c>
      <c r="U216" s="212"/>
      <c r="V216" s="212"/>
      <c r="W216" s="212"/>
      <c r="X216" s="212"/>
      <c r="Y216" s="212"/>
      <c r="Z216" s="212"/>
      <c r="AA216" s="212"/>
      <c r="AB216" s="212"/>
      <c r="AC216" s="212"/>
      <c r="AD216" s="212"/>
      <c r="AE216" s="212"/>
      <c r="AF216" s="212"/>
      <c r="AG216" s="212"/>
      <c r="AH216" s="212"/>
      <c r="AI216" s="212"/>
      <c r="AJ216" s="212"/>
      <c r="AK216" s="212"/>
      <c r="AL216" s="212"/>
      <c r="AM216" s="212"/>
      <c r="AN216" s="212"/>
      <c r="AO216" s="212"/>
      <c r="AP216" s="212"/>
      <c r="AQ216" s="212"/>
      <c r="AR216" s="212"/>
      <c r="AS216" s="212"/>
      <c r="AT216" s="212"/>
      <c r="AU216" s="212"/>
      <c r="AV216" s="212"/>
      <c r="AW216" s="212"/>
      <c r="AX216" s="212"/>
      <c r="AY216" s="212"/>
      <c r="AZ216" s="212"/>
      <c r="BA216" s="212"/>
      <c r="BB216" s="212"/>
      <c r="BC216" s="212"/>
      <c r="BD216" s="212"/>
      <c r="BE216" s="212"/>
      <c r="BF216" s="212"/>
      <c r="BG216" s="212"/>
      <c r="BH216" s="212"/>
      <c r="BI216" s="231" t="str">
        <f>HYPERLINK("#일위대가목록!A62","PP10-3-1/9 →")</f>
        <v>PP10-3-1/9 →</v>
      </c>
    </row>
    <row r="217" spans="1:61" ht="24" customHeight="1">
      <c r="A217" s="218" t="s">
        <v>2058</v>
      </c>
      <c r="B217" s="218" t="s">
        <v>1727</v>
      </c>
      <c r="C217" s="228">
        <v>1</v>
      </c>
      <c r="D217" s="213" t="s">
        <v>378</v>
      </c>
      <c r="E217" s="217">
        <f>일위목록!E66</f>
        <v>0</v>
      </c>
      <c r="F217" s="217">
        <f t="shared" si="39"/>
        <v>0</v>
      </c>
      <c r="G217" s="217">
        <f>일위목록!F66</f>
        <v>0</v>
      </c>
      <c r="H217" s="217">
        <f>TRUNC(G217*C217,0)</f>
        <v>0</v>
      </c>
      <c r="I217" s="217">
        <f>일위목록!G66</f>
        <v>0</v>
      </c>
      <c r="J217" s="217">
        <f>TRUNC(I217*C217,0)</f>
        <v>0</v>
      </c>
      <c r="K217" s="217">
        <f t="shared" si="40"/>
        <v>0</v>
      </c>
      <c r="L217" s="217">
        <f t="shared" si="38"/>
        <v>0</v>
      </c>
      <c r="M217" s="215" t="s">
        <v>68</v>
      </c>
      <c r="N217" s="212" t="s">
        <v>68</v>
      </c>
      <c r="O217" s="212"/>
      <c r="P217" s="212" t="s">
        <v>1104</v>
      </c>
      <c r="Q217" s="212" t="s">
        <v>68</v>
      </c>
      <c r="R217" s="212" t="s">
        <v>1752</v>
      </c>
      <c r="S217" s="212"/>
      <c r="T217" s="212" t="s">
        <v>1129</v>
      </c>
      <c r="U217" s="212"/>
      <c r="V217" s="212"/>
      <c r="W217" s="212"/>
      <c r="X217" s="212"/>
      <c r="Y217" s="212"/>
      <c r="Z217" s="212"/>
      <c r="AA217" s="212"/>
      <c r="AB217" s="212"/>
      <c r="AC217" s="212"/>
      <c r="AD217" s="212"/>
      <c r="AE217" s="212"/>
      <c r="AF217" s="212"/>
      <c r="AG217" s="212"/>
      <c r="AH217" s="212"/>
      <c r="AI217" s="212"/>
      <c r="AJ217" s="212"/>
      <c r="AK217" s="212"/>
      <c r="AL217" s="212"/>
      <c r="AM217" s="212"/>
      <c r="AN217" s="212"/>
      <c r="AO217" s="212"/>
      <c r="AP217" s="212"/>
      <c r="AQ217" s="212"/>
      <c r="AR217" s="212"/>
      <c r="AS217" s="212"/>
      <c r="AT217" s="212"/>
      <c r="AU217" s="212"/>
      <c r="AV217" s="212"/>
      <c r="AW217" s="212"/>
      <c r="AX217" s="212"/>
      <c r="AY217" s="212"/>
      <c r="AZ217" s="212"/>
      <c r="BA217" s="212"/>
      <c r="BB217" s="212"/>
      <c r="BC217" s="212"/>
      <c r="BD217" s="212"/>
      <c r="BE217" s="212"/>
      <c r="BF217" s="212"/>
      <c r="BG217" s="212"/>
      <c r="BH217" s="212"/>
      <c r="BI217" s="231" t="str">
        <f>HYPERLINK("#일위대가목록!A66","PP10-1-3/2 →")</f>
        <v>PP10-1-3/2 →</v>
      </c>
    </row>
    <row r="218" spans="1:61" ht="24" customHeight="1">
      <c r="A218" s="218" t="s">
        <v>2039</v>
      </c>
      <c r="B218" s="218" t="s">
        <v>1745</v>
      </c>
      <c r="C218" s="229">
        <v>6.6</v>
      </c>
      <c r="D218" s="213" t="s">
        <v>1033</v>
      </c>
      <c r="E218" s="217">
        <f>일위목록!E64</f>
        <v>0</v>
      </c>
      <c r="F218" s="217">
        <f t="shared" si="39"/>
        <v>0</v>
      </c>
      <c r="G218" s="217">
        <f>일위목록!F64</f>
        <v>0</v>
      </c>
      <c r="H218" s="217">
        <f>TRUNC(G218*C218,0)</f>
        <v>0</v>
      </c>
      <c r="I218" s="217">
        <f>일위목록!G64</f>
        <v>0</v>
      </c>
      <c r="J218" s="217">
        <f>TRUNC(I218*C218,0)</f>
        <v>0</v>
      </c>
      <c r="K218" s="217">
        <f t="shared" si="40"/>
        <v>0</v>
      </c>
      <c r="L218" s="217">
        <f t="shared" si="38"/>
        <v>0</v>
      </c>
      <c r="M218" s="215" t="s">
        <v>68</v>
      </c>
      <c r="N218" s="212" t="s">
        <v>68</v>
      </c>
      <c r="O218" s="212"/>
      <c r="P218" s="212" t="s">
        <v>1107</v>
      </c>
      <c r="Q218" s="212" t="s">
        <v>68</v>
      </c>
      <c r="R218" s="212" t="s">
        <v>1747</v>
      </c>
      <c r="S218" s="212"/>
      <c r="T218" s="212" t="s">
        <v>1129</v>
      </c>
      <c r="U218" s="212"/>
      <c r="V218" s="212"/>
      <c r="W218" s="212"/>
      <c r="X218" s="212"/>
      <c r="Y218" s="212"/>
      <c r="Z218" s="212"/>
      <c r="AA218" s="212"/>
      <c r="AB218" s="212"/>
      <c r="AC218" s="212"/>
      <c r="AD218" s="212"/>
      <c r="AE218" s="212"/>
      <c r="AF218" s="212"/>
      <c r="AG218" s="212"/>
      <c r="AH218" s="212"/>
      <c r="AI218" s="212"/>
      <c r="AJ218" s="212"/>
      <c r="AK218" s="212"/>
      <c r="AL218" s="212"/>
      <c r="AM218" s="212"/>
      <c r="AN218" s="212"/>
      <c r="AO218" s="212"/>
      <c r="AP218" s="212"/>
      <c r="AQ218" s="212"/>
      <c r="AR218" s="212"/>
      <c r="AS218" s="212"/>
      <c r="AT218" s="212"/>
      <c r="AU218" s="212"/>
      <c r="AV218" s="212"/>
      <c r="AW218" s="212"/>
      <c r="AX218" s="212"/>
      <c r="AY218" s="212"/>
      <c r="AZ218" s="212"/>
      <c r="BA218" s="212"/>
      <c r="BB218" s="212"/>
      <c r="BC218" s="212"/>
      <c r="BD218" s="212"/>
      <c r="BE218" s="212"/>
      <c r="BF218" s="212"/>
      <c r="BG218" s="212"/>
      <c r="BH218" s="212"/>
      <c r="BI218" s="231" t="str">
        <f>HYPERLINK("#일위대가목록!A64","PP10-4-3/1 →")</f>
        <v>PP10-4-3/1 →</v>
      </c>
    </row>
    <row r="219" spans="1:61" ht="24" customHeight="1">
      <c r="A219" s="218" t="s">
        <v>2059</v>
      </c>
      <c r="B219" s="218" t="s">
        <v>68</v>
      </c>
      <c r="C219" s="229">
        <v>6.6</v>
      </c>
      <c r="D219" s="213" t="s">
        <v>1033</v>
      </c>
      <c r="E219" s="217">
        <f>일위목록!E65</f>
        <v>0</v>
      </c>
      <c r="F219" s="217">
        <f t="shared" si="39"/>
        <v>0</v>
      </c>
      <c r="G219" s="217">
        <f>일위목록!F65</f>
        <v>0</v>
      </c>
      <c r="H219" s="217">
        <f>TRUNC(G219*C219,0)</f>
        <v>0</v>
      </c>
      <c r="I219" s="217">
        <f>일위목록!G65</f>
        <v>0</v>
      </c>
      <c r="J219" s="217">
        <f>TRUNC(I219*C219,0)</f>
        <v>0</v>
      </c>
      <c r="K219" s="217">
        <f t="shared" si="40"/>
        <v>0</v>
      </c>
      <c r="L219" s="217">
        <f t="shared" si="38"/>
        <v>0</v>
      </c>
      <c r="M219" s="215" t="s">
        <v>68</v>
      </c>
      <c r="N219" s="212" t="s">
        <v>68</v>
      </c>
      <c r="O219" s="212"/>
      <c r="P219" s="212" t="s">
        <v>1108</v>
      </c>
      <c r="Q219" s="212" t="s">
        <v>68</v>
      </c>
      <c r="R219" s="212" t="s">
        <v>1750</v>
      </c>
      <c r="S219" s="212"/>
      <c r="T219" s="212" t="s">
        <v>1129</v>
      </c>
      <c r="U219" s="212"/>
      <c r="V219" s="212"/>
      <c r="W219" s="212"/>
      <c r="X219" s="212"/>
      <c r="Y219" s="212"/>
      <c r="Z219" s="212"/>
      <c r="AA219" s="212"/>
      <c r="AB219" s="212"/>
      <c r="AC219" s="212"/>
      <c r="AD219" s="212"/>
      <c r="AE219" s="212"/>
      <c r="AF219" s="212"/>
      <c r="AG219" s="212"/>
      <c r="AH219" s="212"/>
      <c r="AI219" s="212"/>
      <c r="AJ219" s="212"/>
      <c r="AK219" s="212"/>
      <c r="AL219" s="212"/>
      <c r="AM219" s="212"/>
      <c r="AN219" s="212"/>
      <c r="AO219" s="212"/>
      <c r="AP219" s="212"/>
      <c r="AQ219" s="212"/>
      <c r="AR219" s="212"/>
      <c r="AS219" s="212"/>
      <c r="AT219" s="212"/>
      <c r="AU219" s="212"/>
      <c r="AV219" s="212"/>
      <c r="AW219" s="212"/>
      <c r="AX219" s="212"/>
      <c r="AY219" s="212"/>
      <c r="AZ219" s="212"/>
      <c r="BA219" s="212"/>
      <c r="BB219" s="212"/>
      <c r="BC219" s="212"/>
      <c r="BD219" s="212"/>
      <c r="BE219" s="212"/>
      <c r="BF219" s="212"/>
      <c r="BG219" s="212"/>
      <c r="BH219" s="212"/>
      <c r="BI219" s="231" t="str">
        <f>HYPERLINK("#일위대가목록!A65","P9-3-1/1 →")</f>
        <v>P9-3-1/1 →</v>
      </c>
    </row>
    <row r="220" spans="1:61" ht="24" customHeight="1">
      <c r="A220" s="215"/>
      <c r="B220" s="215"/>
      <c r="C220" s="229"/>
      <c r="D220" s="213"/>
      <c r="E220" s="213"/>
      <c r="F220" s="213"/>
      <c r="G220" s="213"/>
      <c r="H220" s="213"/>
      <c r="I220" s="213"/>
      <c r="J220" s="213"/>
      <c r="K220" s="213"/>
      <c r="L220" s="213"/>
      <c r="M220" s="215"/>
      <c r="N220" s="212"/>
      <c r="O220" s="212"/>
      <c r="P220" s="212"/>
      <c r="Q220" s="212"/>
      <c r="R220" s="212"/>
      <c r="S220" s="212"/>
      <c r="T220" s="212"/>
      <c r="U220" s="212"/>
      <c r="V220" s="212"/>
      <c r="W220" s="212"/>
      <c r="X220" s="212"/>
      <c r="Y220" s="212"/>
      <c r="Z220" s="212"/>
      <c r="AA220" s="212"/>
      <c r="AB220" s="212"/>
      <c r="AC220" s="212"/>
      <c r="AD220" s="212"/>
      <c r="AE220" s="212"/>
      <c r="AF220" s="212"/>
      <c r="AG220" s="212"/>
      <c r="AH220" s="212"/>
      <c r="AI220" s="212"/>
      <c r="AJ220" s="212"/>
      <c r="AK220" s="212"/>
      <c r="AL220" s="212"/>
      <c r="AM220" s="212"/>
      <c r="AN220" s="212"/>
      <c r="AO220" s="212"/>
      <c r="AP220" s="212"/>
      <c r="AQ220" s="212"/>
      <c r="AR220" s="212"/>
      <c r="AS220" s="212"/>
      <c r="AT220" s="212"/>
      <c r="AU220" s="212"/>
      <c r="AV220" s="212"/>
      <c r="AW220" s="212"/>
      <c r="AX220" s="212"/>
      <c r="AY220" s="212"/>
      <c r="AZ220" s="212"/>
      <c r="BA220" s="212"/>
      <c r="BB220" s="212"/>
      <c r="BC220" s="212"/>
      <c r="BD220" s="212"/>
      <c r="BE220" s="212"/>
      <c r="BF220" s="212"/>
      <c r="BG220" s="212"/>
      <c r="BH220" s="212"/>
      <c r="BI220" s="212"/>
    </row>
    <row r="221" spans="1:61" ht="24" customHeight="1">
      <c r="A221" s="218" t="s">
        <v>2070</v>
      </c>
      <c r="B221" s="218" t="s">
        <v>1215</v>
      </c>
      <c r="C221" s="228">
        <v>1</v>
      </c>
      <c r="D221" s="213" t="s">
        <v>437</v>
      </c>
      <c r="E221" s="212"/>
      <c r="F221" s="217">
        <f>TRUNC(F222+F223+F224+F225+F226+F227+F228+F229+F230+F231+F232,0)</f>
        <v>0</v>
      </c>
      <c r="G221" s="212"/>
      <c r="H221" s="217">
        <f>TRUNC(H222+H223+H224+H225+H226+H227+H228+H229+H230+H231+H232,0)</f>
        <v>0</v>
      </c>
      <c r="I221" s="212"/>
      <c r="J221" s="217">
        <f>TRUNC(J222+J223+J224+J225+J226+J227+J228+J229+J230+J231+J232,0)</f>
        <v>0</v>
      </c>
      <c r="K221" s="212"/>
      <c r="L221" s="217">
        <f t="shared" ref="L221:L232" si="41">F221+H221+J221</f>
        <v>0</v>
      </c>
      <c r="M221" s="215" t="s">
        <v>68</v>
      </c>
      <c r="N221" s="212" t="s">
        <v>68</v>
      </c>
      <c r="O221" s="212" t="s">
        <v>1216</v>
      </c>
      <c r="P221" s="212"/>
      <c r="Q221" s="212"/>
      <c r="R221" s="212"/>
      <c r="S221" s="212"/>
      <c r="T221" s="212"/>
      <c r="U221" s="212"/>
      <c r="V221" s="212"/>
      <c r="W221" s="212"/>
      <c r="X221" s="212"/>
      <c r="Y221" s="212"/>
      <c r="Z221" s="212"/>
      <c r="AA221" s="212"/>
      <c r="AB221" s="212"/>
      <c r="AC221" s="212"/>
      <c r="AD221" s="212"/>
      <c r="AE221" s="212"/>
      <c r="AF221" s="212"/>
      <c r="AG221" s="212"/>
      <c r="AH221" s="212"/>
      <c r="AI221" s="212"/>
      <c r="AJ221" s="212"/>
      <c r="AK221" s="212"/>
      <c r="AL221" s="212"/>
      <c r="AM221" s="212"/>
      <c r="AN221" s="212"/>
      <c r="AO221" s="212"/>
      <c r="AP221" s="212"/>
      <c r="AQ221" s="212"/>
      <c r="AR221" s="212"/>
      <c r="AS221" s="212"/>
      <c r="AT221" s="212"/>
      <c r="AU221" s="212"/>
      <c r="AV221" s="212"/>
      <c r="AW221" s="212"/>
      <c r="AX221" s="212"/>
      <c r="AY221" s="212"/>
      <c r="AZ221" s="212"/>
      <c r="BA221" s="212"/>
      <c r="BB221" s="212"/>
      <c r="BC221" s="212"/>
      <c r="BD221" s="212"/>
      <c r="BE221" s="212"/>
      <c r="BF221" s="212"/>
      <c r="BG221" s="212"/>
      <c r="BH221" s="212"/>
      <c r="BI221" s="212"/>
    </row>
    <row r="222" spans="1:61" ht="24" customHeight="1">
      <c r="A222" s="218" t="s">
        <v>2071</v>
      </c>
      <c r="B222" s="218" t="s">
        <v>2072</v>
      </c>
      <c r="C222" s="229">
        <v>27.73</v>
      </c>
      <c r="D222" s="213" t="s">
        <v>1400</v>
      </c>
      <c r="E222" s="217">
        <f>자재조서!E7</f>
        <v>0</v>
      </c>
      <c r="F222" s="217">
        <f t="shared" ref="F222:F232" si="42">TRUNC(E222*C222,0)</f>
        <v>0</v>
      </c>
      <c r="G222" s="217">
        <v>0</v>
      </c>
      <c r="H222" s="217"/>
      <c r="I222" s="217">
        <v>0</v>
      </c>
      <c r="J222" s="217"/>
      <c r="K222" s="217">
        <f t="shared" ref="K222:K232" si="43">E222+G222+I222</f>
        <v>0</v>
      </c>
      <c r="L222" s="217">
        <f t="shared" si="41"/>
        <v>0</v>
      </c>
      <c r="M222" s="215" t="s">
        <v>68</v>
      </c>
      <c r="N222" s="212" t="s">
        <v>68</v>
      </c>
      <c r="O222" s="212"/>
      <c r="P222" s="212" t="s">
        <v>1095</v>
      </c>
      <c r="Q222" s="212" t="s">
        <v>68</v>
      </c>
      <c r="R222" s="212" t="s">
        <v>2073</v>
      </c>
      <c r="S222" s="212"/>
      <c r="T222" s="212"/>
      <c r="U222" s="212"/>
      <c r="V222" s="212"/>
      <c r="W222" s="212"/>
      <c r="X222" s="212"/>
      <c r="Y222" s="212"/>
      <c r="Z222" s="212"/>
      <c r="AA222" s="212"/>
      <c r="AB222" s="212"/>
      <c r="AC222" s="212"/>
      <c r="AD222" s="212"/>
      <c r="AE222" s="212"/>
      <c r="AF222" s="212"/>
      <c r="AG222" s="212"/>
      <c r="AH222" s="212"/>
      <c r="AI222" s="212"/>
      <c r="AJ222" s="212"/>
      <c r="AK222" s="212"/>
      <c r="AL222" s="212"/>
      <c r="AM222" s="212"/>
      <c r="AN222" s="212"/>
      <c r="AO222" s="212"/>
      <c r="AP222" s="212"/>
      <c r="AQ222" s="212"/>
      <c r="AR222" s="212"/>
      <c r="AS222" s="212"/>
      <c r="AT222" s="212"/>
      <c r="AU222" s="212"/>
      <c r="AV222" s="212"/>
      <c r="AW222" s="212"/>
      <c r="AX222" s="212"/>
      <c r="AY222" s="212"/>
      <c r="AZ222" s="212"/>
      <c r="BA222" s="212"/>
      <c r="BB222" s="212"/>
      <c r="BC222" s="212"/>
      <c r="BD222" s="212"/>
      <c r="BE222" s="212"/>
      <c r="BF222" s="212"/>
      <c r="BG222" s="212"/>
      <c r="BH222" s="212"/>
      <c r="BI222" s="231" t="str">
        <f>HYPERLINK("#자재조서!A7","M0131019 →")</f>
        <v>M0131019 →</v>
      </c>
    </row>
    <row r="223" spans="1:61" ht="24" customHeight="1">
      <c r="A223" s="218" t="s">
        <v>1935</v>
      </c>
      <c r="B223" s="218" t="s">
        <v>1754</v>
      </c>
      <c r="C223" s="229">
        <v>7.2999999999999995E-2</v>
      </c>
      <c r="D223" s="213" t="s">
        <v>16</v>
      </c>
      <c r="E223" s="217">
        <f>일위목록!E67</f>
        <v>0</v>
      </c>
      <c r="F223" s="217">
        <f t="shared" si="42"/>
        <v>0</v>
      </c>
      <c r="G223" s="217">
        <f>일위목록!F67</f>
        <v>0</v>
      </c>
      <c r="H223" s="217">
        <f>TRUNC(G223*C223,0)</f>
        <v>0</v>
      </c>
      <c r="I223" s="217">
        <f>일위목록!G67</f>
        <v>0</v>
      </c>
      <c r="J223" s="217">
        <f>TRUNC(I223*C223,0)</f>
        <v>0</v>
      </c>
      <c r="K223" s="217">
        <f t="shared" si="43"/>
        <v>0</v>
      </c>
      <c r="L223" s="217">
        <f t="shared" si="41"/>
        <v>0</v>
      </c>
      <c r="M223" s="215" t="s">
        <v>68</v>
      </c>
      <c r="N223" s="212" t="s">
        <v>68</v>
      </c>
      <c r="O223" s="212"/>
      <c r="P223" s="212" t="s">
        <v>1098</v>
      </c>
      <c r="Q223" s="212" t="s">
        <v>68</v>
      </c>
      <c r="R223" s="212" t="s">
        <v>1755</v>
      </c>
      <c r="S223" s="212"/>
      <c r="T223" s="212" t="s">
        <v>1129</v>
      </c>
      <c r="U223" s="212"/>
      <c r="V223" s="212"/>
      <c r="W223" s="212"/>
      <c r="X223" s="212"/>
      <c r="Y223" s="212"/>
      <c r="Z223" s="212"/>
      <c r="AA223" s="212"/>
      <c r="AB223" s="212"/>
      <c r="AC223" s="212"/>
      <c r="AD223" s="212"/>
      <c r="AE223" s="212"/>
      <c r="AF223" s="212"/>
      <c r="AG223" s="212"/>
      <c r="AH223" s="212"/>
      <c r="AI223" s="212"/>
      <c r="AJ223" s="212"/>
      <c r="AK223" s="212"/>
      <c r="AL223" s="212"/>
      <c r="AM223" s="212"/>
      <c r="AN223" s="212"/>
      <c r="AO223" s="212"/>
      <c r="AP223" s="212"/>
      <c r="AQ223" s="212"/>
      <c r="AR223" s="212"/>
      <c r="AS223" s="212"/>
      <c r="AT223" s="212"/>
      <c r="AU223" s="212"/>
      <c r="AV223" s="212"/>
      <c r="AW223" s="212"/>
      <c r="AX223" s="212"/>
      <c r="AY223" s="212"/>
      <c r="AZ223" s="212"/>
      <c r="BA223" s="212"/>
      <c r="BB223" s="212"/>
      <c r="BC223" s="212"/>
      <c r="BD223" s="212"/>
      <c r="BE223" s="212"/>
      <c r="BF223" s="212"/>
      <c r="BG223" s="212"/>
      <c r="BH223" s="212"/>
      <c r="BI223" s="231" t="str">
        <f>HYPERLINK("#일위대가목록!A67","P8-3-1/6 →")</f>
        <v>P8-3-1/6 →</v>
      </c>
    </row>
    <row r="224" spans="1:61" ht="24" customHeight="1">
      <c r="A224" s="218" t="s">
        <v>2074</v>
      </c>
      <c r="B224" s="218" t="s">
        <v>1757</v>
      </c>
      <c r="C224" s="229">
        <v>27.73</v>
      </c>
      <c r="D224" s="213" t="s">
        <v>1033</v>
      </c>
      <c r="E224" s="217">
        <f>일위목록!E68</f>
        <v>0</v>
      </c>
      <c r="F224" s="217">
        <f t="shared" si="42"/>
        <v>0</v>
      </c>
      <c r="G224" s="217">
        <f>일위목록!F68</f>
        <v>0</v>
      </c>
      <c r="H224" s="217">
        <f>TRUNC(G224*C224,0)</f>
        <v>0</v>
      </c>
      <c r="I224" s="217">
        <f>일위목록!G68</f>
        <v>0</v>
      </c>
      <c r="J224" s="217">
        <f>TRUNC(I224*C224,0)</f>
        <v>0</v>
      </c>
      <c r="K224" s="217">
        <f t="shared" si="43"/>
        <v>0</v>
      </c>
      <c r="L224" s="217">
        <f t="shared" si="41"/>
        <v>0</v>
      </c>
      <c r="M224" s="215" t="s">
        <v>1758</v>
      </c>
      <c r="N224" s="212" t="s">
        <v>68</v>
      </c>
      <c r="O224" s="212"/>
      <c r="P224" s="212" t="s">
        <v>1101</v>
      </c>
      <c r="Q224" s="212" t="s">
        <v>68</v>
      </c>
      <c r="R224" s="212" t="s">
        <v>1759</v>
      </c>
      <c r="S224" s="212"/>
      <c r="T224" s="212" t="s">
        <v>1129</v>
      </c>
      <c r="U224" s="212"/>
      <c r="V224" s="212"/>
      <c r="W224" s="212"/>
      <c r="X224" s="212"/>
      <c r="Y224" s="212"/>
      <c r="Z224" s="212"/>
      <c r="AA224" s="212"/>
      <c r="AB224" s="212"/>
      <c r="AC224" s="212"/>
      <c r="AD224" s="212"/>
      <c r="AE224" s="212"/>
      <c r="AF224" s="212"/>
      <c r="AG224" s="212"/>
      <c r="AH224" s="212"/>
      <c r="AI224" s="212"/>
      <c r="AJ224" s="212"/>
      <c r="AK224" s="212"/>
      <c r="AL224" s="212"/>
      <c r="AM224" s="212"/>
      <c r="AN224" s="212"/>
      <c r="AO224" s="212"/>
      <c r="AP224" s="212"/>
      <c r="AQ224" s="212"/>
      <c r="AR224" s="212"/>
      <c r="AS224" s="212"/>
      <c r="AT224" s="212"/>
      <c r="AU224" s="212"/>
      <c r="AV224" s="212"/>
      <c r="AW224" s="212"/>
      <c r="AX224" s="212"/>
      <c r="AY224" s="212"/>
      <c r="AZ224" s="212"/>
      <c r="BA224" s="212"/>
      <c r="BB224" s="212"/>
      <c r="BC224" s="212"/>
      <c r="BD224" s="212"/>
      <c r="BE224" s="212"/>
      <c r="BF224" s="212"/>
      <c r="BG224" s="212"/>
      <c r="BH224" s="212"/>
      <c r="BI224" s="231" t="str">
        <f>HYPERLINK("#일위대가목록!A68","S9-2-3/0 →")</f>
        <v>S9-2-3/0 →</v>
      </c>
    </row>
    <row r="225" spans="1:61" ht="24" customHeight="1">
      <c r="A225" s="218" t="s">
        <v>2075</v>
      </c>
      <c r="B225" s="218" t="s">
        <v>2076</v>
      </c>
      <c r="C225" s="229">
        <v>7.69</v>
      </c>
      <c r="D225" s="213" t="s">
        <v>1033</v>
      </c>
      <c r="E225" s="217">
        <f>자재!D76</f>
        <v>0</v>
      </c>
      <c r="F225" s="217">
        <f t="shared" si="42"/>
        <v>0</v>
      </c>
      <c r="G225" s="217">
        <v>0</v>
      </c>
      <c r="H225" s="217"/>
      <c r="I225" s="217">
        <v>0</v>
      </c>
      <c r="J225" s="217"/>
      <c r="K225" s="217">
        <f t="shared" si="43"/>
        <v>0</v>
      </c>
      <c r="L225" s="217">
        <f t="shared" si="41"/>
        <v>0</v>
      </c>
      <c r="M225" s="215" t="s">
        <v>68</v>
      </c>
      <c r="N225" s="212" t="s">
        <v>68</v>
      </c>
      <c r="O225" s="212"/>
      <c r="P225" s="212" t="s">
        <v>1104</v>
      </c>
      <c r="Q225" s="212" t="s">
        <v>68</v>
      </c>
      <c r="R225" s="212" t="s">
        <v>2077</v>
      </c>
      <c r="S225" s="212"/>
      <c r="T225" s="212"/>
      <c r="U225" s="212"/>
      <c r="V225" s="212"/>
      <c r="W225" s="212"/>
      <c r="X225" s="212"/>
      <c r="Y225" s="212"/>
      <c r="Z225" s="212"/>
      <c r="AA225" s="212"/>
      <c r="AB225" s="212"/>
      <c r="AC225" s="212"/>
      <c r="AD225" s="212"/>
      <c r="AE225" s="212"/>
      <c r="AF225" s="212"/>
      <c r="AG225" s="212"/>
      <c r="AH225" s="212"/>
      <c r="AI225" s="212"/>
      <c r="AJ225" s="212"/>
      <c r="AK225" s="212"/>
      <c r="AL225" s="212"/>
      <c r="AM225" s="212"/>
      <c r="AN225" s="212"/>
      <c r="AO225" s="212"/>
      <c r="AP225" s="212"/>
      <c r="AQ225" s="212"/>
      <c r="AR225" s="212"/>
      <c r="AS225" s="212"/>
      <c r="AT225" s="212"/>
      <c r="AU225" s="212"/>
      <c r="AV225" s="212"/>
      <c r="AW225" s="212"/>
      <c r="AX225" s="212"/>
      <c r="AY225" s="212"/>
      <c r="AZ225" s="212"/>
      <c r="BA225" s="212"/>
      <c r="BB225" s="212"/>
      <c r="BC225" s="212"/>
      <c r="BD225" s="212"/>
      <c r="BE225" s="212"/>
      <c r="BF225" s="212"/>
      <c r="BG225" s="212"/>
      <c r="BH225" s="212"/>
      <c r="BI225" s="231" t="str">
        <f>HYPERLINK("#자재!A76","MZZ9000014 →")</f>
        <v>MZZ9000014 →</v>
      </c>
    </row>
    <row r="226" spans="1:61" ht="24" customHeight="1">
      <c r="A226" s="218" t="s">
        <v>2078</v>
      </c>
      <c r="B226" s="218" t="s">
        <v>2079</v>
      </c>
      <c r="C226" s="228">
        <v>16</v>
      </c>
      <c r="D226" s="213" t="s">
        <v>437</v>
      </c>
      <c r="E226" s="217">
        <f>자재!D77</f>
        <v>0</v>
      </c>
      <c r="F226" s="217">
        <f t="shared" si="42"/>
        <v>0</v>
      </c>
      <c r="G226" s="217">
        <v>0</v>
      </c>
      <c r="H226" s="217"/>
      <c r="I226" s="217">
        <v>0</v>
      </c>
      <c r="J226" s="217"/>
      <c r="K226" s="217">
        <f t="shared" si="43"/>
        <v>0</v>
      </c>
      <c r="L226" s="217">
        <f t="shared" si="41"/>
        <v>0</v>
      </c>
      <c r="M226" s="215" t="s">
        <v>68</v>
      </c>
      <c r="N226" s="212" t="s">
        <v>68</v>
      </c>
      <c r="O226" s="212"/>
      <c r="P226" s="212" t="s">
        <v>1107</v>
      </c>
      <c r="Q226" s="212" t="s">
        <v>68</v>
      </c>
      <c r="R226" s="212" t="s">
        <v>2080</v>
      </c>
      <c r="S226" s="212"/>
      <c r="T226" s="212"/>
      <c r="U226" s="212"/>
      <c r="V226" s="212"/>
      <c r="W226" s="212"/>
      <c r="X226" s="212"/>
      <c r="Y226" s="212"/>
      <c r="Z226" s="212"/>
      <c r="AA226" s="212"/>
      <c r="AB226" s="212"/>
      <c r="AC226" s="212"/>
      <c r="AD226" s="212"/>
      <c r="AE226" s="212"/>
      <c r="AF226" s="212"/>
      <c r="AG226" s="212"/>
      <c r="AH226" s="212"/>
      <c r="AI226" s="212"/>
      <c r="AJ226" s="212"/>
      <c r="AK226" s="212"/>
      <c r="AL226" s="212"/>
      <c r="AM226" s="212"/>
      <c r="AN226" s="212"/>
      <c r="AO226" s="212"/>
      <c r="AP226" s="212"/>
      <c r="AQ226" s="212"/>
      <c r="AR226" s="212"/>
      <c r="AS226" s="212"/>
      <c r="AT226" s="212"/>
      <c r="AU226" s="212"/>
      <c r="AV226" s="212"/>
      <c r="AW226" s="212"/>
      <c r="AX226" s="212"/>
      <c r="AY226" s="212"/>
      <c r="AZ226" s="212"/>
      <c r="BA226" s="212"/>
      <c r="BB226" s="212"/>
      <c r="BC226" s="212"/>
      <c r="BD226" s="212"/>
      <c r="BE226" s="212"/>
      <c r="BF226" s="212"/>
      <c r="BG226" s="212"/>
      <c r="BH226" s="212"/>
      <c r="BI226" s="231" t="str">
        <f>HYPERLINK("#자재!A77","MZZ9000015 →")</f>
        <v>MZZ9000015 →</v>
      </c>
    </row>
    <row r="227" spans="1:61" ht="24" customHeight="1">
      <c r="A227" s="218" t="s">
        <v>2081</v>
      </c>
      <c r="B227" s="218" t="s">
        <v>2082</v>
      </c>
      <c r="C227" s="229">
        <v>8.9600000000000009</v>
      </c>
      <c r="D227" s="213" t="s">
        <v>2055</v>
      </c>
      <c r="E227" s="217">
        <f>자재조서!E31</f>
        <v>0</v>
      </c>
      <c r="F227" s="217">
        <f t="shared" si="42"/>
        <v>0</v>
      </c>
      <c r="G227" s="217">
        <v>0</v>
      </c>
      <c r="H227" s="217"/>
      <c r="I227" s="217">
        <v>0</v>
      </c>
      <c r="J227" s="217"/>
      <c r="K227" s="217">
        <f t="shared" si="43"/>
        <v>0</v>
      </c>
      <c r="L227" s="217">
        <f t="shared" si="41"/>
        <v>0</v>
      </c>
      <c r="M227" s="215" t="s">
        <v>68</v>
      </c>
      <c r="N227" s="212" t="s">
        <v>68</v>
      </c>
      <c r="O227" s="212"/>
      <c r="P227" s="212" t="s">
        <v>1108</v>
      </c>
      <c r="Q227" s="212" t="s">
        <v>68</v>
      </c>
      <c r="R227" s="212" t="s">
        <v>2083</v>
      </c>
      <c r="S227" s="212"/>
      <c r="T227" s="212"/>
      <c r="U227" s="212"/>
      <c r="V227" s="212"/>
      <c r="W227" s="212"/>
      <c r="X227" s="212"/>
      <c r="Y227" s="212"/>
      <c r="Z227" s="212"/>
      <c r="AA227" s="212"/>
      <c r="AB227" s="212"/>
      <c r="AC227" s="212"/>
      <c r="AD227" s="212"/>
      <c r="AE227" s="212"/>
      <c r="AF227" s="212"/>
      <c r="AG227" s="212"/>
      <c r="AH227" s="212"/>
      <c r="AI227" s="212"/>
      <c r="AJ227" s="212"/>
      <c r="AK227" s="212"/>
      <c r="AL227" s="212"/>
      <c r="AM227" s="212"/>
      <c r="AN227" s="212"/>
      <c r="AO227" s="212"/>
      <c r="AP227" s="212"/>
      <c r="AQ227" s="212"/>
      <c r="AR227" s="212"/>
      <c r="AS227" s="212"/>
      <c r="AT227" s="212"/>
      <c r="AU227" s="212"/>
      <c r="AV227" s="212"/>
      <c r="AW227" s="212"/>
      <c r="AX227" s="212"/>
      <c r="AY227" s="212"/>
      <c r="AZ227" s="212"/>
      <c r="BA227" s="212"/>
      <c r="BB227" s="212"/>
      <c r="BC227" s="212"/>
      <c r="BD227" s="212"/>
      <c r="BE227" s="212"/>
      <c r="BF227" s="212"/>
      <c r="BG227" s="212"/>
      <c r="BH227" s="212"/>
      <c r="BI227" s="231" t="str">
        <f>HYPERLINK("#자재조서!A31","MJD07918 →")</f>
        <v>MJD07918 →</v>
      </c>
    </row>
    <row r="228" spans="1:61" ht="24" customHeight="1">
      <c r="A228" s="218" t="s">
        <v>2037</v>
      </c>
      <c r="B228" s="218" t="s">
        <v>1738</v>
      </c>
      <c r="C228" s="229">
        <v>8.9600000000000009</v>
      </c>
      <c r="D228" s="213" t="s">
        <v>9</v>
      </c>
      <c r="E228" s="217">
        <f>일위목록!E62</f>
        <v>0</v>
      </c>
      <c r="F228" s="217">
        <f t="shared" si="42"/>
        <v>0</v>
      </c>
      <c r="G228" s="217">
        <f>일위목록!F62</f>
        <v>0</v>
      </c>
      <c r="H228" s="217">
        <f>TRUNC(G228*C228,0)</f>
        <v>0</v>
      </c>
      <c r="I228" s="217">
        <f>일위목록!G62</f>
        <v>0</v>
      </c>
      <c r="J228" s="217">
        <f>TRUNC(I228*C228,0)</f>
        <v>0</v>
      </c>
      <c r="K228" s="217">
        <f t="shared" si="43"/>
        <v>0</v>
      </c>
      <c r="L228" s="217">
        <f t="shared" si="41"/>
        <v>0</v>
      </c>
      <c r="M228" s="215" t="s">
        <v>68</v>
      </c>
      <c r="N228" s="212" t="s">
        <v>68</v>
      </c>
      <c r="O228" s="212"/>
      <c r="P228" s="212" t="s">
        <v>1109</v>
      </c>
      <c r="Q228" s="212" t="s">
        <v>68</v>
      </c>
      <c r="R228" s="212" t="s">
        <v>1740</v>
      </c>
      <c r="S228" s="212"/>
      <c r="T228" s="212" t="s">
        <v>1129</v>
      </c>
      <c r="U228" s="212"/>
      <c r="V228" s="212"/>
      <c r="W228" s="212"/>
      <c r="X228" s="212"/>
      <c r="Y228" s="212"/>
      <c r="Z228" s="212"/>
      <c r="AA228" s="212"/>
      <c r="AB228" s="212"/>
      <c r="AC228" s="212"/>
      <c r="AD228" s="212"/>
      <c r="AE228" s="212"/>
      <c r="AF228" s="212"/>
      <c r="AG228" s="212"/>
      <c r="AH228" s="212"/>
      <c r="AI228" s="212"/>
      <c r="AJ228" s="212"/>
      <c r="AK228" s="212"/>
      <c r="AL228" s="212"/>
      <c r="AM228" s="212"/>
      <c r="AN228" s="212"/>
      <c r="AO228" s="212"/>
      <c r="AP228" s="212"/>
      <c r="AQ228" s="212"/>
      <c r="AR228" s="212"/>
      <c r="AS228" s="212"/>
      <c r="AT228" s="212"/>
      <c r="AU228" s="212"/>
      <c r="AV228" s="212"/>
      <c r="AW228" s="212"/>
      <c r="AX228" s="212"/>
      <c r="AY228" s="212"/>
      <c r="AZ228" s="212"/>
      <c r="BA228" s="212"/>
      <c r="BB228" s="212"/>
      <c r="BC228" s="212"/>
      <c r="BD228" s="212"/>
      <c r="BE228" s="212"/>
      <c r="BF228" s="212"/>
      <c r="BG228" s="212"/>
      <c r="BH228" s="212"/>
      <c r="BI228" s="231" t="str">
        <f>HYPERLINK("#일위대가목록!A62","PP10-3-1/9 →")</f>
        <v>PP10-3-1/9 →</v>
      </c>
    </row>
    <row r="229" spans="1:61" ht="24" customHeight="1">
      <c r="A229" s="218" t="s">
        <v>2039</v>
      </c>
      <c r="B229" s="218" t="s">
        <v>1745</v>
      </c>
      <c r="C229" s="229">
        <v>80.16</v>
      </c>
      <c r="D229" s="213" t="s">
        <v>1033</v>
      </c>
      <c r="E229" s="217">
        <f>일위목록!E64</f>
        <v>0</v>
      </c>
      <c r="F229" s="217">
        <f t="shared" si="42"/>
        <v>0</v>
      </c>
      <c r="G229" s="217">
        <f>일위목록!F64</f>
        <v>0</v>
      </c>
      <c r="H229" s="217">
        <f>TRUNC(G229*C229,0)</f>
        <v>0</v>
      </c>
      <c r="I229" s="217">
        <f>일위목록!G64</f>
        <v>0</v>
      </c>
      <c r="J229" s="217">
        <f>TRUNC(I229*C229,0)</f>
        <v>0</v>
      </c>
      <c r="K229" s="217">
        <f t="shared" si="43"/>
        <v>0</v>
      </c>
      <c r="L229" s="217">
        <f t="shared" si="41"/>
        <v>0</v>
      </c>
      <c r="M229" s="215" t="s">
        <v>68</v>
      </c>
      <c r="N229" s="212" t="s">
        <v>68</v>
      </c>
      <c r="O229" s="212"/>
      <c r="P229" s="212" t="s">
        <v>1110</v>
      </c>
      <c r="Q229" s="212" t="s">
        <v>68</v>
      </c>
      <c r="R229" s="212" t="s">
        <v>1747</v>
      </c>
      <c r="S229" s="212"/>
      <c r="T229" s="212" t="s">
        <v>1129</v>
      </c>
      <c r="U229" s="212"/>
      <c r="V229" s="212"/>
      <c r="W229" s="212"/>
      <c r="X229" s="212"/>
      <c r="Y229" s="212"/>
      <c r="Z229" s="212"/>
      <c r="AA229" s="212"/>
      <c r="AB229" s="212"/>
      <c r="AC229" s="212"/>
      <c r="AD229" s="212"/>
      <c r="AE229" s="212"/>
      <c r="AF229" s="212"/>
      <c r="AG229" s="212"/>
      <c r="AH229" s="212"/>
      <c r="AI229" s="212"/>
      <c r="AJ229" s="212"/>
      <c r="AK229" s="212"/>
      <c r="AL229" s="212"/>
      <c r="AM229" s="212"/>
      <c r="AN229" s="212"/>
      <c r="AO229" s="212"/>
      <c r="AP229" s="212"/>
      <c r="AQ229" s="212"/>
      <c r="AR229" s="212"/>
      <c r="AS229" s="212"/>
      <c r="AT229" s="212"/>
      <c r="AU229" s="212"/>
      <c r="AV229" s="212"/>
      <c r="AW229" s="212"/>
      <c r="AX229" s="212"/>
      <c r="AY229" s="212"/>
      <c r="AZ229" s="212"/>
      <c r="BA229" s="212"/>
      <c r="BB229" s="212"/>
      <c r="BC229" s="212"/>
      <c r="BD229" s="212"/>
      <c r="BE229" s="212"/>
      <c r="BF229" s="212"/>
      <c r="BG229" s="212"/>
      <c r="BH229" s="212"/>
      <c r="BI229" s="231" t="str">
        <f>HYPERLINK("#일위대가목록!A64","PP10-4-3/1 →")</f>
        <v>PP10-4-3/1 →</v>
      </c>
    </row>
    <row r="230" spans="1:61" ht="24" customHeight="1">
      <c r="A230" s="218" t="s">
        <v>2084</v>
      </c>
      <c r="B230" s="218" t="s">
        <v>993</v>
      </c>
      <c r="C230" s="228">
        <v>1</v>
      </c>
      <c r="D230" s="213" t="s">
        <v>378</v>
      </c>
      <c r="E230" s="217">
        <f>일위목록!E69</f>
        <v>0</v>
      </c>
      <c r="F230" s="217">
        <f t="shared" si="42"/>
        <v>0</v>
      </c>
      <c r="G230" s="217">
        <f>일위목록!F69</f>
        <v>0</v>
      </c>
      <c r="H230" s="217">
        <f>TRUNC(G230*C230,0)</f>
        <v>0</v>
      </c>
      <c r="I230" s="217">
        <f>일위목록!G69</f>
        <v>0</v>
      </c>
      <c r="J230" s="217">
        <f>TRUNC(I230*C230,0)</f>
        <v>0</v>
      </c>
      <c r="K230" s="217">
        <f t="shared" si="43"/>
        <v>0</v>
      </c>
      <c r="L230" s="217">
        <f t="shared" si="41"/>
        <v>0</v>
      </c>
      <c r="M230" s="215" t="s">
        <v>68</v>
      </c>
      <c r="N230" s="212" t="s">
        <v>68</v>
      </c>
      <c r="O230" s="212"/>
      <c r="P230" s="212" t="s">
        <v>1111</v>
      </c>
      <c r="Q230" s="212" t="s">
        <v>68</v>
      </c>
      <c r="R230" s="212" t="s">
        <v>1761</v>
      </c>
      <c r="S230" s="212"/>
      <c r="T230" s="212" t="s">
        <v>1129</v>
      </c>
      <c r="U230" s="212"/>
      <c r="V230" s="212"/>
      <c r="W230" s="212"/>
      <c r="X230" s="212"/>
      <c r="Y230" s="212"/>
      <c r="Z230" s="212"/>
      <c r="AA230" s="212"/>
      <c r="AB230" s="212"/>
      <c r="AC230" s="212"/>
      <c r="AD230" s="212"/>
      <c r="AE230" s="212"/>
      <c r="AF230" s="212"/>
      <c r="AG230" s="212"/>
      <c r="AH230" s="212"/>
      <c r="AI230" s="212"/>
      <c r="AJ230" s="212"/>
      <c r="AK230" s="212"/>
      <c r="AL230" s="212"/>
      <c r="AM230" s="212"/>
      <c r="AN230" s="212"/>
      <c r="AO230" s="212"/>
      <c r="AP230" s="212"/>
      <c r="AQ230" s="212"/>
      <c r="AR230" s="212"/>
      <c r="AS230" s="212"/>
      <c r="AT230" s="212"/>
      <c r="AU230" s="212"/>
      <c r="AV230" s="212"/>
      <c r="AW230" s="212"/>
      <c r="AX230" s="212"/>
      <c r="AY230" s="212"/>
      <c r="AZ230" s="212"/>
      <c r="BA230" s="212"/>
      <c r="BB230" s="212"/>
      <c r="BC230" s="212"/>
      <c r="BD230" s="212"/>
      <c r="BE230" s="212"/>
      <c r="BF230" s="212"/>
      <c r="BG230" s="212"/>
      <c r="BH230" s="212"/>
      <c r="BI230" s="231" t="str">
        <f>HYPERLINK("#일위대가목록!A69","PP10-1-2/4 →")</f>
        <v>PP10-1-2/4 →</v>
      </c>
    </row>
    <row r="231" spans="1:61" ht="24" customHeight="1">
      <c r="A231" s="218" t="s">
        <v>2084</v>
      </c>
      <c r="B231" s="218" t="s">
        <v>1718</v>
      </c>
      <c r="C231" s="228">
        <v>8</v>
      </c>
      <c r="D231" s="213" t="s">
        <v>378</v>
      </c>
      <c r="E231" s="217">
        <f>일위목록!E70</f>
        <v>0</v>
      </c>
      <c r="F231" s="217">
        <f t="shared" si="42"/>
        <v>0</v>
      </c>
      <c r="G231" s="217">
        <f>일위목록!F70</f>
        <v>0</v>
      </c>
      <c r="H231" s="217">
        <f>TRUNC(G231*C231,0)</f>
        <v>0</v>
      </c>
      <c r="I231" s="217">
        <f>일위목록!G70</f>
        <v>0</v>
      </c>
      <c r="J231" s="217">
        <f>TRUNC(I231*C231,0)</f>
        <v>0</v>
      </c>
      <c r="K231" s="217">
        <f t="shared" si="43"/>
        <v>0</v>
      </c>
      <c r="L231" s="217">
        <f t="shared" si="41"/>
        <v>0</v>
      </c>
      <c r="M231" s="215" t="s">
        <v>68</v>
      </c>
      <c r="N231" s="212" t="s">
        <v>68</v>
      </c>
      <c r="O231" s="212"/>
      <c r="P231" s="212" t="s">
        <v>1112</v>
      </c>
      <c r="Q231" s="212" t="s">
        <v>68</v>
      </c>
      <c r="R231" s="212" t="s">
        <v>1763</v>
      </c>
      <c r="S231" s="212"/>
      <c r="T231" s="212" t="s">
        <v>1129</v>
      </c>
      <c r="U231" s="212"/>
      <c r="V231" s="212"/>
      <c r="W231" s="212"/>
      <c r="X231" s="212"/>
      <c r="Y231" s="212"/>
      <c r="Z231" s="212"/>
      <c r="AA231" s="212"/>
      <c r="AB231" s="212"/>
      <c r="AC231" s="212"/>
      <c r="AD231" s="212"/>
      <c r="AE231" s="212"/>
      <c r="AF231" s="212"/>
      <c r="AG231" s="212"/>
      <c r="AH231" s="212"/>
      <c r="AI231" s="212"/>
      <c r="AJ231" s="212"/>
      <c r="AK231" s="212"/>
      <c r="AL231" s="212"/>
      <c r="AM231" s="212"/>
      <c r="AN231" s="212"/>
      <c r="AO231" s="212"/>
      <c r="AP231" s="212"/>
      <c r="AQ231" s="212"/>
      <c r="AR231" s="212"/>
      <c r="AS231" s="212"/>
      <c r="AT231" s="212"/>
      <c r="AU231" s="212"/>
      <c r="AV231" s="212"/>
      <c r="AW231" s="212"/>
      <c r="AX231" s="212"/>
      <c r="AY231" s="212"/>
      <c r="AZ231" s="212"/>
      <c r="BA231" s="212"/>
      <c r="BB231" s="212"/>
      <c r="BC231" s="212"/>
      <c r="BD231" s="212"/>
      <c r="BE231" s="212"/>
      <c r="BF231" s="212"/>
      <c r="BG231" s="212"/>
      <c r="BH231" s="212"/>
      <c r="BI231" s="231" t="str">
        <f>HYPERLINK("#일위대가목록!A70","PP10-1-2/1 →")</f>
        <v>PP10-1-2/1 →</v>
      </c>
    </row>
    <row r="232" spans="1:61" ht="24" customHeight="1">
      <c r="A232" s="218" t="s">
        <v>2059</v>
      </c>
      <c r="B232" s="218" t="s">
        <v>68</v>
      </c>
      <c r="C232" s="229">
        <v>12.35</v>
      </c>
      <c r="D232" s="213" t="s">
        <v>1033</v>
      </c>
      <c r="E232" s="217">
        <f>일위목록!E65</f>
        <v>0</v>
      </c>
      <c r="F232" s="217">
        <f t="shared" si="42"/>
        <v>0</v>
      </c>
      <c r="G232" s="217">
        <f>일위목록!F65</f>
        <v>0</v>
      </c>
      <c r="H232" s="217">
        <f>TRUNC(G232*C232,0)</f>
        <v>0</v>
      </c>
      <c r="I232" s="217">
        <f>일위목록!G65</f>
        <v>0</v>
      </c>
      <c r="J232" s="217">
        <f>TRUNC(I232*C232,0)</f>
        <v>0</v>
      </c>
      <c r="K232" s="217">
        <f t="shared" si="43"/>
        <v>0</v>
      </c>
      <c r="L232" s="217">
        <f t="shared" si="41"/>
        <v>0</v>
      </c>
      <c r="M232" s="215" t="s">
        <v>68</v>
      </c>
      <c r="N232" s="212" t="s">
        <v>68</v>
      </c>
      <c r="O232" s="212"/>
      <c r="P232" s="212" t="s">
        <v>1113</v>
      </c>
      <c r="Q232" s="212" t="s">
        <v>68</v>
      </c>
      <c r="R232" s="212" t="s">
        <v>1750</v>
      </c>
      <c r="S232" s="212"/>
      <c r="T232" s="212" t="s">
        <v>1129</v>
      </c>
      <c r="U232" s="212"/>
      <c r="V232" s="212"/>
      <c r="W232" s="212"/>
      <c r="X232" s="212"/>
      <c r="Y232" s="212"/>
      <c r="Z232" s="212"/>
      <c r="AA232" s="212"/>
      <c r="AB232" s="212"/>
      <c r="AC232" s="212"/>
      <c r="AD232" s="212"/>
      <c r="AE232" s="212"/>
      <c r="AF232" s="212"/>
      <c r="AG232" s="212"/>
      <c r="AH232" s="212"/>
      <c r="AI232" s="212"/>
      <c r="AJ232" s="212"/>
      <c r="AK232" s="212"/>
      <c r="AL232" s="212"/>
      <c r="AM232" s="212"/>
      <c r="AN232" s="212"/>
      <c r="AO232" s="212"/>
      <c r="AP232" s="212"/>
      <c r="AQ232" s="212"/>
      <c r="AR232" s="212"/>
      <c r="AS232" s="212"/>
      <c r="AT232" s="212"/>
      <c r="AU232" s="212"/>
      <c r="AV232" s="212"/>
      <c r="AW232" s="212"/>
      <c r="AX232" s="212"/>
      <c r="AY232" s="212"/>
      <c r="AZ232" s="212"/>
      <c r="BA232" s="212"/>
      <c r="BB232" s="212"/>
      <c r="BC232" s="212"/>
      <c r="BD232" s="212"/>
      <c r="BE232" s="212"/>
      <c r="BF232" s="212"/>
      <c r="BG232" s="212"/>
      <c r="BH232" s="212"/>
      <c r="BI232" s="231" t="str">
        <f>HYPERLINK("#일위대가목록!A65","P9-3-1/1 →")</f>
        <v>P9-3-1/1 →</v>
      </c>
    </row>
    <row r="233" spans="1:61" ht="24" customHeight="1">
      <c r="A233" s="215"/>
      <c r="B233" s="215"/>
      <c r="C233" s="229"/>
      <c r="D233" s="213"/>
      <c r="E233" s="213"/>
      <c r="F233" s="213"/>
      <c r="G233" s="213"/>
      <c r="H233" s="213"/>
      <c r="I233" s="213"/>
      <c r="J233" s="213"/>
      <c r="K233" s="213"/>
      <c r="L233" s="213"/>
      <c r="M233" s="215"/>
      <c r="N233" s="212"/>
      <c r="O233" s="212"/>
      <c r="P233" s="212"/>
      <c r="Q233" s="212"/>
      <c r="R233" s="212"/>
      <c r="S233" s="212"/>
      <c r="T233" s="212"/>
      <c r="U233" s="212"/>
      <c r="V233" s="212"/>
      <c r="W233" s="212"/>
      <c r="X233" s="212"/>
      <c r="Y233" s="212"/>
      <c r="Z233" s="212"/>
      <c r="AA233" s="212"/>
      <c r="AB233" s="212"/>
      <c r="AC233" s="212"/>
      <c r="AD233" s="212"/>
      <c r="AE233" s="212"/>
      <c r="AF233" s="212"/>
      <c r="AG233" s="212"/>
      <c r="AH233" s="212"/>
      <c r="AI233" s="212"/>
      <c r="AJ233" s="212"/>
      <c r="AK233" s="212"/>
      <c r="AL233" s="212"/>
      <c r="AM233" s="212"/>
      <c r="AN233" s="212"/>
      <c r="AO233" s="212"/>
      <c r="AP233" s="212"/>
      <c r="AQ233" s="212"/>
      <c r="AR233" s="212"/>
      <c r="AS233" s="212"/>
      <c r="AT233" s="212"/>
      <c r="AU233" s="212"/>
      <c r="AV233" s="212"/>
      <c r="AW233" s="212"/>
      <c r="AX233" s="212"/>
      <c r="AY233" s="212"/>
      <c r="AZ233" s="212"/>
      <c r="BA233" s="212"/>
      <c r="BB233" s="212"/>
      <c r="BC233" s="212"/>
      <c r="BD233" s="212"/>
      <c r="BE233" s="212"/>
      <c r="BF233" s="212"/>
      <c r="BG233" s="212"/>
      <c r="BH233" s="212"/>
      <c r="BI233" s="212"/>
    </row>
    <row r="234" spans="1:61" ht="24" customHeight="1">
      <c r="A234" s="218" t="s">
        <v>2085</v>
      </c>
      <c r="B234" s="218" t="s">
        <v>1218</v>
      </c>
      <c r="C234" s="228">
        <v>1</v>
      </c>
      <c r="D234" s="213" t="s">
        <v>437</v>
      </c>
      <c r="E234" s="212"/>
      <c r="F234" s="217">
        <f>TRUNC(F235+F236+F237+F238+F239+F240+F241+F242+F243+F244+F245+F246+F247+F248+F249+F250,0)</f>
        <v>0</v>
      </c>
      <c r="G234" s="212"/>
      <c r="H234" s="217">
        <f>TRUNC(H235+H236+H237+H238+H239+H240+H241+H242+H243+H244+H245+H246+H247+H248+H249+H250,0)</f>
        <v>0</v>
      </c>
      <c r="I234" s="212"/>
      <c r="J234" s="217">
        <f>TRUNC(J235+J236+J237+J238+J239+J240+J241+J242+J243+J244+J245+J246+J247+J248+J249+J250,0)</f>
        <v>0</v>
      </c>
      <c r="K234" s="212"/>
      <c r="L234" s="217">
        <f t="shared" ref="L234:L250" si="44">F234+H234+J234</f>
        <v>0</v>
      </c>
      <c r="M234" s="215" t="s">
        <v>68</v>
      </c>
      <c r="N234" s="212" t="s">
        <v>68</v>
      </c>
      <c r="O234" s="212" t="s">
        <v>1219</v>
      </c>
      <c r="P234" s="212"/>
      <c r="Q234" s="212"/>
      <c r="R234" s="212"/>
      <c r="S234" s="212"/>
      <c r="T234" s="212"/>
      <c r="U234" s="212"/>
      <c r="V234" s="212"/>
      <c r="W234" s="212"/>
      <c r="X234" s="212"/>
      <c r="Y234" s="212"/>
      <c r="Z234" s="212"/>
      <c r="AA234" s="212"/>
      <c r="AB234" s="212"/>
      <c r="AC234" s="212"/>
      <c r="AD234" s="212"/>
      <c r="AE234" s="212"/>
      <c r="AF234" s="212"/>
      <c r="AG234" s="212"/>
      <c r="AH234" s="212"/>
      <c r="AI234" s="212"/>
      <c r="AJ234" s="212"/>
      <c r="AK234" s="212"/>
      <c r="AL234" s="212"/>
      <c r="AM234" s="212"/>
      <c r="AN234" s="212"/>
      <c r="AO234" s="212"/>
      <c r="AP234" s="212"/>
      <c r="AQ234" s="212"/>
      <c r="AR234" s="212"/>
      <c r="AS234" s="212"/>
      <c r="AT234" s="212"/>
      <c r="AU234" s="212"/>
      <c r="AV234" s="212"/>
      <c r="AW234" s="212"/>
      <c r="AX234" s="212"/>
      <c r="AY234" s="212"/>
      <c r="AZ234" s="212"/>
      <c r="BA234" s="212"/>
      <c r="BB234" s="212"/>
      <c r="BC234" s="212"/>
      <c r="BD234" s="212"/>
      <c r="BE234" s="212"/>
      <c r="BF234" s="212"/>
      <c r="BG234" s="212"/>
      <c r="BH234" s="212"/>
      <c r="BI234" s="212"/>
    </row>
    <row r="235" spans="1:61" ht="24" customHeight="1">
      <c r="A235" s="218" t="s">
        <v>2071</v>
      </c>
      <c r="B235" s="218" t="s">
        <v>2072</v>
      </c>
      <c r="C235" s="229">
        <v>21.98</v>
      </c>
      <c r="D235" s="213" t="s">
        <v>1400</v>
      </c>
      <c r="E235" s="217">
        <f>자재조서!E7</f>
        <v>0</v>
      </c>
      <c r="F235" s="217">
        <f t="shared" ref="F235:F250" si="45">TRUNC(E235*C235,0)</f>
        <v>0</v>
      </c>
      <c r="G235" s="217">
        <v>0</v>
      </c>
      <c r="H235" s="217"/>
      <c r="I235" s="217">
        <v>0</v>
      </c>
      <c r="J235" s="217"/>
      <c r="K235" s="217">
        <f t="shared" ref="K235:K250" si="46">E235+G235+I235</f>
        <v>0</v>
      </c>
      <c r="L235" s="217">
        <f t="shared" si="44"/>
        <v>0</v>
      </c>
      <c r="M235" s="215" t="s">
        <v>68</v>
      </c>
      <c r="N235" s="212" t="s">
        <v>68</v>
      </c>
      <c r="O235" s="212"/>
      <c r="P235" s="212" t="s">
        <v>1095</v>
      </c>
      <c r="Q235" s="212" t="s">
        <v>68</v>
      </c>
      <c r="R235" s="212" t="s">
        <v>2073</v>
      </c>
      <c r="S235" s="212"/>
      <c r="T235" s="212"/>
      <c r="U235" s="212"/>
      <c r="V235" s="212"/>
      <c r="W235" s="212"/>
      <c r="X235" s="212"/>
      <c r="Y235" s="212"/>
      <c r="Z235" s="212"/>
      <c r="AA235" s="212"/>
      <c r="AB235" s="212"/>
      <c r="AC235" s="212"/>
      <c r="AD235" s="212"/>
      <c r="AE235" s="212"/>
      <c r="AF235" s="212"/>
      <c r="AG235" s="212"/>
      <c r="AH235" s="212"/>
      <c r="AI235" s="212"/>
      <c r="AJ235" s="212"/>
      <c r="AK235" s="212"/>
      <c r="AL235" s="212"/>
      <c r="AM235" s="212"/>
      <c r="AN235" s="212"/>
      <c r="AO235" s="212"/>
      <c r="AP235" s="212"/>
      <c r="AQ235" s="212"/>
      <c r="AR235" s="212"/>
      <c r="AS235" s="212"/>
      <c r="AT235" s="212"/>
      <c r="AU235" s="212"/>
      <c r="AV235" s="212"/>
      <c r="AW235" s="212"/>
      <c r="AX235" s="212"/>
      <c r="AY235" s="212"/>
      <c r="AZ235" s="212"/>
      <c r="BA235" s="212"/>
      <c r="BB235" s="212"/>
      <c r="BC235" s="212"/>
      <c r="BD235" s="212"/>
      <c r="BE235" s="212"/>
      <c r="BF235" s="212"/>
      <c r="BG235" s="212"/>
      <c r="BH235" s="212"/>
      <c r="BI235" s="231" t="str">
        <f>HYPERLINK("#자재조서!A7","M0131019 →")</f>
        <v>M0131019 →</v>
      </c>
    </row>
    <row r="236" spans="1:61" ht="24" customHeight="1">
      <c r="A236" s="218" t="s">
        <v>1935</v>
      </c>
      <c r="B236" s="218" t="s">
        <v>1754</v>
      </c>
      <c r="C236" s="229">
        <v>5.8000000000000003E-2</v>
      </c>
      <c r="D236" s="213" t="s">
        <v>16</v>
      </c>
      <c r="E236" s="217">
        <f>일위목록!E67</f>
        <v>0</v>
      </c>
      <c r="F236" s="217">
        <f t="shared" si="45"/>
        <v>0</v>
      </c>
      <c r="G236" s="217">
        <f>일위목록!F67</f>
        <v>0</v>
      </c>
      <c r="H236" s="217">
        <f>TRUNC(G236*C236,0)</f>
        <v>0</v>
      </c>
      <c r="I236" s="217">
        <f>일위목록!G67</f>
        <v>0</v>
      </c>
      <c r="J236" s="217">
        <f>TRUNC(I236*C236,0)</f>
        <v>0</v>
      </c>
      <c r="K236" s="217">
        <f t="shared" si="46"/>
        <v>0</v>
      </c>
      <c r="L236" s="217">
        <f t="shared" si="44"/>
        <v>0</v>
      </c>
      <c r="M236" s="215" t="s">
        <v>68</v>
      </c>
      <c r="N236" s="212" t="s">
        <v>68</v>
      </c>
      <c r="O236" s="212"/>
      <c r="P236" s="212" t="s">
        <v>1098</v>
      </c>
      <c r="Q236" s="212" t="s">
        <v>68</v>
      </c>
      <c r="R236" s="212" t="s">
        <v>1755</v>
      </c>
      <c r="S236" s="212"/>
      <c r="T236" s="212" t="s">
        <v>1129</v>
      </c>
      <c r="U236" s="212"/>
      <c r="V236" s="212"/>
      <c r="W236" s="212"/>
      <c r="X236" s="212"/>
      <c r="Y236" s="212"/>
      <c r="Z236" s="212"/>
      <c r="AA236" s="212"/>
      <c r="AB236" s="212"/>
      <c r="AC236" s="212"/>
      <c r="AD236" s="212"/>
      <c r="AE236" s="212"/>
      <c r="AF236" s="212"/>
      <c r="AG236" s="212"/>
      <c r="AH236" s="212"/>
      <c r="AI236" s="212"/>
      <c r="AJ236" s="212"/>
      <c r="AK236" s="212"/>
      <c r="AL236" s="212"/>
      <c r="AM236" s="212"/>
      <c r="AN236" s="212"/>
      <c r="AO236" s="212"/>
      <c r="AP236" s="212"/>
      <c r="AQ236" s="212"/>
      <c r="AR236" s="212"/>
      <c r="AS236" s="212"/>
      <c r="AT236" s="212"/>
      <c r="AU236" s="212"/>
      <c r="AV236" s="212"/>
      <c r="AW236" s="212"/>
      <c r="AX236" s="212"/>
      <c r="AY236" s="212"/>
      <c r="AZ236" s="212"/>
      <c r="BA236" s="212"/>
      <c r="BB236" s="212"/>
      <c r="BC236" s="212"/>
      <c r="BD236" s="212"/>
      <c r="BE236" s="212"/>
      <c r="BF236" s="212"/>
      <c r="BG236" s="212"/>
      <c r="BH236" s="212"/>
      <c r="BI236" s="231" t="str">
        <f>HYPERLINK("#일위대가목록!A67","P8-3-1/6 →")</f>
        <v>P8-3-1/6 →</v>
      </c>
    </row>
    <row r="237" spans="1:61" ht="24" customHeight="1">
      <c r="A237" s="218" t="s">
        <v>2086</v>
      </c>
      <c r="B237" s="218" t="s">
        <v>2087</v>
      </c>
      <c r="C237" s="229">
        <v>4.95</v>
      </c>
      <c r="D237" s="213" t="s">
        <v>9</v>
      </c>
      <c r="E237" s="217">
        <f>자재조서!E5</f>
        <v>0</v>
      </c>
      <c r="F237" s="217">
        <f t="shared" si="45"/>
        <v>0</v>
      </c>
      <c r="G237" s="217">
        <v>0</v>
      </c>
      <c r="H237" s="217"/>
      <c r="I237" s="217">
        <v>0</v>
      </c>
      <c r="J237" s="217"/>
      <c r="K237" s="217">
        <f t="shared" si="46"/>
        <v>0</v>
      </c>
      <c r="L237" s="217">
        <f t="shared" si="44"/>
        <v>0</v>
      </c>
      <c r="M237" s="215" t="s">
        <v>68</v>
      </c>
      <c r="N237" s="212" t="s">
        <v>68</v>
      </c>
      <c r="O237" s="212"/>
      <c r="P237" s="212" t="s">
        <v>1101</v>
      </c>
      <c r="Q237" s="212" t="s">
        <v>68</v>
      </c>
      <c r="R237" s="212" t="s">
        <v>2088</v>
      </c>
      <c r="S237" s="212"/>
      <c r="T237" s="212"/>
      <c r="U237" s="212"/>
      <c r="V237" s="212"/>
      <c r="W237" s="212"/>
      <c r="X237" s="212"/>
      <c r="Y237" s="212"/>
      <c r="Z237" s="212"/>
      <c r="AA237" s="212"/>
      <c r="AB237" s="212"/>
      <c r="AC237" s="212"/>
      <c r="AD237" s="212"/>
      <c r="AE237" s="212"/>
      <c r="AF237" s="212"/>
      <c r="AG237" s="212"/>
      <c r="AH237" s="212"/>
      <c r="AI237" s="212"/>
      <c r="AJ237" s="212"/>
      <c r="AK237" s="212"/>
      <c r="AL237" s="212"/>
      <c r="AM237" s="212"/>
      <c r="AN237" s="212"/>
      <c r="AO237" s="212"/>
      <c r="AP237" s="212"/>
      <c r="AQ237" s="212"/>
      <c r="AR237" s="212"/>
      <c r="AS237" s="212"/>
      <c r="AT237" s="212"/>
      <c r="AU237" s="212"/>
      <c r="AV237" s="212"/>
      <c r="AW237" s="212"/>
      <c r="AX237" s="212"/>
      <c r="AY237" s="212"/>
      <c r="AZ237" s="212"/>
      <c r="BA237" s="212"/>
      <c r="BB237" s="212"/>
      <c r="BC237" s="212"/>
      <c r="BD237" s="212"/>
      <c r="BE237" s="212"/>
      <c r="BF237" s="212"/>
      <c r="BG237" s="212"/>
      <c r="BH237" s="212"/>
      <c r="BI237" s="231" t="str">
        <f>HYPERLINK("#자재조서!A5","M0078032 →")</f>
        <v>M0078032 →</v>
      </c>
    </row>
    <row r="238" spans="1:61" ht="24" customHeight="1">
      <c r="A238" s="218" t="s">
        <v>2089</v>
      </c>
      <c r="B238" s="218" t="s">
        <v>2090</v>
      </c>
      <c r="C238" s="229">
        <v>4.95</v>
      </c>
      <c r="D238" s="213" t="s">
        <v>9</v>
      </c>
      <c r="E238" s="217">
        <f>자재조서!E33</f>
        <v>0</v>
      </c>
      <c r="F238" s="217">
        <f t="shared" si="45"/>
        <v>0</v>
      </c>
      <c r="G238" s="217">
        <v>0</v>
      </c>
      <c r="H238" s="217"/>
      <c r="I238" s="217">
        <v>0</v>
      </c>
      <c r="J238" s="217"/>
      <c r="K238" s="217">
        <f t="shared" si="46"/>
        <v>0</v>
      </c>
      <c r="L238" s="217">
        <f t="shared" si="44"/>
        <v>0</v>
      </c>
      <c r="M238" s="215" t="s">
        <v>68</v>
      </c>
      <c r="N238" s="212" t="s">
        <v>68</v>
      </c>
      <c r="O238" s="212"/>
      <c r="P238" s="212" t="s">
        <v>1104</v>
      </c>
      <c r="Q238" s="212" t="s">
        <v>68</v>
      </c>
      <c r="R238" s="212" t="s">
        <v>2091</v>
      </c>
      <c r="S238" s="212"/>
      <c r="T238" s="212"/>
      <c r="U238" s="212"/>
      <c r="V238" s="212"/>
      <c r="W238" s="212"/>
      <c r="X238" s="212"/>
      <c r="Y238" s="212"/>
      <c r="Z238" s="212"/>
      <c r="AA238" s="212"/>
      <c r="AB238" s="212"/>
      <c r="AC238" s="212"/>
      <c r="AD238" s="212"/>
      <c r="AE238" s="212"/>
      <c r="AF238" s="212"/>
      <c r="AG238" s="212"/>
      <c r="AH238" s="212"/>
      <c r="AI238" s="212"/>
      <c r="AJ238" s="212"/>
      <c r="AK238" s="212"/>
      <c r="AL238" s="212"/>
      <c r="AM238" s="212"/>
      <c r="AN238" s="212"/>
      <c r="AO238" s="212"/>
      <c r="AP238" s="212"/>
      <c r="AQ238" s="212"/>
      <c r="AR238" s="212"/>
      <c r="AS238" s="212"/>
      <c r="AT238" s="212"/>
      <c r="AU238" s="212"/>
      <c r="AV238" s="212"/>
      <c r="AW238" s="212"/>
      <c r="AX238" s="212"/>
      <c r="AY238" s="212"/>
      <c r="AZ238" s="212"/>
      <c r="BA238" s="212"/>
      <c r="BB238" s="212"/>
      <c r="BC238" s="212"/>
      <c r="BD238" s="212"/>
      <c r="BE238" s="212"/>
      <c r="BF238" s="212"/>
      <c r="BG238" s="212"/>
      <c r="BH238" s="212"/>
      <c r="BI238" s="231" t="str">
        <f>HYPERLINK("#자재조서!A33","MVP1003 →")</f>
        <v>MVP1003 →</v>
      </c>
    </row>
    <row r="239" spans="1:61" ht="24" customHeight="1">
      <c r="A239" s="218" t="s">
        <v>1935</v>
      </c>
      <c r="B239" s="218" t="s">
        <v>1754</v>
      </c>
      <c r="C239" s="229">
        <v>5.8000000000000003E-2</v>
      </c>
      <c r="D239" s="213" t="s">
        <v>16</v>
      </c>
      <c r="E239" s="217">
        <f>일위목록!E67</f>
        <v>0</v>
      </c>
      <c r="F239" s="217">
        <f t="shared" si="45"/>
        <v>0</v>
      </c>
      <c r="G239" s="217">
        <f>일위목록!F67</f>
        <v>0</v>
      </c>
      <c r="H239" s="217">
        <f>TRUNC(G239*C239,0)</f>
        <v>0</v>
      </c>
      <c r="I239" s="217">
        <f>일위목록!G67</f>
        <v>0</v>
      </c>
      <c r="J239" s="217">
        <f>TRUNC(I239*C239,0)</f>
        <v>0</v>
      </c>
      <c r="K239" s="217">
        <f t="shared" si="46"/>
        <v>0</v>
      </c>
      <c r="L239" s="217">
        <f t="shared" si="44"/>
        <v>0</v>
      </c>
      <c r="M239" s="215" t="s">
        <v>68</v>
      </c>
      <c r="N239" s="212" t="s">
        <v>68</v>
      </c>
      <c r="O239" s="212"/>
      <c r="P239" s="212" t="s">
        <v>1107</v>
      </c>
      <c r="Q239" s="212" t="s">
        <v>68</v>
      </c>
      <c r="R239" s="212" t="s">
        <v>1755</v>
      </c>
      <c r="S239" s="212"/>
      <c r="T239" s="212" t="s">
        <v>1129</v>
      </c>
      <c r="U239" s="212"/>
      <c r="V239" s="212"/>
      <c r="W239" s="212"/>
      <c r="X239" s="212"/>
      <c r="Y239" s="212"/>
      <c r="Z239" s="212"/>
      <c r="AA239" s="212"/>
      <c r="AB239" s="212"/>
      <c r="AC239" s="212"/>
      <c r="AD239" s="212"/>
      <c r="AE239" s="212"/>
      <c r="AF239" s="212"/>
      <c r="AG239" s="212"/>
      <c r="AH239" s="212"/>
      <c r="AI239" s="212"/>
      <c r="AJ239" s="212"/>
      <c r="AK239" s="212"/>
      <c r="AL239" s="212"/>
      <c r="AM239" s="212"/>
      <c r="AN239" s="212"/>
      <c r="AO239" s="212"/>
      <c r="AP239" s="212"/>
      <c r="AQ239" s="212"/>
      <c r="AR239" s="212"/>
      <c r="AS239" s="212"/>
      <c r="AT239" s="212"/>
      <c r="AU239" s="212"/>
      <c r="AV239" s="212"/>
      <c r="AW239" s="212"/>
      <c r="AX239" s="212"/>
      <c r="AY239" s="212"/>
      <c r="AZ239" s="212"/>
      <c r="BA239" s="212"/>
      <c r="BB239" s="212"/>
      <c r="BC239" s="212"/>
      <c r="BD239" s="212"/>
      <c r="BE239" s="212"/>
      <c r="BF239" s="212"/>
      <c r="BG239" s="212"/>
      <c r="BH239" s="212"/>
      <c r="BI239" s="231" t="str">
        <f>HYPERLINK("#일위대가목록!A67","P8-3-1/6 →")</f>
        <v>P8-3-1/6 →</v>
      </c>
    </row>
    <row r="240" spans="1:61" ht="24" customHeight="1">
      <c r="A240" s="218" t="s">
        <v>1306</v>
      </c>
      <c r="B240" s="218" t="s">
        <v>1307</v>
      </c>
      <c r="C240" s="229">
        <v>4.95</v>
      </c>
      <c r="D240" s="213" t="s">
        <v>9</v>
      </c>
      <c r="E240" s="217">
        <f>일위목록!E71</f>
        <v>0</v>
      </c>
      <c r="F240" s="217">
        <f t="shared" si="45"/>
        <v>0</v>
      </c>
      <c r="G240" s="217">
        <f>일위목록!F71</f>
        <v>0</v>
      </c>
      <c r="H240" s="217">
        <f>TRUNC(G240*C240,0)</f>
        <v>0</v>
      </c>
      <c r="I240" s="217">
        <f>일위목록!G71</f>
        <v>0</v>
      </c>
      <c r="J240" s="217">
        <f>TRUNC(I240*C240,0)</f>
        <v>0</v>
      </c>
      <c r="K240" s="217">
        <f t="shared" si="46"/>
        <v>0</v>
      </c>
      <c r="L240" s="217">
        <f t="shared" si="44"/>
        <v>0</v>
      </c>
      <c r="M240" s="215" t="s">
        <v>68</v>
      </c>
      <c r="N240" s="212" t="s">
        <v>68</v>
      </c>
      <c r="O240" s="212"/>
      <c r="P240" s="212" t="s">
        <v>1108</v>
      </c>
      <c r="Q240" s="212" t="s">
        <v>68</v>
      </c>
      <c r="R240" s="212" t="s">
        <v>1308</v>
      </c>
      <c r="S240" s="212"/>
      <c r="T240" s="212" t="s">
        <v>1129</v>
      </c>
      <c r="U240" s="212"/>
      <c r="V240" s="212"/>
      <c r="W240" s="212"/>
      <c r="X240" s="212"/>
      <c r="Y240" s="212"/>
      <c r="Z240" s="212"/>
      <c r="AA240" s="212"/>
      <c r="AB240" s="212"/>
      <c r="AC240" s="212"/>
      <c r="AD240" s="212"/>
      <c r="AE240" s="212"/>
      <c r="AF240" s="212"/>
      <c r="AG240" s="212"/>
      <c r="AH240" s="212"/>
      <c r="AI240" s="212"/>
      <c r="AJ240" s="212"/>
      <c r="AK240" s="212"/>
      <c r="AL240" s="212"/>
      <c r="AM240" s="212"/>
      <c r="AN240" s="212"/>
      <c r="AO240" s="212"/>
      <c r="AP240" s="212"/>
      <c r="AQ240" s="212"/>
      <c r="AR240" s="212"/>
      <c r="AS240" s="212"/>
      <c r="AT240" s="212"/>
      <c r="AU240" s="212"/>
      <c r="AV240" s="212"/>
      <c r="AW240" s="212"/>
      <c r="AX240" s="212"/>
      <c r="AY240" s="212"/>
      <c r="AZ240" s="212"/>
      <c r="BA240" s="212"/>
      <c r="BB240" s="212"/>
      <c r="BC240" s="212"/>
      <c r="BD240" s="212"/>
      <c r="BE240" s="212"/>
      <c r="BF240" s="212"/>
      <c r="BG240" s="212"/>
      <c r="BH240" s="212"/>
      <c r="BI240" s="231" t="str">
        <f>HYPERLINK("#일위대가목록!A71","PP11-1-3/1 →")</f>
        <v>PP11-1-3/1 →</v>
      </c>
    </row>
    <row r="241" spans="1:61" ht="24" customHeight="1">
      <c r="A241" s="218" t="s">
        <v>1309</v>
      </c>
      <c r="B241" s="218" t="s">
        <v>1310</v>
      </c>
      <c r="C241" s="229">
        <v>4.95</v>
      </c>
      <c r="D241" s="213" t="s">
        <v>9</v>
      </c>
      <c r="E241" s="217">
        <f>일위목록!E72</f>
        <v>0</v>
      </c>
      <c r="F241" s="217">
        <f t="shared" si="45"/>
        <v>0</v>
      </c>
      <c r="G241" s="217">
        <f>일위목록!F72</f>
        <v>0</v>
      </c>
      <c r="H241" s="217">
        <f>TRUNC(G241*C241,0)</f>
        <v>0</v>
      </c>
      <c r="I241" s="217">
        <f>일위목록!G72</f>
        <v>0</v>
      </c>
      <c r="J241" s="217">
        <f>TRUNC(I241*C241,0)</f>
        <v>0</v>
      </c>
      <c r="K241" s="217">
        <f t="shared" si="46"/>
        <v>0</v>
      </c>
      <c r="L241" s="217">
        <f t="shared" si="44"/>
        <v>0</v>
      </c>
      <c r="M241" s="215" t="s">
        <v>68</v>
      </c>
      <c r="N241" s="212" t="s">
        <v>68</v>
      </c>
      <c r="O241" s="212"/>
      <c r="P241" s="212" t="s">
        <v>1109</v>
      </c>
      <c r="Q241" s="212" t="s">
        <v>68</v>
      </c>
      <c r="R241" s="212" t="s">
        <v>1311</v>
      </c>
      <c r="S241" s="212"/>
      <c r="T241" s="212" t="s">
        <v>1129</v>
      </c>
      <c r="U241" s="212"/>
      <c r="V241" s="212"/>
      <c r="W241" s="212"/>
      <c r="X241" s="212"/>
      <c r="Y241" s="212"/>
      <c r="Z241" s="212"/>
      <c r="AA241" s="212"/>
      <c r="AB241" s="212"/>
      <c r="AC241" s="212"/>
      <c r="AD241" s="212"/>
      <c r="AE241" s="212"/>
      <c r="AF241" s="212"/>
      <c r="AG241" s="212"/>
      <c r="AH241" s="212"/>
      <c r="AI241" s="212"/>
      <c r="AJ241" s="212"/>
      <c r="AK241" s="212"/>
      <c r="AL241" s="212"/>
      <c r="AM241" s="212"/>
      <c r="AN241" s="212"/>
      <c r="AO241" s="212"/>
      <c r="AP241" s="212"/>
      <c r="AQ241" s="212"/>
      <c r="AR241" s="212"/>
      <c r="AS241" s="212"/>
      <c r="AT241" s="212"/>
      <c r="AU241" s="212"/>
      <c r="AV241" s="212"/>
      <c r="AW241" s="212"/>
      <c r="AX241" s="212"/>
      <c r="AY241" s="212"/>
      <c r="AZ241" s="212"/>
      <c r="BA241" s="212"/>
      <c r="BB241" s="212"/>
      <c r="BC241" s="212"/>
      <c r="BD241" s="212"/>
      <c r="BE241" s="212"/>
      <c r="BF241" s="212"/>
      <c r="BG241" s="212"/>
      <c r="BH241" s="212"/>
      <c r="BI241" s="231" t="str">
        <f>HYPERLINK("#일위대가목록!A72","PP11-2-4/100 →")</f>
        <v>PP11-2-4/100 →</v>
      </c>
    </row>
    <row r="242" spans="1:61" ht="24" customHeight="1">
      <c r="A242" s="218" t="s">
        <v>2081</v>
      </c>
      <c r="B242" s="218" t="s">
        <v>2082</v>
      </c>
      <c r="C242" s="229">
        <v>5.64</v>
      </c>
      <c r="D242" s="213" t="s">
        <v>2055</v>
      </c>
      <c r="E242" s="217">
        <f>자재조서!E31</f>
        <v>0</v>
      </c>
      <c r="F242" s="217">
        <f t="shared" si="45"/>
        <v>0</v>
      </c>
      <c r="G242" s="217">
        <v>0</v>
      </c>
      <c r="H242" s="217"/>
      <c r="I242" s="217">
        <v>0</v>
      </c>
      <c r="J242" s="217"/>
      <c r="K242" s="217">
        <f t="shared" si="46"/>
        <v>0</v>
      </c>
      <c r="L242" s="217">
        <f t="shared" si="44"/>
        <v>0</v>
      </c>
      <c r="M242" s="215" t="s">
        <v>68</v>
      </c>
      <c r="N242" s="212" t="s">
        <v>68</v>
      </c>
      <c r="O242" s="212"/>
      <c r="P242" s="212" t="s">
        <v>1110</v>
      </c>
      <c r="Q242" s="212" t="s">
        <v>68</v>
      </c>
      <c r="R242" s="212" t="s">
        <v>2083</v>
      </c>
      <c r="S242" s="212"/>
      <c r="T242" s="212"/>
      <c r="U242" s="212"/>
      <c r="V242" s="212"/>
      <c r="W242" s="212"/>
      <c r="X242" s="212"/>
      <c r="Y242" s="212"/>
      <c r="Z242" s="212"/>
      <c r="AA242" s="212"/>
      <c r="AB242" s="212"/>
      <c r="AC242" s="212"/>
      <c r="AD242" s="212"/>
      <c r="AE242" s="212"/>
      <c r="AF242" s="212"/>
      <c r="AG242" s="212"/>
      <c r="AH242" s="212"/>
      <c r="AI242" s="212"/>
      <c r="AJ242" s="212"/>
      <c r="AK242" s="212"/>
      <c r="AL242" s="212"/>
      <c r="AM242" s="212"/>
      <c r="AN242" s="212"/>
      <c r="AO242" s="212"/>
      <c r="AP242" s="212"/>
      <c r="AQ242" s="212"/>
      <c r="AR242" s="212"/>
      <c r="AS242" s="212"/>
      <c r="AT242" s="212"/>
      <c r="AU242" s="212"/>
      <c r="AV242" s="212"/>
      <c r="AW242" s="212"/>
      <c r="AX242" s="212"/>
      <c r="AY242" s="212"/>
      <c r="AZ242" s="212"/>
      <c r="BA242" s="212"/>
      <c r="BB242" s="212"/>
      <c r="BC242" s="212"/>
      <c r="BD242" s="212"/>
      <c r="BE242" s="212"/>
      <c r="BF242" s="212"/>
      <c r="BG242" s="212"/>
      <c r="BH242" s="212"/>
      <c r="BI242" s="231" t="str">
        <f>HYPERLINK("#자재조서!A31","MJD07918 →")</f>
        <v>MJD07918 →</v>
      </c>
    </row>
    <row r="243" spans="1:61" ht="24" customHeight="1">
      <c r="A243" s="218" t="s">
        <v>2037</v>
      </c>
      <c r="B243" s="218" t="s">
        <v>1738</v>
      </c>
      <c r="C243" s="229">
        <v>5.64</v>
      </c>
      <c r="D243" s="213" t="s">
        <v>9</v>
      </c>
      <c r="E243" s="217">
        <f>일위목록!E62</f>
        <v>0</v>
      </c>
      <c r="F243" s="217">
        <f t="shared" si="45"/>
        <v>0</v>
      </c>
      <c r="G243" s="217">
        <f>일위목록!F62</f>
        <v>0</v>
      </c>
      <c r="H243" s="217">
        <f>TRUNC(G243*C243,0)</f>
        <v>0</v>
      </c>
      <c r="I243" s="217">
        <f>일위목록!G62</f>
        <v>0</v>
      </c>
      <c r="J243" s="217">
        <f>TRUNC(I243*C243,0)</f>
        <v>0</v>
      </c>
      <c r="K243" s="217">
        <f t="shared" si="46"/>
        <v>0</v>
      </c>
      <c r="L243" s="217">
        <f t="shared" si="44"/>
        <v>0</v>
      </c>
      <c r="M243" s="215" t="s">
        <v>68</v>
      </c>
      <c r="N243" s="212" t="s">
        <v>68</v>
      </c>
      <c r="O243" s="212"/>
      <c r="P243" s="212" t="s">
        <v>1111</v>
      </c>
      <c r="Q243" s="212" t="s">
        <v>68</v>
      </c>
      <c r="R243" s="212" t="s">
        <v>1740</v>
      </c>
      <c r="S243" s="212"/>
      <c r="T243" s="212" t="s">
        <v>1129</v>
      </c>
      <c r="U243" s="212"/>
      <c r="V243" s="212"/>
      <c r="W243" s="212"/>
      <c r="X243" s="212"/>
      <c r="Y243" s="212"/>
      <c r="Z243" s="212"/>
      <c r="AA243" s="212"/>
      <c r="AB243" s="212"/>
      <c r="AC243" s="212"/>
      <c r="AD243" s="212"/>
      <c r="AE243" s="212"/>
      <c r="AF243" s="212"/>
      <c r="AG243" s="212"/>
      <c r="AH243" s="212"/>
      <c r="AI243" s="212"/>
      <c r="AJ243" s="212"/>
      <c r="AK243" s="212"/>
      <c r="AL243" s="212"/>
      <c r="AM243" s="212"/>
      <c r="AN243" s="212"/>
      <c r="AO243" s="212"/>
      <c r="AP243" s="212"/>
      <c r="AQ243" s="212"/>
      <c r="AR243" s="212"/>
      <c r="AS243" s="212"/>
      <c r="AT243" s="212"/>
      <c r="AU243" s="212"/>
      <c r="AV243" s="212"/>
      <c r="AW243" s="212"/>
      <c r="AX243" s="212"/>
      <c r="AY243" s="212"/>
      <c r="AZ243" s="212"/>
      <c r="BA243" s="212"/>
      <c r="BB243" s="212"/>
      <c r="BC243" s="212"/>
      <c r="BD243" s="212"/>
      <c r="BE243" s="212"/>
      <c r="BF243" s="212"/>
      <c r="BG243" s="212"/>
      <c r="BH243" s="212"/>
      <c r="BI243" s="231" t="str">
        <f>HYPERLINK("#일위대가목록!A62","PP10-3-1/9 →")</f>
        <v>PP10-3-1/9 →</v>
      </c>
    </row>
    <row r="244" spans="1:61" ht="24" customHeight="1">
      <c r="A244" s="218" t="s">
        <v>2039</v>
      </c>
      <c r="B244" s="218" t="s">
        <v>1745</v>
      </c>
      <c r="C244" s="229">
        <v>47.16</v>
      </c>
      <c r="D244" s="213" t="s">
        <v>1033</v>
      </c>
      <c r="E244" s="217">
        <f>일위목록!E64</f>
        <v>0</v>
      </c>
      <c r="F244" s="217">
        <f t="shared" si="45"/>
        <v>0</v>
      </c>
      <c r="G244" s="217">
        <f>일위목록!F64</f>
        <v>0</v>
      </c>
      <c r="H244" s="217">
        <f>TRUNC(G244*C244,0)</f>
        <v>0</v>
      </c>
      <c r="I244" s="217">
        <f>일위목록!G64</f>
        <v>0</v>
      </c>
      <c r="J244" s="217">
        <f>TRUNC(I244*C244,0)</f>
        <v>0</v>
      </c>
      <c r="K244" s="217">
        <f t="shared" si="46"/>
        <v>0</v>
      </c>
      <c r="L244" s="217">
        <f t="shared" si="44"/>
        <v>0</v>
      </c>
      <c r="M244" s="215" t="s">
        <v>68</v>
      </c>
      <c r="N244" s="212" t="s">
        <v>68</v>
      </c>
      <c r="O244" s="212"/>
      <c r="P244" s="212" t="s">
        <v>1112</v>
      </c>
      <c r="Q244" s="212" t="s">
        <v>68</v>
      </c>
      <c r="R244" s="212" t="s">
        <v>1747</v>
      </c>
      <c r="S244" s="212"/>
      <c r="T244" s="212" t="s">
        <v>1129</v>
      </c>
      <c r="U244" s="212"/>
      <c r="V244" s="212"/>
      <c r="W244" s="212"/>
      <c r="X244" s="212"/>
      <c r="Y244" s="212"/>
      <c r="Z244" s="212"/>
      <c r="AA244" s="212"/>
      <c r="AB244" s="212"/>
      <c r="AC244" s="212"/>
      <c r="AD244" s="212"/>
      <c r="AE244" s="212"/>
      <c r="AF244" s="212"/>
      <c r="AG244" s="212"/>
      <c r="AH244" s="212"/>
      <c r="AI244" s="212"/>
      <c r="AJ244" s="212"/>
      <c r="AK244" s="212"/>
      <c r="AL244" s="212"/>
      <c r="AM244" s="212"/>
      <c r="AN244" s="212"/>
      <c r="AO244" s="212"/>
      <c r="AP244" s="212"/>
      <c r="AQ244" s="212"/>
      <c r="AR244" s="212"/>
      <c r="AS244" s="212"/>
      <c r="AT244" s="212"/>
      <c r="AU244" s="212"/>
      <c r="AV244" s="212"/>
      <c r="AW244" s="212"/>
      <c r="AX244" s="212"/>
      <c r="AY244" s="212"/>
      <c r="AZ244" s="212"/>
      <c r="BA244" s="212"/>
      <c r="BB244" s="212"/>
      <c r="BC244" s="212"/>
      <c r="BD244" s="212"/>
      <c r="BE244" s="212"/>
      <c r="BF244" s="212"/>
      <c r="BG244" s="212"/>
      <c r="BH244" s="212"/>
      <c r="BI244" s="231" t="str">
        <f>HYPERLINK("#일위대가목록!A64","PP10-4-3/1 →")</f>
        <v>PP10-4-3/1 →</v>
      </c>
    </row>
    <row r="245" spans="1:61" ht="24" customHeight="1">
      <c r="A245" s="218" t="s">
        <v>2084</v>
      </c>
      <c r="B245" s="218" t="s">
        <v>1718</v>
      </c>
      <c r="C245" s="228">
        <v>1</v>
      </c>
      <c r="D245" s="213" t="s">
        <v>378</v>
      </c>
      <c r="E245" s="217">
        <f>일위목록!E70</f>
        <v>0</v>
      </c>
      <c r="F245" s="217">
        <f t="shared" si="45"/>
        <v>0</v>
      </c>
      <c r="G245" s="217">
        <f>일위목록!F70</f>
        <v>0</v>
      </c>
      <c r="H245" s="217">
        <f>TRUNC(G245*C245,0)</f>
        <v>0</v>
      </c>
      <c r="I245" s="217">
        <f>일위목록!G70</f>
        <v>0</v>
      </c>
      <c r="J245" s="217">
        <f>TRUNC(I245*C245,0)</f>
        <v>0</v>
      </c>
      <c r="K245" s="217">
        <f t="shared" si="46"/>
        <v>0</v>
      </c>
      <c r="L245" s="217">
        <f t="shared" si="44"/>
        <v>0</v>
      </c>
      <c r="M245" s="215" t="s">
        <v>68</v>
      </c>
      <c r="N245" s="212" t="s">
        <v>68</v>
      </c>
      <c r="O245" s="212"/>
      <c r="P245" s="212" t="s">
        <v>1113</v>
      </c>
      <c r="Q245" s="212" t="s">
        <v>68</v>
      </c>
      <c r="R245" s="212" t="s">
        <v>1763</v>
      </c>
      <c r="S245" s="212"/>
      <c r="T245" s="212" t="s">
        <v>1129</v>
      </c>
      <c r="U245" s="212"/>
      <c r="V245" s="212"/>
      <c r="W245" s="212"/>
      <c r="X245" s="212"/>
      <c r="Y245" s="212"/>
      <c r="Z245" s="212"/>
      <c r="AA245" s="212"/>
      <c r="AB245" s="212"/>
      <c r="AC245" s="212"/>
      <c r="AD245" s="212"/>
      <c r="AE245" s="212"/>
      <c r="AF245" s="212"/>
      <c r="AG245" s="212"/>
      <c r="AH245" s="212"/>
      <c r="AI245" s="212"/>
      <c r="AJ245" s="212"/>
      <c r="AK245" s="212"/>
      <c r="AL245" s="212"/>
      <c r="AM245" s="212"/>
      <c r="AN245" s="212"/>
      <c r="AO245" s="212"/>
      <c r="AP245" s="212"/>
      <c r="AQ245" s="212"/>
      <c r="AR245" s="212"/>
      <c r="AS245" s="212"/>
      <c r="AT245" s="212"/>
      <c r="AU245" s="212"/>
      <c r="AV245" s="212"/>
      <c r="AW245" s="212"/>
      <c r="AX245" s="212"/>
      <c r="AY245" s="212"/>
      <c r="AZ245" s="212"/>
      <c r="BA245" s="212"/>
      <c r="BB245" s="212"/>
      <c r="BC245" s="212"/>
      <c r="BD245" s="212"/>
      <c r="BE245" s="212"/>
      <c r="BF245" s="212"/>
      <c r="BG245" s="212"/>
      <c r="BH245" s="212"/>
      <c r="BI245" s="231" t="str">
        <f>HYPERLINK("#일위대가목록!A70","PP10-1-2/1 →")</f>
        <v>PP10-1-2/1 →</v>
      </c>
    </row>
    <row r="246" spans="1:61" ht="24" customHeight="1">
      <c r="A246" s="218" t="s">
        <v>2059</v>
      </c>
      <c r="B246" s="218" t="s">
        <v>68</v>
      </c>
      <c r="C246" s="229">
        <v>12.35</v>
      </c>
      <c r="D246" s="213" t="s">
        <v>1033</v>
      </c>
      <c r="E246" s="217">
        <f>일위목록!E65</f>
        <v>0</v>
      </c>
      <c r="F246" s="217">
        <f t="shared" si="45"/>
        <v>0</v>
      </c>
      <c r="G246" s="217">
        <f>일위목록!F65</f>
        <v>0</v>
      </c>
      <c r="H246" s="217">
        <f>TRUNC(G246*C246,0)</f>
        <v>0</v>
      </c>
      <c r="I246" s="217">
        <f>일위목록!G65</f>
        <v>0</v>
      </c>
      <c r="J246" s="217">
        <f>TRUNC(I246*C246,0)</f>
        <v>0</v>
      </c>
      <c r="K246" s="217">
        <f t="shared" si="46"/>
        <v>0</v>
      </c>
      <c r="L246" s="217">
        <f t="shared" si="44"/>
        <v>0</v>
      </c>
      <c r="M246" s="215" t="s">
        <v>68</v>
      </c>
      <c r="N246" s="212" t="s">
        <v>68</v>
      </c>
      <c r="O246" s="212"/>
      <c r="P246" s="212" t="s">
        <v>1114</v>
      </c>
      <c r="Q246" s="212" t="s">
        <v>68</v>
      </c>
      <c r="R246" s="212" t="s">
        <v>1750</v>
      </c>
      <c r="S246" s="212"/>
      <c r="T246" s="212" t="s">
        <v>1129</v>
      </c>
      <c r="U246" s="212"/>
      <c r="V246" s="212"/>
      <c r="W246" s="212"/>
      <c r="X246" s="212"/>
      <c r="Y246" s="212"/>
      <c r="Z246" s="212"/>
      <c r="AA246" s="212"/>
      <c r="AB246" s="212"/>
      <c r="AC246" s="212"/>
      <c r="AD246" s="212"/>
      <c r="AE246" s="212"/>
      <c r="AF246" s="212"/>
      <c r="AG246" s="212"/>
      <c r="AH246" s="212"/>
      <c r="AI246" s="212"/>
      <c r="AJ246" s="212"/>
      <c r="AK246" s="212"/>
      <c r="AL246" s="212"/>
      <c r="AM246" s="212"/>
      <c r="AN246" s="212"/>
      <c r="AO246" s="212"/>
      <c r="AP246" s="212"/>
      <c r="AQ246" s="212"/>
      <c r="AR246" s="212"/>
      <c r="AS246" s="212"/>
      <c r="AT246" s="212"/>
      <c r="AU246" s="212"/>
      <c r="AV246" s="212"/>
      <c r="AW246" s="212"/>
      <c r="AX246" s="212"/>
      <c r="AY246" s="212"/>
      <c r="AZ246" s="212"/>
      <c r="BA246" s="212"/>
      <c r="BB246" s="212"/>
      <c r="BC246" s="212"/>
      <c r="BD246" s="212"/>
      <c r="BE246" s="212"/>
      <c r="BF246" s="212"/>
      <c r="BG246" s="212"/>
      <c r="BH246" s="212"/>
      <c r="BI246" s="231" t="str">
        <f>HYPERLINK("#일위대가목록!A65","P9-3-1/1 →")</f>
        <v>P9-3-1/1 →</v>
      </c>
    </row>
    <row r="247" spans="1:61" ht="24" customHeight="1">
      <c r="A247" s="218" t="s">
        <v>2092</v>
      </c>
      <c r="B247" s="218" t="s">
        <v>2093</v>
      </c>
      <c r="C247" s="228">
        <v>4</v>
      </c>
      <c r="D247" s="213" t="s">
        <v>437</v>
      </c>
      <c r="E247" s="217">
        <f>자재조서!E108</f>
        <v>0</v>
      </c>
      <c r="F247" s="217">
        <f t="shared" si="45"/>
        <v>0</v>
      </c>
      <c r="G247" s="217">
        <v>0</v>
      </c>
      <c r="H247" s="217"/>
      <c r="I247" s="217">
        <v>0</v>
      </c>
      <c r="J247" s="217"/>
      <c r="K247" s="217">
        <f t="shared" si="46"/>
        <v>0</v>
      </c>
      <c r="L247" s="217">
        <f t="shared" si="44"/>
        <v>0</v>
      </c>
      <c r="M247" s="215" t="s">
        <v>68</v>
      </c>
      <c r="N247" s="212" t="s">
        <v>68</v>
      </c>
      <c r="O247" s="212"/>
      <c r="P247" s="212" t="s">
        <v>1115</v>
      </c>
      <c r="Q247" s="212" t="s">
        <v>68</v>
      </c>
      <c r="R247" s="212" t="s">
        <v>2094</v>
      </c>
      <c r="S247" s="212"/>
      <c r="T247" s="212"/>
      <c r="U247" s="212"/>
      <c r="V247" s="212"/>
      <c r="W247" s="212"/>
      <c r="X247" s="212"/>
      <c r="Y247" s="212"/>
      <c r="Z247" s="212"/>
      <c r="AA247" s="212"/>
      <c r="AB247" s="212"/>
      <c r="AC247" s="212"/>
      <c r="AD247" s="212"/>
      <c r="AE247" s="212"/>
      <c r="AF247" s="212"/>
      <c r="AG247" s="212"/>
      <c r="AH247" s="212"/>
      <c r="AI247" s="212"/>
      <c r="AJ247" s="212"/>
      <c r="AK247" s="212"/>
      <c r="AL247" s="212"/>
      <c r="AM247" s="212"/>
      <c r="AN247" s="212"/>
      <c r="AO247" s="212"/>
      <c r="AP247" s="212"/>
      <c r="AQ247" s="212"/>
      <c r="AR247" s="212"/>
      <c r="AS247" s="212"/>
      <c r="AT247" s="212"/>
      <c r="AU247" s="212"/>
      <c r="AV247" s="212"/>
      <c r="AW247" s="212"/>
      <c r="AX247" s="212"/>
      <c r="AY247" s="212"/>
      <c r="AZ247" s="212"/>
      <c r="BA247" s="212"/>
      <c r="BB247" s="212"/>
      <c r="BC247" s="212"/>
      <c r="BD247" s="212"/>
      <c r="BE247" s="212"/>
      <c r="BF247" s="212"/>
      <c r="BG247" s="212"/>
      <c r="BH247" s="212"/>
      <c r="BI247" s="231" t="str">
        <f>HYPERLINK("#자재조서!A108","MZZ9000064 →")</f>
        <v>MZZ9000064 →</v>
      </c>
    </row>
    <row r="248" spans="1:61" ht="24" customHeight="1">
      <c r="A248" s="218" t="s">
        <v>2095</v>
      </c>
      <c r="B248" s="218" t="s">
        <v>1769</v>
      </c>
      <c r="C248" s="228">
        <v>4</v>
      </c>
      <c r="D248" s="213" t="s">
        <v>378</v>
      </c>
      <c r="E248" s="217">
        <f>일위목록!E73</f>
        <v>0</v>
      </c>
      <c r="F248" s="217">
        <f t="shared" si="45"/>
        <v>0</v>
      </c>
      <c r="G248" s="217">
        <f>일위목록!F73</f>
        <v>0</v>
      </c>
      <c r="H248" s="217">
        <f>TRUNC(G248*C248,0)</f>
        <v>0</v>
      </c>
      <c r="I248" s="217">
        <f>일위목록!G73</f>
        <v>0</v>
      </c>
      <c r="J248" s="217">
        <f>TRUNC(I248*C248,0)</f>
        <v>0</v>
      </c>
      <c r="K248" s="217">
        <f t="shared" si="46"/>
        <v>0</v>
      </c>
      <c r="L248" s="217">
        <f t="shared" si="44"/>
        <v>0</v>
      </c>
      <c r="M248" s="215" t="s">
        <v>68</v>
      </c>
      <c r="N248" s="212" t="s">
        <v>68</v>
      </c>
      <c r="O248" s="212"/>
      <c r="P248" s="212" t="s">
        <v>1116</v>
      </c>
      <c r="Q248" s="212" t="s">
        <v>68</v>
      </c>
      <c r="R248" s="212" t="s">
        <v>1771</v>
      </c>
      <c r="S248" s="212"/>
      <c r="T248" s="212" t="s">
        <v>1129</v>
      </c>
      <c r="U248" s="212"/>
      <c r="V248" s="212"/>
      <c r="W248" s="212"/>
      <c r="X248" s="212"/>
      <c r="Y248" s="212"/>
      <c r="Z248" s="212"/>
      <c r="AA248" s="212"/>
      <c r="AB248" s="212"/>
      <c r="AC248" s="212"/>
      <c r="AD248" s="212"/>
      <c r="AE248" s="212"/>
      <c r="AF248" s="212"/>
      <c r="AG248" s="212"/>
      <c r="AH248" s="212"/>
      <c r="AI248" s="212"/>
      <c r="AJ248" s="212"/>
      <c r="AK248" s="212"/>
      <c r="AL248" s="212"/>
      <c r="AM248" s="212"/>
      <c r="AN248" s="212"/>
      <c r="AO248" s="212"/>
      <c r="AP248" s="212"/>
      <c r="AQ248" s="212"/>
      <c r="AR248" s="212"/>
      <c r="AS248" s="212"/>
      <c r="AT248" s="212"/>
      <c r="AU248" s="212"/>
      <c r="AV248" s="212"/>
      <c r="AW248" s="212"/>
      <c r="AX248" s="212"/>
      <c r="AY248" s="212"/>
      <c r="AZ248" s="212"/>
      <c r="BA248" s="212"/>
      <c r="BB248" s="212"/>
      <c r="BC248" s="212"/>
      <c r="BD248" s="212"/>
      <c r="BE248" s="212"/>
      <c r="BF248" s="212"/>
      <c r="BG248" s="212"/>
      <c r="BH248" s="212"/>
      <c r="BI248" s="231" t="str">
        <f>HYPERLINK("#일위대가목록!A73","PP10-2-3/2 →")</f>
        <v>PP10-2-3/2 →</v>
      </c>
    </row>
    <row r="249" spans="1:61" ht="24" customHeight="1">
      <c r="A249" s="218" t="s">
        <v>2096</v>
      </c>
      <c r="B249" s="218" t="s">
        <v>2097</v>
      </c>
      <c r="C249" s="228">
        <v>2</v>
      </c>
      <c r="D249" s="213" t="s">
        <v>437</v>
      </c>
      <c r="E249" s="217">
        <f>자재조서!E118</f>
        <v>0</v>
      </c>
      <c r="F249" s="217">
        <f t="shared" si="45"/>
        <v>0</v>
      </c>
      <c r="G249" s="217">
        <v>0</v>
      </c>
      <c r="H249" s="217"/>
      <c r="I249" s="217">
        <v>0</v>
      </c>
      <c r="J249" s="217"/>
      <c r="K249" s="217">
        <f t="shared" si="46"/>
        <v>0</v>
      </c>
      <c r="L249" s="217">
        <f t="shared" si="44"/>
        <v>0</v>
      </c>
      <c r="M249" s="215" t="s">
        <v>68</v>
      </c>
      <c r="N249" s="212" t="s">
        <v>68</v>
      </c>
      <c r="O249" s="212"/>
      <c r="P249" s="212" t="s">
        <v>1120</v>
      </c>
      <c r="Q249" s="212" t="s">
        <v>68</v>
      </c>
      <c r="R249" s="212" t="s">
        <v>2098</v>
      </c>
      <c r="S249" s="212"/>
      <c r="T249" s="212"/>
      <c r="U249" s="212"/>
      <c r="V249" s="212"/>
      <c r="W249" s="212"/>
      <c r="X249" s="212"/>
      <c r="Y249" s="212"/>
      <c r="Z249" s="212"/>
      <c r="AA249" s="212"/>
      <c r="AB249" s="212"/>
      <c r="AC249" s="212"/>
      <c r="AD249" s="212"/>
      <c r="AE249" s="212"/>
      <c r="AF249" s="212"/>
      <c r="AG249" s="212"/>
      <c r="AH249" s="212"/>
      <c r="AI249" s="212"/>
      <c r="AJ249" s="212"/>
      <c r="AK249" s="212"/>
      <c r="AL249" s="212"/>
      <c r="AM249" s="212"/>
      <c r="AN249" s="212"/>
      <c r="AO249" s="212"/>
      <c r="AP249" s="212"/>
      <c r="AQ249" s="212"/>
      <c r="AR249" s="212"/>
      <c r="AS249" s="212"/>
      <c r="AT249" s="212"/>
      <c r="AU249" s="212"/>
      <c r="AV249" s="212"/>
      <c r="AW249" s="212"/>
      <c r="AX249" s="212"/>
      <c r="AY249" s="212"/>
      <c r="AZ249" s="212"/>
      <c r="BA249" s="212"/>
      <c r="BB249" s="212"/>
      <c r="BC249" s="212"/>
      <c r="BD249" s="212"/>
      <c r="BE249" s="212"/>
      <c r="BF249" s="212"/>
      <c r="BG249" s="212"/>
      <c r="BH249" s="212"/>
      <c r="BI249" s="231" t="str">
        <f>HYPERLINK("#자재조서!A118","MZZ9000075 →")</f>
        <v>MZZ9000075 →</v>
      </c>
    </row>
    <row r="250" spans="1:61" ht="24" customHeight="1">
      <c r="A250" s="218" t="s">
        <v>2099</v>
      </c>
      <c r="B250" s="218" t="s">
        <v>68</v>
      </c>
      <c r="C250" s="228">
        <v>2</v>
      </c>
      <c r="D250" s="213" t="s">
        <v>378</v>
      </c>
      <c r="E250" s="217">
        <f>일위목록!E74</f>
        <v>0</v>
      </c>
      <c r="F250" s="217">
        <f t="shared" si="45"/>
        <v>0</v>
      </c>
      <c r="G250" s="217">
        <f>일위목록!F74</f>
        <v>0</v>
      </c>
      <c r="H250" s="217">
        <f>TRUNC(G250*C250,0)</f>
        <v>0</v>
      </c>
      <c r="I250" s="217">
        <f>일위목록!G74</f>
        <v>0</v>
      </c>
      <c r="J250" s="217">
        <f>TRUNC(I250*C250,0)</f>
        <v>0</v>
      </c>
      <c r="K250" s="217">
        <f t="shared" si="46"/>
        <v>0</v>
      </c>
      <c r="L250" s="217">
        <f t="shared" si="44"/>
        <v>0</v>
      </c>
      <c r="M250" s="215" t="s">
        <v>68</v>
      </c>
      <c r="N250" s="212" t="s">
        <v>68</v>
      </c>
      <c r="O250" s="212"/>
      <c r="P250" s="212" t="s">
        <v>1173</v>
      </c>
      <c r="Q250" s="212" t="s">
        <v>68</v>
      </c>
      <c r="R250" s="212" t="s">
        <v>1774</v>
      </c>
      <c r="S250" s="212"/>
      <c r="T250" s="212" t="s">
        <v>1129</v>
      </c>
      <c r="U250" s="212"/>
      <c r="V250" s="212"/>
      <c r="W250" s="212"/>
      <c r="X250" s="212"/>
      <c r="Y250" s="212"/>
      <c r="Z250" s="212"/>
      <c r="AA250" s="212"/>
      <c r="AB250" s="212"/>
      <c r="AC250" s="212"/>
      <c r="AD250" s="212"/>
      <c r="AE250" s="212"/>
      <c r="AF250" s="212"/>
      <c r="AG250" s="212"/>
      <c r="AH250" s="212"/>
      <c r="AI250" s="212"/>
      <c r="AJ250" s="212"/>
      <c r="AK250" s="212"/>
      <c r="AL250" s="212"/>
      <c r="AM250" s="212"/>
      <c r="AN250" s="212"/>
      <c r="AO250" s="212"/>
      <c r="AP250" s="212"/>
      <c r="AQ250" s="212"/>
      <c r="AR250" s="212"/>
      <c r="AS250" s="212"/>
      <c r="AT250" s="212"/>
      <c r="AU250" s="212"/>
      <c r="AV250" s="212"/>
      <c r="AW250" s="212"/>
      <c r="AX250" s="212"/>
      <c r="AY250" s="212"/>
      <c r="AZ250" s="212"/>
      <c r="BA250" s="212"/>
      <c r="BB250" s="212"/>
      <c r="BC250" s="212"/>
      <c r="BD250" s="212"/>
      <c r="BE250" s="212"/>
      <c r="BF250" s="212"/>
      <c r="BG250" s="212"/>
      <c r="BH250" s="212"/>
      <c r="BI250" s="231" t="str">
        <f>HYPERLINK("#일위대가목록!A74","PP10-2-2/1 →")</f>
        <v>PP10-2-2/1 →</v>
      </c>
    </row>
    <row r="251" spans="1:61" ht="24" customHeight="1">
      <c r="A251" s="215"/>
      <c r="B251" s="215"/>
      <c r="C251" s="229"/>
      <c r="D251" s="213"/>
      <c r="E251" s="213"/>
      <c r="F251" s="213"/>
      <c r="G251" s="213"/>
      <c r="H251" s="213"/>
      <c r="I251" s="213"/>
      <c r="J251" s="213"/>
      <c r="K251" s="213"/>
      <c r="L251" s="213"/>
      <c r="M251" s="215"/>
      <c r="N251" s="212"/>
      <c r="O251" s="212"/>
      <c r="P251" s="212"/>
      <c r="Q251" s="212"/>
      <c r="R251" s="212"/>
      <c r="S251" s="212"/>
      <c r="T251" s="212"/>
      <c r="U251" s="212"/>
      <c r="V251" s="212"/>
      <c r="W251" s="212"/>
      <c r="X251" s="212"/>
      <c r="Y251" s="212"/>
      <c r="Z251" s="212"/>
      <c r="AA251" s="212"/>
      <c r="AB251" s="212"/>
      <c r="AC251" s="212"/>
      <c r="AD251" s="212"/>
      <c r="AE251" s="212"/>
      <c r="AF251" s="212"/>
      <c r="AG251" s="212"/>
      <c r="AH251" s="212"/>
      <c r="AI251" s="212"/>
      <c r="AJ251" s="212"/>
      <c r="AK251" s="212"/>
      <c r="AL251" s="212"/>
      <c r="AM251" s="212"/>
      <c r="AN251" s="212"/>
      <c r="AO251" s="212"/>
      <c r="AP251" s="212"/>
      <c r="AQ251" s="212"/>
      <c r="AR251" s="212"/>
      <c r="AS251" s="212"/>
      <c r="AT251" s="212"/>
      <c r="AU251" s="212"/>
      <c r="AV251" s="212"/>
      <c r="AW251" s="212"/>
      <c r="AX251" s="212"/>
      <c r="AY251" s="212"/>
      <c r="AZ251" s="212"/>
      <c r="BA251" s="212"/>
      <c r="BB251" s="212"/>
      <c r="BC251" s="212"/>
      <c r="BD251" s="212"/>
      <c r="BE251" s="212"/>
      <c r="BF251" s="212"/>
      <c r="BG251" s="212"/>
      <c r="BH251" s="212"/>
      <c r="BI251" s="212"/>
    </row>
    <row r="252" spans="1:61" ht="24" customHeight="1">
      <c r="A252" s="218" t="s">
        <v>2100</v>
      </c>
      <c r="B252" s="218" t="s">
        <v>1220</v>
      </c>
      <c r="C252" s="228">
        <v>1</v>
      </c>
      <c r="D252" s="213" t="s">
        <v>437</v>
      </c>
      <c r="E252" s="212"/>
      <c r="F252" s="217">
        <f>TRUNC(F253+F254+F255+F256+F257+F258+F259+F260+F261+F262+F263,0)</f>
        <v>0</v>
      </c>
      <c r="G252" s="212"/>
      <c r="H252" s="217">
        <f>TRUNC(H253+H254+H255+H256+H257+H258+H259+H260+H261+H262+H263,0)</f>
        <v>0</v>
      </c>
      <c r="I252" s="212"/>
      <c r="J252" s="217">
        <f>TRUNC(J253+J254+J255+J256+J257+J258+J259+J260+J261+J262+J263,0)</f>
        <v>0</v>
      </c>
      <c r="K252" s="212"/>
      <c r="L252" s="217">
        <f t="shared" ref="L252:L263" si="47">F252+H252+J252</f>
        <v>0</v>
      </c>
      <c r="M252" s="215" t="s">
        <v>68</v>
      </c>
      <c r="N252" s="212" t="s">
        <v>68</v>
      </c>
      <c r="O252" s="212" t="s">
        <v>1221</v>
      </c>
      <c r="P252" s="212"/>
      <c r="Q252" s="212"/>
      <c r="R252" s="212"/>
      <c r="S252" s="212"/>
      <c r="T252" s="212"/>
      <c r="U252" s="212"/>
      <c r="V252" s="212"/>
      <c r="W252" s="212"/>
      <c r="X252" s="212"/>
      <c r="Y252" s="212"/>
      <c r="Z252" s="212"/>
      <c r="AA252" s="212"/>
      <c r="AB252" s="212"/>
      <c r="AC252" s="212"/>
      <c r="AD252" s="212"/>
      <c r="AE252" s="212"/>
      <c r="AF252" s="212"/>
      <c r="AG252" s="212"/>
      <c r="AH252" s="212"/>
      <c r="AI252" s="212"/>
      <c r="AJ252" s="212"/>
      <c r="AK252" s="212"/>
      <c r="AL252" s="212"/>
      <c r="AM252" s="212"/>
      <c r="AN252" s="212"/>
      <c r="AO252" s="212"/>
      <c r="AP252" s="212"/>
      <c r="AQ252" s="212"/>
      <c r="AR252" s="212"/>
      <c r="AS252" s="212"/>
      <c r="AT252" s="212"/>
      <c r="AU252" s="212"/>
      <c r="AV252" s="212"/>
      <c r="AW252" s="212"/>
      <c r="AX252" s="212"/>
      <c r="AY252" s="212"/>
      <c r="AZ252" s="212"/>
      <c r="BA252" s="212"/>
      <c r="BB252" s="212"/>
      <c r="BC252" s="212"/>
      <c r="BD252" s="212"/>
      <c r="BE252" s="212"/>
      <c r="BF252" s="212"/>
      <c r="BG252" s="212"/>
      <c r="BH252" s="212"/>
      <c r="BI252" s="212"/>
    </row>
    <row r="253" spans="1:61" ht="24" customHeight="1">
      <c r="A253" s="218" t="s">
        <v>2071</v>
      </c>
      <c r="B253" s="218" t="s">
        <v>2072</v>
      </c>
      <c r="C253" s="229">
        <v>11.09</v>
      </c>
      <c r="D253" s="213" t="s">
        <v>1400</v>
      </c>
      <c r="E253" s="217">
        <f>자재조서!E7</f>
        <v>0</v>
      </c>
      <c r="F253" s="217">
        <f t="shared" ref="F253:F263" si="48">TRUNC(E253*C253,0)</f>
        <v>0</v>
      </c>
      <c r="G253" s="217">
        <v>0</v>
      </c>
      <c r="H253" s="217"/>
      <c r="I253" s="217">
        <v>0</v>
      </c>
      <c r="J253" s="217"/>
      <c r="K253" s="217">
        <f t="shared" ref="K253:K263" si="49">E253+G253+I253</f>
        <v>0</v>
      </c>
      <c r="L253" s="217">
        <f t="shared" si="47"/>
        <v>0</v>
      </c>
      <c r="M253" s="215" t="s">
        <v>68</v>
      </c>
      <c r="N253" s="212" t="s">
        <v>68</v>
      </c>
      <c r="O253" s="212"/>
      <c r="P253" s="212" t="s">
        <v>1095</v>
      </c>
      <c r="Q253" s="212" t="s">
        <v>68</v>
      </c>
      <c r="R253" s="212" t="s">
        <v>2073</v>
      </c>
      <c r="S253" s="212"/>
      <c r="T253" s="212"/>
      <c r="U253" s="212"/>
      <c r="V253" s="212"/>
      <c r="W253" s="212"/>
      <c r="X253" s="212"/>
      <c r="Y253" s="212"/>
      <c r="Z253" s="212"/>
      <c r="AA253" s="212"/>
      <c r="AB253" s="212"/>
      <c r="AC253" s="212"/>
      <c r="AD253" s="212"/>
      <c r="AE253" s="212"/>
      <c r="AF253" s="212"/>
      <c r="AG253" s="212"/>
      <c r="AH253" s="212"/>
      <c r="AI253" s="212"/>
      <c r="AJ253" s="212"/>
      <c r="AK253" s="212"/>
      <c r="AL253" s="212"/>
      <c r="AM253" s="212"/>
      <c r="AN253" s="212"/>
      <c r="AO253" s="212"/>
      <c r="AP253" s="212"/>
      <c r="AQ253" s="212"/>
      <c r="AR253" s="212"/>
      <c r="AS253" s="212"/>
      <c r="AT253" s="212"/>
      <c r="AU253" s="212"/>
      <c r="AV253" s="212"/>
      <c r="AW253" s="212"/>
      <c r="AX253" s="212"/>
      <c r="AY253" s="212"/>
      <c r="AZ253" s="212"/>
      <c r="BA253" s="212"/>
      <c r="BB253" s="212"/>
      <c r="BC253" s="212"/>
      <c r="BD253" s="212"/>
      <c r="BE253" s="212"/>
      <c r="BF253" s="212"/>
      <c r="BG253" s="212"/>
      <c r="BH253" s="212"/>
      <c r="BI253" s="231" t="str">
        <f>HYPERLINK("#자재조서!A7","M0131019 →")</f>
        <v>M0131019 →</v>
      </c>
    </row>
    <row r="254" spans="1:61" ht="24" customHeight="1">
      <c r="A254" s="218" t="s">
        <v>1935</v>
      </c>
      <c r="B254" s="218" t="s">
        <v>1754</v>
      </c>
      <c r="C254" s="229">
        <v>2.9000000000000001E-2</v>
      </c>
      <c r="D254" s="213" t="s">
        <v>16</v>
      </c>
      <c r="E254" s="217">
        <f>일위목록!E67</f>
        <v>0</v>
      </c>
      <c r="F254" s="217">
        <f t="shared" si="48"/>
        <v>0</v>
      </c>
      <c r="G254" s="217">
        <f>일위목록!F67</f>
        <v>0</v>
      </c>
      <c r="H254" s="217">
        <f>TRUNC(G254*C254,0)</f>
        <v>0</v>
      </c>
      <c r="I254" s="217">
        <f>일위목록!G67</f>
        <v>0</v>
      </c>
      <c r="J254" s="217">
        <f>TRUNC(I254*C254,0)</f>
        <v>0</v>
      </c>
      <c r="K254" s="217">
        <f t="shared" si="49"/>
        <v>0</v>
      </c>
      <c r="L254" s="217">
        <f t="shared" si="47"/>
        <v>0</v>
      </c>
      <c r="M254" s="215" t="s">
        <v>68</v>
      </c>
      <c r="N254" s="212" t="s">
        <v>68</v>
      </c>
      <c r="O254" s="212"/>
      <c r="P254" s="212" t="s">
        <v>1098</v>
      </c>
      <c r="Q254" s="212" t="s">
        <v>68</v>
      </c>
      <c r="R254" s="212" t="s">
        <v>1755</v>
      </c>
      <c r="S254" s="212"/>
      <c r="T254" s="212" t="s">
        <v>1129</v>
      </c>
      <c r="U254" s="212"/>
      <c r="V254" s="212"/>
      <c r="W254" s="212"/>
      <c r="X254" s="212"/>
      <c r="Y254" s="212"/>
      <c r="Z254" s="212"/>
      <c r="AA254" s="212"/>
      <c r="AB254" s="212"/>
      <c r="AC254" s="212"/>
      <c r="AD254" s="212"/>
      <c r="AE254" s="212"/>
      <c r="AF254" s="212"/>
      <c r="AG254" s="212"/>
      <c r="AH254" s="212"/>
      <c r="AI254" s="212"/>
      <c r="AJ254" s="212"/>
      <c r="AK254" s="212"/>
      <c r="AL254" s="212"/>
      <c r="AM254" s="212"/>
      <c r="AN254" s="212"/>
      <c r="AO254" s="212"/>
      <c r="AP254" s="212"/>
      <c r="AQ254" s="212"/>
      <c r="AR254" s="212"/>
      <c r="AS254" s="212"/>
      <c r="AT254" s="212"/>
      <c r="AU254" s="212"/>
      <c r="AV254" s="212"/>
      <c r="AW254" s="212"/>
      <c r="AX254" s="212"/>
      <c r="AY254" s="212"/>
      <c r="AZ254" s="212"/>
      <c r="BA254" s="212"/>
      <c r="BB254" s="212"/>
      <c r="BC254" s="212"/>
      <c r="BD254" s="212"/>
      <c r="BE254" s="212"/>
      <c r="BF254" s="212"/>
      <c r="BG254" s="212"/>
      <c r="BH254" s="212"/>
      <c r="BI254" s="231" t="str">
        <f>HYPERLINK("#일위대가목록!A67","P8-3-1/6 →")</f>
        <v>P8-3-1/6 →</v>
      </c>
    </row>
    <row r="255" spans="1:61" ht="24" customHeight="1">
      <c r="A255" s="218" t="s">
        <v>2081</v>
      </c>
      <c r="B255" s="218" t="s">
        <v>2082</v>
      </c>
      <c r="C255" s="229">
        <v>3.02</v>
      </c>
      <c r="D255" s="213" t="s">
        <v>2055</v>
      </c>
      <c r="E255" s="217">
        <f>자재조서!E31</f>
        <v>0</v>
      </c>
      <c r="F255" s="217">
        <f t="shared" si="48"/>
        <v>0</v>
      </c>
      <c r="G255" s="217">
        <v>0</v>
      </c>
      <c r="H255" s="217"/>
      <c r="I255" s="217">
        <v>0</v>
      </c>
      <c r="J255" s="217"/>
      <c r="K255" s="217">
        <f t="shared" si="49"/>
        <v>0</v>
      </c>
      <c r="L255" s="217">
        <f t="shared" si="47"/>
        <v>0</v>
      </c>
      <c r="M255" s="215" t="s">
        <v>68</v>
      </c>
      <c r="N255" s="212" t="s">
        <v>68</v>
      </c>
      <c r="O255" s="212"/>
      <c r="P255" s="212" t="s">
        <v>1101</v>
      </c>
      <c r="Q255" s="212" t="s">
        <v>68</v>
      </c>
      <c r="R255" s="212" t="s">
        <v>2083</v>
      </c>
      <c r="S255" s="212"/>
      <c r="T255" s="212"/>
      <c r="U255" s="212"/>
      <c r="V255" s="212"/>
      <c r="W255" s="212"/>
      <c r="X255" s="212"/>
      <c r="Y255" s="212"/>
      <c r="Z255" s="212"/>
      <c r="AA255" s="212"/>
      <c r="AB255" s="212"/>
      <c r="AC255" s="212"/>
      <c r="AD255" s="212"/>
      <c r="AE255" s="212"/>
      <c r="AF255" s="212"/>
      <c r="AG255" s="212"/>
      <c r="AH255" s="212"/>
      <c r="AI255" s="212"/>
      <c r="AJ255" s="212"/>
      <c r="AK255" s="212"/>
      <c r="AL255" s="212"/>
      <c r="AM255" s="212"/>
      <c r="AN255" s="212"/>
      <c r="AO255" s="212"/>
      <c r="AP255" s="212"/>
      <c r="AQ255" s="212"/>
      <c r="AR255" s="212"/>
      <c r="AS255" s="212"/>
      <c r="AT255" s="212"/>
      <c r="AU255" s="212"/>
      <c r="AV255" s="212"/>
      <c r="AW255" s="212"/>
      <c r="AX255" s="212"/>
      <c r="AY255" s="212"/>
      <c r="AZ255" s="212"/>
      <c r="BA255" s="212"/>
      <c r="BB255" s="212"/>
      <c r="BC255" s="212"/>
      <c r="BD255" s="212"/>
      <c r="BE255" s="212"/>
      <c r="BF255" s="212"/>
      <c r="BG255" s="212"/>
      <c r="BH255" s="212"/>
      <c r="BI255" s="231" t="str">
        <f>HYPERLINK("#자재조서!A31","MJD07918 →")</f>
        <v>MJD07918 →</v>
      </c>
    </row>
    <row r="256" spans="1:61" ht="24" customHeight="1">
      <c r="A256" s="218" t="s">
        <v>2037</v>
      </c>
      <c r="B256" s="218" t="s">
        <v>1738</v>
      </c>
      <c r="C256" s="229">
        <v>3.02</v>
      </c>
      <c r="D256" s="213" t="s">
        <v>9</v>
      </c>
      <c r="E256" s="217">
        <f>일위목록!E62</f>
        <v>0</v>
      </c>
      <c r="F256" s="217">
        <f t="shared" si="48"/>
        <v>0</v>
      </c>
      <c r="G256" s="217">
        <f>일위목록!F62</f>
        <v>0</v>
      </c>
      <c r="H256" s="217">
        <f>TRUNC(G256*C256,0)</f>
        <v>0</v>
      </c>
      <c r="I256" s="217">
        <f>일위목록!G62</f>
        <v>0</v>
      </c>
      <c r="J256" s="217">
        <f>TRUNC(I256*C256,0)</f>
        <v>0</v>
      </c>
      <c r="K256" s="217">
        <f t="shared" si="49"/>
        <v>0</v>
      </c>
      <c r="L256" s="217">
        <f t="shared" si="47"/>
        <v>0</v>
      </c>
      <c r="M256" s="215" t="s">
        <v>68</v>
      </c>
      <c r="N256" s="212" t="s">
        <v>68</v>
      </c>
      <c r="O256" s="212"/>
      <c r="P256" s="212" t="s">
        <v>1104</v>
      </c>
      <c r="Q256" s="212" t="s">
        <v>68</v>
      </c>
      <c r="R256" s="212" t="s">
        <v>1740</v>
      </c>
      <c r="S256" s="212"/>
      <c r="T256" s="212" t="s">
        <v>1129</v>
      </c>
      <c r="U256" s="212"/>
      <c r="V256" s="212"/>
      <c r="W256" s="212"/>
      <c r="X256" s="212"/>
      <c r="Y256" s="212"/>
      <c r="Z256" s="212"/>
      <c r="AA256" s="212"/>
      <c r="AB256" s="212"/>
      <c r="AC256" s="212"/>
      <c r="AD256" s="212"/>
      <c r="AE256" s="212"/>
      <c r="AF256" s="212"/>
      <c r="AG256" s="212"/>
      <c r="AH256" s="212"/>
      <c r="AI256" s="212"/>
      <c r="AJ256" s="212"/>
      <c r="AK256" s="212"/>
      <c r="AL256" s="212"/>
      <c r="AM256" s="212"/>
      <c r="AN256" s="212"/>
      <c r="AO256" s="212"/>
      <c r="AP256" s="212"/>
      <c r="AQ256" s="212"/>
      <c r="AR256" s="212"/>
      <c r="AS256" s="212"/>
      <c r="AT256" s="212"/>
      <c r="AU256" s="212"/>
      <c r="AV256" s="212"/>
      <c r="AW256" s="212"/>
      <c r="AX256" s="212"/>
      <c r="AY256" s="212"/>
      <c r="AZ256" s="212"/>
      <c r="BA256" s="212"/>
      <c r="BB256" s="212"/>
      <c r="BC256" s="212"/>
      <c r="BD256" s="212"/>
      <c r="BE256" s="212"/>
      <c r="BF256" s="212"/>
      <c r="BG256" s="212"/>
      <c r="BH256" s="212"/>
      <c r="BI256" s="231" t="str">
        <f>HYPERLINK("#일위대가목록!A62","PP10-3-1/9 →")</f>
        <v>PP10-3-1/9 →</v>
      </c>
    </row>
    <row r="257" spans="1:61" ht="24" customHeight="1">
      <c r="A257" s="218" t="s">
        <v>2039</v>
      </c>
      <c r="B257" s="218" t="s">
        <v>1745</v>
      </c>
      <c r="C257" s="229">
        <v>27.28</v>
      </c>
      <c r="D257" s="213" t="s">
        <v>1033</v>
      </c>
      <c r="E257" s="217">
        <f>일위목록!E64</f>
        <v>0</v>
      </c>
      <c r="F257" s="217">
        <f t="shared" si="48"/>
        <v>0</v>
      </c>
      <c r="G257" s="217">
        <f>일위목록!F64</f>
        <v>0</v>
      </c>
      <c r="H257" s="217">
        <f>TRUNC(G257*C257,0)</f>
        <v>0</v>
      </c>
      <c r="I257" s="217">
        <f>일위목록!G64</f>
        <v>0</v>
      </c>
      <c r="J257" s="217">
        <f>TRUNC(I257*C257,0)</f>
        <v>0</v>
      </c>
      <c r="K257" s="217">
        <f t="shared" si="49"/>
        <v>0</v>
      </c>
      <c r="L257" s="217">
        <f t="shared" si="47"/>
        <v>0</v>
      </c>
      <c r="M257" s="215" t="s">
        <v>68</v>
      </c>
      <c r="N257" s="212" t="s">
        <v>68</v>
      </c>
      <c r="O257" s="212"/>
      <c r="P257" s="212" t="s">
        <v>1107</v>
      </c>
      <c r="Q257" s="212" t="s">
        <v>68</v>
      </c>
      <c r="R257" s="212" t="s">
        <v>1747</v>
      </c>
      <c r="S257" s="212"/>
      <c r="T257" s="212" t="s">
        <v>1129</v>
      </c>
      <c r="U257" s="212"/>
      <c r="V257" s="212"/>
      <c r="W257" s="212"/>
      <c r="X257" s="212"/>
      <c r="Y257" s="212"/>
      <c r="Z257" s="212"/>
      <c r="AA257" s="212"/>
      <c r="AB257" s="212"/>
      <c r="AC257" s="212"/>
      <c r="AD257" s="212"/>
      <c r="AE257" s="212"/>
      <c r="AF257" s="212"/>
      <c r="AG257" s="212"/>
      <c r="AH257" s="212"/>
      <c r="AI257" s="212"/>
      <c r="AJ257" s="212"/>
      <c r="AK257" s="212"/>
      <c r="AL257" s="212"/>
      <c r="AM257" s="212"/>
      <c r="AN257" s="212"/>
      <c r="AO257" s="212"/>
      <c r="AP257" s="212"/>
      <c r="AQ257" s="212"/>
      <c r="AR257" s="212"/>
      <c r="AS257" s="212"/>
      <c r="AT257" s="212"/>
      <c r="AU257" s="212"/>
      <c r="AV257" s="212"/>
      <c r="AW257" s="212"/>
      <c r="AX257" s="212"/>
      <c r="AY257" s="212"/>
      <c r="AZ257" s="212"/>
      <c r="BA257" s="212"/>
      <c r="BB257" s="212"/>
      <c r="BC257" s="212"/>
      <c r="BD257" s="212"/>
      <c r="BE257" s="212"/>
      <c r="BF257" s="212"/>
      <c r="BG257" s="212"/>
      <c r="BH257" s="212"/>
      <c r="BI257" s="231" t="str">
        <f>HYPERLINK("#일위대가목록!A64","PP10-4-3/1 →")</f>
        <v>PP10-4-3/1 →</v>
      </c>
    </row>
    <row r="258" spans="1:61" ht="24" customHeight="1">
      <c r="A258" s="218" t="s">
        <v>2084</v>
      </c>
      <c r="B258" s="218" t="s">
        <v>1718</v>
      </c>
      <c r="C258" s="228">
        <v>1</v>
      </c>
      <c r="D258" s="213" t="s">
        <v>378</v>
      </c>
      <c r="E258" s="217">
        <f>일위목록!E70</f>
        <v>0</v>
      </c>
      <c r="F258" s="217">
        <f t="shared" si="48"/>
        <v>0</v>
      </c>
      <c r="G258" s="217">
        <f>일위목록!F70</f>
        <v>0</v>
      </c>
      <c r="H258" s="217">
        <f>TRUNC(G258*C258,0)</f>
        <v>0</v>
      </c>
      <c r="I258" s="217">
        <f>일위목록!G70</f>
        <v>0</v>
      </c>
      <c r="J258" s="217">
        <f>TRUNC(I258*C258,0)</f>
        <v>0</v>
      </c>
      <c r="K258" s="217">
        <f t="shared" si="49"/>
        <v>0</v>
      </c>
      <c r="L258" s="217">
        <f t="shared" si="47"/>
        <v>0</v>
      </c>
      <c r="M258" s="215" t="s">
        <v>68</v>
      </c>
      <c r="N258" s="212" t="s">
        <v>68</v>
      </c>
      <c r="O258" s="212"/>
      <c r="P258" s="212" t="s">
        <v>1108</v>
      </c>
      <c r="Q258" s="212" t="s">
        <v>68</v>
      </c>
      <c r="R258" s="212" t="s">
        <v>1763</v>
      </c>
      <c r="S258" s="212"/>
      <c r="T258" s="212" t="s">
        <v>1129</v>
      </c>
      <c r="U258" s="212"/>
      <c r="V258" s="212"/>
      <c r="W258" s="212"/>
      <c r="X258" s="212"/>
      <c r="Y258" s="212"/>
      <c r="Z258" s="212"/>
      <c r="AA258" s="212"/>
      <c r="AB258" s="212"/>
      <c r="AC258" s="212"/>
      <c r="AD258" s="212"/>
      <c r="AE258" s="212"/>
      <c r="AF258" s="212"/>
      <c r="AG258" s="212"/>
      <c r="AH258" s="212"/>
      <c r="AI258" s="212"/>
      <c r="AJ258" s="212"/>
      <c r="AK258" s="212"/>
      <c r="AL258" s="212"/>
      <c r="AM258" s="212"/>
      <c r="AN258" s="212"/>
      <c r="AO258" s="212"/>
      <c r="AP258" s="212"/>
      <c r="AQ258" s="212"/>
      <c r="AR258" s="212"/>
      <c r="AS258" s="212"/>
      <c r="AT258" s="212"/>
      <c r="AU258" s="212"/>
      <c r="AV258" s="212"/>
      <c r="AW258" s="212"/>
      <c r="AX258" s="212"/>
      <c r="AY258" s="212"/>
      <c r="AZ258" s="212"/>
      <c r="BA258" s="212"/>
      <c r="BB258" s="212"/>
      <c r="BC258" s="212"/>
      <c r="BD258" s="212"/>
      <c r="BE258" s="212"/>
      <c r="BF258" s="212"/>
      <c r="BG258" s="212"/>
      <c r="BH258" s="212"/>
      <c r="BI258" s="231" t="str">
        <f>HYPERLINK("#일위대가목록!A70","PP10-1-2/1 →")</f>
        <v>PP10-1-2/1 →</v>
      </c>
    </row>
    <row r="259" spans="1:61" ht="24" customHeight="1">
      <c r="A259" s="218" t="s">
        <v>2059</v>
      </c>
      <c r="B259" s="218" t="s">
        <v>68</v>
      </c>
      <c r="C259" s="229">
        <v>9.25</v>
      </c>
      <c r="D259" s="213" t="s">
        <v>1033</v>
      </c>
      <c r="E259" s="217">
        <f>일위목록!E65</f>
        <v>0</v>
      </c>
      <c r="F259" s="217">
        <f t="shared" si="48"/>
        <v>0</v>
      </c>
      <c r="G259" s="217">
        <f>일위목록!F65</f>
        <v>0</v>
      </c>
      <c r="H259" s="217">
        <f>TRUNC(G259*C259,0)</f>
        <v>0</v>
      </c>
      <c r="I259" s="217">
        <f>일위목록!G65</f>
        <v>0</v>
      </c>
      <c r="J259" s="217">
        <f>TRUNC(I259*C259,0)</f>
        <v>0</v>
      </c>
      <c r="K259" s="217">
        <f t="shared" si="49"/>
        <v>0</v>
      </c>
      <c r="L259" s="217">
        <f t="shared" si="47"/>
        <v>0</v>
      </c>
      <c r="M259" s="215" t="s">
        <v>68</v>
      </c>
      <c r="N259" s="212" t="s">
        <v>68</v>
      </c>
      <c r="O259" s="212"/>
      <c r="P259" s="212" t="s">
        <v>1109</v>
      </c>
      <c r="Q259" s="212" t="s">
        <v>68</v>
      </c>
      <c r="R259" s="212" t="s">
        <v>1750</v>
      </c>
      <c r="S259" s="212"/>
      <c r="T259" s="212" t="s">
        <v>1129</v>
      </c>
      <c r="U259" s="212"/>
      <c r="V259" s="212"/>
      <c r="W259" s="212"/>
      <c r="X259" s="212"/>
      <c r="Y259" s="212"/>
      <c r="Z259" s="212"/>
      <c r="AA259" s="212"/>
      <c r="AB259" s="212"/>
      <c r="AC259" s="212"/>
      <c r="AD259" s="212"/>
      <c r="AE259" s="212"/>
      <c r="AF259" s="212"/>
      <c r="AG259" s="212"/>
      <c r="AH259" s="212"/>
      <c r="AI259" s="212"/>
      <c r="AJ259" s="212"/>
      <c r="AK259" s="212"/>
      <c r="AL259" s="212"/>
      <c r="AM259" s="212"/>
      <c r="AN259" s="212"/>
      <c r="AO259" s="212"/>
      <c r="AP259" s="212"/>
      <c r="AQ259" s="212"/>
      <c r="AR259" s="212"/>
      <c r="AS259" s="212"/>
      <c r="AT259" s="212"/>
      <c r="AU259" s="212"/>
      <c r="AV259" s="212"/>
      <c r="AW259" s="212"/>
      <c r="AX259" s="212"/>
      <c r="AY259" s="212"/>
      <c r="AZ259" s="212"/>
      <c r="BA259" s="212"/>
      <c r="BB259" s="212"/>
      <c r="BC259" s="212"/>
      <c r="BD259" s="212"/>
      <c r="BE259" s="212"/>
      <c r="BF259" s="212"/>
      <c r="BG259" s="212"/>
      <c r="BH259" s="212"/>
      <c r="BI259" s="231" t="str">
        <f>HYPERLINK("#일위대가목록!A65","P9-3-1/1 →")</f>
        <v>P9-3-1/1 →</v>
      </c>
    </row>
    <row r="260" spans="1:61" ht="24" customHeight="1">
      <c r="A260" s="218" t="s">
        <v>2092</v>
      </c>
      <c r="B260" s="218" t="s">
        <v>2093</v>
      </c>
      <c r="C260" s="228">
        <v>2</v>
      </c>
      <c r="D260" s="213" t="s">
        <v>437</v>
      </c>
      <c r="E260" s="217">
        <f>자재조서!E108</f>
        <v>0</v>
      </c>
      <c r="F260" s="217">
        <f t="shared" si="48"/>
        <v>0</v>
      </c>
      <c r="G260" s="217">
        <v>0</v>
      </c>
      <c r="H260" s="217"/>
      <c r="I260" s="217">
        <v>0</v>
      </c>
      <c r="J260" s="217"/>
      <c r="K260" s="217">
        <f t="shared" si="49"/>
        <v>0</v>
      </c>
      <c r="L260" s="217">
        <f t="shared" si="47"/>
        <v>0</v>
      </c>
      <c r="M260" s="215" t="s">
        <v>68</v>
      </c>
      <c r="N260" s="212" t="s">
        <v>68</v>
      </c>
      <c r="O260" s="212"/>
      <c r="P260" s="212" t="s">
        <v>1110</v>
      </c>
      <c r="Q260" s="212" t="s">
        <v>68</v>
      </c>
      <c r="R260" s="212" t="s">
        <v>2094</v>
      </c>
      <c r="S260" s="212"/>
      <c r="T260" s="212"/>
      <c r="U260" s="212"/>
      <c r="V260" s="212"/>
      <c r="W260" s="212"/>
      <c r="X260" s="212"/>
      <c r="Y260" s="212"/>
      <c r="Z260" s="212"/>
      <c r="AA260" s="212"/>
      <c r="AB260" s="212"/>
      <c r="AC260" s="212"/>
      <c r="AD260" s="212"/>
      <c r="AE260" s="212"/>
      <c r="AF260" s="212"/>
      <c r="AG260" s="212"/>
      <c r="AH260" s="212"/>
      <c r="AI260" s="212"/>
      <c r="AJ260" s="212"/>
      <c r="AK260" s="212"/>
      <c r="AL260" s="212"/>
      <c r="AM260" s="212"/>
      <c r="AN260" s="212"/>
      <c r="AO260" s="212"/>
      <c r="AP260" s="212"/>
      <c r="AQ260" s="212"/>
      <c r="AR260" s="212"/>
      <c r="AS260" s="212"/>
      <c r="AT260" s="212"/>
      <c r="AU260" s="212"/>
      <c r="AV260" s="212"/>
      <c r="AW260" s="212"/>
      <c r="AX260" s="212"/>
      <c r="AY260" s="212"/>
      <c r="AZ260" s="212"/>
      <c r="BA260" s="212"/>
      <c r="BB260" s="212"/>
      <c r="BC260" s="212"/>
      <c r="BD260" s="212"/>
      <c r="BE260" s="212"/>
      <c r="BF260" s="212"/>
      <c r="BG260" s="212"/>
      <c r="BH260" s="212"/>
      <c r="BI260" s="231" t="str">
        <f>HYPERLINK("#자재조서!A108","MZZ9000064 →")</f>
        <v>MZZ9000064 →</v>
      </c>
    </row>
    <row r="261" spans="1:61" ht="24" customHeight="1">
      <c r="A261" s="218" t="s">
        <v>2095</v>
      </c>
      <c r="B261" s="218" t="s">
        <v>1769</v>
      </c>
      <c r="C261" s="228">
        <v>2</v>
      </c>
      <c r="D261" s="213" t="s">
        <v>378</v>
      </c>
      <c r="E261" s="217">
        <f>일위목록!E73</f>
        <v>0</v>
      </c>
      <c r="F261" s="217">
        <f t="shared" si="48"/>
        <v>0</v>
      </c>
      <c r="G261" s="217">
        <f>일위목록!F73</f>
        <v>0</v>
      </c>
      <c r="H261" s="217">
        <f>TRUNC(G261*C261,0)</f>
        <v>0</v>
      </c>
      <c r="I261" s="217">
        <f>일위목록!G73</f>
        <v>0</v>
      </c>
      <c r="J261" s="217">
        <f>TRUNC(I261*C261,0)</f>
        <v>0</v>
      </c>
      <c r="K261" s="217">
        <f t="shared" si="49"/>
        <v>0</v>
      </c>
      <c r="L261" s="217">
        <f t="shared" si="47"/>
        <v>0</v>
      </c>
      <c r="M261" s="215" t="s">
        <v>68</v>
      </c>
      <c r="N261" s="212" t="s">
        <v>68</v>
      </c>
      <c r="O261" s="212"/>
      <c r="P261" s="212" t="s">
        <v>1111</v>
      </c>
      <c r="Q261" s="212" t="s">
        <v>68</v>
      </c>
      <c r="R261" s="212" t="s">
        <v>1771</v>
      </c>
      <c r="S261" s="212"/>
      <c r="T261" s="212" t="s">
        <v>1129</v>
      </c>
      <c r="U261" s="212"/>
      <c r="V261" s="212"/>
      <c r="W261" s="212"/>
      <c r="X261" s="212"/>
      <c r="Y261" s="212"/>
      <c r="Z261" s="212"/>
      <c r="AA261" s="212"/>
      <c r="AB261" s="212"/>
      <c r="AC261" s="212"/>
      <c r="AD261" s="212"/>
      <c r="AE261" s="212"/>
      <c r="AF261" s="212"/>
      <c r="AG261" s="212"/>
      <c r="AH261" s="212"/>
      <c r="AI261" s="212"/>
      <c r="AJ261" s="212"/>
      <c r="AK261" s="212"/>
      <c r="AL261" s="212"/>
      <c r="AM261" s="212"/>
      <c r="AN261" s="212"/>
      <c r="AO261" s="212"/>
      <c r="AP261" s="212"/>
      <c r="AQ261" s="212"/>
      <c r="AR261" s="212"/>
      <c r="AS261" s="212"/>
      <c r="AT261" s="212"/>
      <c r="AU261" s="212"/>
      <c r="AV261" s="212"/>
      <c r="AW261" s="212"/>
      <c r="AX261" s="212"/>
      <c r="AY261" s="212"/>
      <c r="AZ261" s="212"/>
      <c r="BA261" s="212"/>
      <c r="BB261" s="212"/>
      <c r="BC261" s="212"/>
      <c r="BD261" s="212"/>
      <c r="BE261" s="212"/>
      <c r="BF261" s="212"/>
      <c r="BG261" s="212"/>
      <c r="BH261" s="212"/>
      <c r="BI261" s="231" t="str">
        <f>HYPERLINK("#일위대가목록!A73","PP10-2-3/2 →")</f>
        <v>PP10-2-3/2 →</v>
      </c>
    </row>
    <row r="262" spans="1:61" ht="24" customHeight="1">
      <c r="A262" s="218" t="s">
        <v>2096</v>
      </c>
      <c r="B262" s="218" t="s">
        <v>2097</v>
      </c>
      <c r="C262" s="228">
        <v>1</v>
      </c>
      <c r="D262" s="213" t="s">
        <v>437</v>
      </c>
      <c r="E262" s="217">
        <f>자재조서!E118</f>
        <v>0</v>
      </c>
      <c r="F262" s="217">
        <f t="shared" si="48"/>
        <v>0</v>
      </c>
      <c r="G262" s="217">
        <v>0</v>
      </c>
      <c r="H262" s="217"/>
      <c r="I262" s="217">
        <v>0</v>
      </c>
      <c r="J262" s="217"/>
      <c r="K262" s="217">
        <f t="shared" si="49"/>
        <v>0</v>
      </c>
      <c r="L262" s="217">
        <f t="shared" si="47"/>
        <v>0</v>
      </c>
      <c r="M262" s="215" t="s">
        <v>68</v>
      </c>
      <c r="N262" s="212" t="s">
        <v>68</v>
      </c>
      <c r="O262" s="212"/>
      <c r="P262" s="212" t="s">
        <v>1112</v>
      </c>
      <c r="Q262" s="212" t="s">
        <v>68</v>
      </c>
      <c r="R262" s="212" t="s">
        <v>2098</v>
      </c>
      <c r="S262" s="212"/>
      <c r="T262" s="212"/>
      <c r="U262" s="212"/>
      <c r="V262" s="212"/>
      <c r="W262" s="212"/>
      <c r="X262" s="212"/>
      <c r="Y262" s="212"/>
      <c r="Z262" s="212"/>
      <c r="AA262" s="212"/>
      <c r="AB262" s="212"/>
      <c r="AC262" s="212"/>
      <c r="AD262" s="212"/>
      <c r="AE262" s="212"/>
      <c r="AF262" s="212"/>
      <c r="AG262" s="212"/>
      <c r="AH262" s="212"/>
      <c r="AI262" s="212"/>
      <c r="AJ262" s="212"/>
      <c r="AK262" s="212"/>
      <c r="AL262" s="212"/>
      <c r="AM262" s="212"/>
      <c r="AN262" s="212"/>
      <c r="AO262" s="212"/>
      <c r="AP262" s="212"/>
      <c r="AQ262" s="212"/>
      <c r="AR262" s="212"/>
      <c r="AS262" s="212"/>
      <c r="AT262" s="212"/>
      <c r="AU262" s="212"/>
      <c r="AV262" s="212"/>
      <c r="AW262" s="212"/>
      <c r="AX262" s="212"/>
      <c r="AY262" s="212"/>
      <c r="AZ262" s="212"/>
      <c r="BA262" s="212"/>
      <c r="BB262" s="212"/>
      <c r="BC262" s="212"/>
      <c r="BD262" s="212"/>
      <c r="BE262" s="212"/>
      <c r="BF262" s="212"/>
      <c r="BG262" s="212"/>
      <c r="BH262" s="212"/>
      <c r="BI262" s="231" t="str">
        <f>HYPERLINK("#자재조서!A118","MZZ9000075 →")</f>
        <v>MZZ9000075 →</v>
      </c>
    </row>
    <row r="263" spans="1:61" ht="24" customHeight="1">
      <c r="A263" s="218" t="s">
        <v>2099</v>
      </c>
      <c r="B263" s="218" t="s">
        <v>68</v>
      </c>
      <c r="C263" s="228">
        <v>1</v>
      </c>
      <c r="D263" s="213" t="s">
        <v>378</v>
      </c>
      <c r="E263" s="217">
        <f>일위목록!E74</f>
        <v>0</v>
      </c>
      <c r="F263" s="217">
        <f t="shared" si="48"/>
        <v>0</v>
      </c>
      <c r="G263" s="217">
        <f>일위목록!F74</f>
        <v>0</v>
      </c>
      <c r="H263" s="217">
        <f>TRUNC(G263*C263,0)</f>
        <v>0</v>
      </c>
      <c r="I263" s="217">
        <f>일위목록!G74</f>
        <v>0</v>
      </c>
      <c r="J263" s="217">
        <f>TRUNC(I263*C263,0)</f>
        <v>0</v>
      </c>
      <c r="K263" s="217">
        <f t="shared" si="49"/>
        <v>0</v>
      </c>
      <c r="L263" s="217">
        <f t="shared" si="47"/>
        <v>0</v>
      </c>
      <c r="M263" s="215" t="s">
        <v>68</v>
      </c>
      <c r="N263" s="212" t="s">
        <v>68</v>
      </c>
      <c r="O263" s="212"/>
      <c r="P263" s="212" t="s">
        <v>1113</v>
      </c>
      <c r="Q263" s="212" t="s">
        <v>68</v>
      </c>
      <c r="R263" s="212" t="s">
        <v>1774</v>
      </c>
      <c r="S263" s="212"/>
      <c r="T263" s="212" t="s">
        <v>1129</v>
      </c>
      <c r="U263" s="212"/>
      <c r="V263" s="212"/>
      <c r="W263" s="212"/>
      <c r="X263" s="212"/>
      <c r="Y263" s="212"/>
      <c r="Z263" s="212"/>
      <c r="AA263" s="212"/>
      <c r="AB263" s="212"/>
      <c r="AC263" s="212"/>
      <c r="AD263" s="212"/>
      <c r="AE263" s="212"/>
      <c r="AF263" s="212"/>
      <c r="AG263" s="212"/>
      <c r="AH263" s="212"/>
      <c r="AI263" s="212"/>
      <c r="AJ263" s="212"/>
      <c r="AK263" s="212"/>
      <c r="AL263" s="212"/>
      <c r="AM263" s="212"/>
      <c r="AN263" s="212"/>
      <c r="AO263" s="212"/>
      <c r="AP263" s="212"/>
      <c r="AQ263" s="212"/>
      <c r="AR263" s="212"/>
      <c r="AS263" s="212"/>
      <c r="AT263" s="212"/>
      <c r="AU263" s="212"/>
      <c r="AV263" s="212"/>
      <c r="AW263" s="212"/>
      <c r="AX263" s="212"/>
      <c r="AY263" s="212"/>
      <c r="AZ263" s="212"/>
      <c r="BA263" s="212"/>
      <c r="BB263" s="212"/>
      <c r="BC263" s="212"/>
      <c r="BD263" s="212"/>
      <c r="BE263" s="212"/>
      <c r="BF263" s="212"/>
      <c r="BG263" s="212"/>
      <c r="BH263" s="212"/>
      <c r="BI263" s="231" t="str">
        <f>HYPERLINK("#일위대가목록!A74","PP10-2-2/1 →")</f>
        <v>PP10-2-2/1 →</v>
      </c>
    </row>
    <row r="264" spans="1:61" ht="24" customHeight="1">
      <c r="A264" s="215"/>
      <c r="B264" s="215"/>
      <c r="C264" s="229"/>
      <c r="D264" s="213"/>
      <c r="E264" s="213"/>
      <c r="F264" s="213"/>
      <c r="G264" s="213"/>
      <c r="H264" s="213"/>
      <c r="I264" s="213"/>
      <c r="J264" s="213"/>
      <c r="K264" s="213"/>
      <c r="L264" s="213"/>
      <c r="M264" s="215"/>
      <c r="N264" s="212"/>
      <c r="O264" s="212"/>
      <c r="P264" s="212"/>
      <c r="Q264" s="212"/>
      <c r="R264" s="212"/>
      <c r="S264" s="212"/>
      <c r="T264" s="212"/>
      <c r="U264" s="212"/>
      <c r="V264" s="212"/>
      <c r="W264" s="212"/>
      <c r="X264" s="212"/>
      <c r="Y264" s="212"/>
      <c r="Z264" s="212"/>
      <c r="AA264" s="212"/>
      <c r="AB264" s="212"/>
      <c r="AC264" s="212"/>
      <c r="AD264" s="212"/>
      <c r="AE264" s="212"/>
      <c r="AF264" s="212"/>
      <c r="AG264" s="212"/>
      <c r="AH264" s="212"/>
      <c r="AI264" s="212"/>
      <c r="AJ264" s="212"/>
      <c r="AK264" s="212"/>
      <c r="AL264" s="212"/>
      <c r="AM264" s="212"/>
      <c r="AN264" s="212"/>
      <c r="AO264" s="212"/>
      <c r="AP264" s="212"/>
      <c r="AQ264" s="212"/>
      <c r="AR264" s="212"/>
      <c r="AS264" s="212"/>
      <c r="AT264" s="212"/>
      <c r="AU264" s="212"/>
      <c r="AV264" s="212"/>
      <c r="AW264" s="212"/>
      <c r="AX264" s="212"/>
      <c r="AY264" s="212"/>
      <c r="AZ264" s="212"/>
      <c r="BA264" s="212"/>
      <c r="BB264" s="212"/>
      <c r="BC264" s="212"/>
      <c r="BD264" s="212"/>
      <c r="BE264" s="212"/>
      <c r="BF264" s="212"/>
      <c r="BG264" s="212"/>
      <c r="BH264" s="212"/>
      <c r="BI264" s="212"/>
    </row>
    <row r="265" spans="1:61" ht="24" customHeight="1">
      <c r="A265" s="218" t="s">
        <v>2101</v>
      </c>
      <c r="B265" s="218" t="s">
        <v>1223</v>
      </c>
      <c r="C265" s="228">
        <v>1</v>
      </c>
      <c r="D265" s="213" t="s">
        <v>437</v>
      </c>
      <c r="E265" s="212"/>
      <c r="F265" s="217">
        <f>TRUNC(F266+F267,0)</f>
        <v>0</v>
      </c>
      <c r="G265" s="212"/>
      <c r="H265" s="217">
        <f>TRUNC(H266+H267,0)</f>
        <v>0</v>
      </c>
      <c r="I265" s="212"/>
      <c r="J265" s="217">
        <f>TRUNC(J266+J267,0)</f>
        <v>0</v>
      </c>
      <c r="K265" s="212"/>
      <c r="L265" s="217">
        <f>F265+H265+J265</f>
        <v>0</v>
      </c>
      <c r="M265" s="215" t="s">
        <v>68</v>
      </c>
      <c r="N265" s="212" t="s">
        <v>68</v>
      </c>
      <c r="O265" s="212" t="s">
        <v>1224</v>
      </c>
      <c r="P265" s="212"/>
      <c r="Q265" s="212"/>
      <c r="R265" s="212"/>
      <c r="S265" s="212"/>
      <c r="T265" s="212"/>
      <c r="U265" s="212"/>
      <c r="V265" s="212"/>
      <c r="W265" s="212"/>
      <c r="X265" s="212"/>
      <c r="Y265" s="212"/>
      <c r="Z265" s="212"/>
      <c r="AA265" s="212"/>
      <c r="AB265" s="212"/>
      <c r="AC265" s="212"/>
      <c r="AD265" s="212"/>
      <c r="AE265" s="212"/>
      <c r="AF265" s="212"/>
      <c r="AG265" s="212"/>
      <c r="AH265" s="212"/>
      <c r="AI265" s="212"/>
      <c r="AJ265" s="212"/>
      <c r="AK265" s="212"/>
      <c r="AL265" s="212"/>
      <c r="AM265" s="212"/>
      <c r="AN265" s="212"/>
      <c r="AO265" s="212"/>
      <c r="AP265" s="212"/>
      <c r="AQ265" s="212"/>
      <c r="AR265" s="212"/>
      <c r="AS265" s="212"/>
      <c r="AT265" s="212"/>
      <c r="AU265" s="212"/>
      <c r="AV265" s="212"/>
      <c r="AW265" s="212"/>
      <c r="AX265" s="212"/>
      <c r="AY265" s="212"/>
      <c r="AZ265" s="212"/>
      <c r="BA265" s="212"/>
      <c r="BB265" s="212"/>
      <c r="BC265" s="212"/>
      <c r="BD265" s="212"/>
      <c r="BE265" s="212"/>
      <c r="BF265" s="212"/>
      <c r="BG265" s="212"/>
      <c r="BH265" s="212"/>
      <c r="BI265" s="212"/>
    </row>
    <row r="266" spans="1:61" ht="24" customHeight="1">
      <c r="A266" s="218" t="s">
        <v>2102</v>
      </c>
      <c r="B266" s="218" t="s">
        <v>1223</v>
      </c>
      <c r="C266" s="228">
        <v>1</v>
      </c>
      <c r="D266" s="213" t="s">
        <v>437</v>
      </c>
      <c r="E266" s="217">
        <f>자재!D120</f>
        <v>0</v>
      </c>
      <c r="F266" s="217">
        <f>TRUNC(E266*C266,0)</f>
        <v>0</v>
      </c>
      <c r="G266" s="217">
        <v>0</v>
      </c>
      <c r="H266" s="217"/>
      <c r="I266" s="217">
        <v>0</v>
      </c>
      <c r="J266" s="217"/>
      <c r="K266" s="217">
        <f>E266+G266+I266</f>
        <v>0</v>
      </c>
      <c r="L266" s="217">
        <f>F266+H266+J266</f>
        <v>0</v>
      </c>
      <c r="M266" s="215" t="s">
        <v>68</v>
      </c>
      <c r="N266" s="212" t="s">
        <v>68</v>
      </c>
      <c r="O266" s="212"/>
      <c r="P266" s="212" t="s">
        <v>1095</v>
      </c>
      <c r="Q266" s="212" t="s">
        <v>68</v>
      </c>
      <c r="R266" s="212" t="s">
        <v>2103</v>
      </c>
      <c r="S266" s="212"/>
      <c r="T266" s="212"/>
      <c r="U266" s="212"/>
      <c r="V266" s="212"/>
      <c r="W266" s="212"/>
      <c r="X266" s="212"/>
      <c r="Y266" s="212"/>
      <c r="Z266" s="212"/>
      <c r="AA266" s="212"/>
      <c r="AB266" s="212"/>
      <c r="AC266" s="212"/>
      <c r="AD266" s="212"/>
      <c r="AE266" s="212"/>
      <c r="AF266" s="212"/>
      <c r="AG266" s="212"/>
      <c r="AH266" s="212"/>
      <c r="AI266" s="212"/>
      <c r="AJ266" s="212"/>
      <c r="AK266" s="212"/>
      <c r="AL266" s="212"/>
      <c r="AM266" s="212"/>
      <c r="AN266" s="212"/>
      <c r="AO266" s="212"/>
      <c r="AP266" s="212"/>
      <c r="AQ266" s="212"/>
      <c r="AR266" s="212"/>
      <c r="AS266" s="212"/>
      <c r="AT266" s="212"/>
      <c r="AU266" s="212"/>
      <c r="AV266" s="212"/>
      <c r="AW266" s="212"/>
      <c r="AX266" s="212"/>
      <c r="AY266" s="212"/>
      <c r="AZ266" s="212"/>
      <c r="BA266" s="212"/>
      <c r="BB266" s="212"/>
      <c r="BC266" s="212"/>
      <c r="BD266" s="212"/>
      <c r="BE266" s="212"/>
      <c r="BF266" s="212"/>
      <c r="BG266" s="212"/>
      <c r="BH266" s="212"/>
      <c r="BI266" s="231" t="str">
        <f>HYPERLINK("#자재!A120","MZZ9000083 →")</f>
        <v>MZZ9000083 →</v>
      </c>
    </row>
    <row r="267" spans="1:61" ht="24" customHeight="1">
      <c r="A267" s="218" t="s">
        <v>2038</v>
      </c>
      <c r="B267" s="218" t="s">
        <v>1523</v>
      </c>
      <c r="C267" s="228">
        <v>1</v>
      </c>
      <c r="D267" s="213" t="s">
        <v>378</v>
      </c>
      <c r="E267" s="217">
        <f>일위목록!E75</f>
        <v>0</v>
      </c>
      <c r="F267" s="217">
        <f>TRUNC(E267*C267,0)</f>
        <v>0</v>
      </c>
      <c r="G267" s="217">
        <f>일위목록!F75</f>
        <v>0</v>
      </c>
      <c r="H267" s="217">
        <f>TRUNC(G267*C267,0)</f>
        <v>0</v>
      </c>
      <c r="I267" s="217">
        <f>일위목록!G75</f>
        <v>0</v>
      </c>
      <c r="J267" s="217">
        <f>TRUNC(I267*C267,0)</f>
        <v>0</v>
      </c>
      <c r="K267" s="217">
        <f>E267+G267+I267</f>
        <v>0</v>
      </c>
      <c r="L267" s="217">
        <f>F267+H267+J267</f>
        <v>0</v>
      </c>
      <c r="M267" s="215" t="s">
        <v>1682</v>
      </c>
      <c r="N267" s="212" t="s">
        <v>68</v>
      </c>
      <c r="O267" s="212"/>
      <c r="P267" s="212" t="s">
        <v>1098</v>
      </c>
      <c r="Q267" s="212" t="s">
        <v>68</v>
      </c>
      <c r="R267" s="212" t="s">
        <v>1776</v>
      </c>
      <c r="S267" s="212"/>
      <c r="T267" s="212" t="s">
        <v>1129</v>
      </c>
      <c r="U267" s="212"/>
      <c r="V267" s="212"/>
      <c r="W267" s="212"/>
      <c r="X267" s="212"/>
      <c r="Y267" s="212"/>
      <c r="Z267" s="212"/>
      <c r="AA267" s="212"/>
      <c r="AB267" s="212"/>
      <c r="AC267" s="212"/>
      <c r="AD267" s="212"/>
      <c r="AE267" s="212"/>
      <c r="AF267" s="212"/>
      <c r="AG267" s="212"/>
      <c r="AH267" s="212"/>
      <c r="AI267" s="212"/>
      <c r="AJ267" s="212"/>
      <c r="AK267" s="212"/>
      <c r="AL267" s="212"/>
      <c r="AM267" s="212"/>
      <c r="AN267" s="212"/>
      <c r="AO267" s="212"/>
      <c r="AP267" s="212"/>
      <c r="AQ267" s="212"/>
      <c r="AR267" s="212"/>
      <c r="AS267" s="212"/>
      <c r="AT267" s="212"/>
      <c r="AU267" s="212"/>
      <c r="AV267" s="212"/>
      <c r="AW267" s="212"/>
      <c r="AX267" s="212"/>
      <c r="AY267" s="212"/>
      <c r="AZ267" s="212"/>
      <c r="BA267" s="212"/>
      <c r="BB267" s="212"/>
      <c r="BC267" s="212"/>
      <c r="BD267" s="212"/>
      <c r="BE267" s="212"/>
      <c r="BF267" s="212"/>
      <c r="BG267" s="212"/>
      <c r="BH267" s="212"/>
      <c r="BI267" s="231" t="str">
        <f>HYPERLINK("#일위대가목록!A75","PP10-1-1/2 →")</f>
        <v>PP10-1-1/2 →</v>
      </c>
    </row>
    <row r="268" spans="1:61" ht="24" customHeight="1">
      <c r="A268" s="215"/>
      <c r="B268" s="215"/>
      <c r="C268" s="229"/>
      <c r="D268" s="213"/>
      <c r="E268" s="213"/>
      <c r="F268" s="213"/>
      <c r="G268" s="213"/>
      <c r="H268" s="213"/>
      <c r="I268" s="213"/>
      <c r="J268" s="213"/>
      <c r="K268" s="213"/>
      <c r="L268" s="213"/>
      <c r="M268" s="215"/>
      <c r="N268" s="212"/>
      <c r="O268" s="212"/>
      <c r="P268" s="212"/>
      <c r="Q268" s="212"/>
      <c r="R268" s="212"/>
      <c r="S268" s="212"/>
      <c r="T268" s="212"/>
      <c r="U268" s="212"/>
      <c r="V268" s="212"/>
      <c r="W268" s="212"/>
      <c r="X268" s="212"/>
      <c r="Y268" s="212"/>
      <c r="Z268" s="212"/>
      <c r="AA268" s="212"/>
      <c r="AB268" s="212"/>
      <c r="AC268" s="212"/>
      <c r="AD268" s="212"/>
      <c r="AE268" s="212"/>
      <c r="AF268" s="212"/>
      <c r="AG268" s="212"/>
      <c r="AH268" s="212"/>
      <c r="AI268" s="212"/>
      <c r="AJ268" s="212"/>
      <c r="AK268" s="212"/>
      <c r="AL268" s="212"/>
      <c r="AM268" s="212"/>
      <c r="AN268" s="212"/>
      <c r="AO268" s="212"/>
      <c r="AP268" s="212"/>
      <c r="AQ268" s="212"/>
      <c r="AR268" s="212"/>
      <c r="AS268" s="212"/>
      <c r="AT268" s="212"/>
      <c r="AU268" s="212"/>
      <c r="AV268" s="212"/>
      <c r="AW268" s="212"/>
      <c r="AX268" s="212"/>
      <c r="AY268" s="212"/>
      <c r="AZ268" s="212"/>
      <c r="BA268" s="212"/>
      <c r="BB268" s="212"/>
      <c r="BC268" s="212"/>
      <c r="BD268" s="212"/>
      <c r="BE268" s="212"/>
      <c r="BF268" s="212"/>
      <c r="BG268" s="212"/>
      <c r="BH268" s="212"/>
      <c r="BI268" s="212"/>
    </row>
    <row r="269" spans="1:61" ht="24" customHeight="1">
      <c r="A269" s="218" t="s">
        <v>2104</v>
      </c>
      <c r="B269" s="218" t="s">
        <v>1235</v>
      </c>
      <c r="C269" s="228">
        <v>1</v>
      </c>
      <c r="D269" s="213" t="s">
        <v>16</v>
      </c>
      <c r="E269" s="212"/>
      <c r="F269" s="217">
        <f>TRUNC(F270,0)</f>
        <v>0</v>
      </c>
      <c r="G269" s="212"/>
      <c r="H269" s="217">
        <f>TRUNC(H270,0)</f>
        <v>0</v>
      </c>
      <c r="I269" s="212"/>
      <c r="J269" s="217">
        <f>TRUNC(J270,0)</f>
        <v>16450</v>
      </c>
      <c r="K269" s="212"/>
      <c r="L269" s="217">
        <f>F269+H269+J269</f>
        <v>16450</v>
      </c>
      <c r="M269" s="215" t="s">
        <v>68</v>
      </c>
      <c r="N269" s="212" t="s">
        <v>68</v>
      </c>
      <c r="O269" s="212" t="s">
        <v>1236</v>
      </c>
      <c r="P269" s="212"/>
      <c r="Q269" s="212"/>
      <c r="R269" s="212"/>
      <c r="S269" s="212"/>
      <c r="T269" s="212"/>
      <c r="U269" s="212"/>
      <c r="V269" s="212"/>
      <c r="W269" s="212"/>
      <c r="X269" s="212"/>
      <c r="Y269" s="212"/>
      <c r="Z269" s="212"/>
      <c r="AA269" s="212"/>
      <c r="AB269" s="212"/>
      <c r="AC269" s="212"/>
      <c r="AD269" s="212"/>
      <c r="AE269" s="212"/>
      <c r="AF269" s="212"/>
      <c r="AG269" s="212"/>
      <c r="AH269" s="212"/>
      <c r="AI269" s="212"/>
      <c r="AJ269" s="212"/>
      <c r="AK269" s="212"/>
      <c r="AL269" s="212"/>
      <c r="AM269" s="212"/>
      <c r="AN269" s="212"/>
      <c r="AO269" s="212"/>
      <c r="AP269" s="212"/>
      <c r="AQ269" s="212"/>
      <c r="AR269" s="212"/>
      <c r="AS269" s="212"/>
      <c r="AT269" s="212"/>
      <c r="AU269" s="212"/>
      <c r="AV269" s="212"/>
      <c r="AW269" s="212"/>
      <c r="AX269" s="212"/>
      <c r="AY269" s="212"/>
      <c r="AZ269" s="212"/>
      <c r="BA269" s="212"/>
      <c r="BB269" s="212"/>
      <c r="BC269" s="212"/>
      <c r="BD269" s="212"/>
      <c r="BE269" s="212"/>
      <c r="BF269" s="212"/>
      <c r="BG269" s="212"/>
      <c r="BH269" s="212"/>
      <c r="BI269" s="212"/>
    </row>
    <row r="270" spans="1:61" ht="24" customHeight="1">
      <c r="A270" s="218" t="s">
        <v>1234</v>
      </c>
      <c r="B270" s="218" t="s">
        <v>1235</v>
      </c>
      <c r="C270" s="228">
        <v>1</v>
      </c>
      <c r="D270" s="213" t="s">
        <v>16</v>
      </c>
      <c r="E270" s="217">
        <f>TRUNC(X270,0)</f>
        <v>0</v>
      </c>
      <c r="F270" s="217">
        <f>TRUNC(E270*C270,0)</f>
        <v>0</v>
      </c>
      <c r="G270" s="217">
        <f>TRUNC(W270,0)</f>
        <v>0</v>
      </c>
      <c r="H270" s="217">
        <f>TRUNC(G270*C270,0)</f>
        <v>0</v>
      </c>
      <c r="I270" s="217">
        <f>TRUNC(V270,0)</f>
        <v>16450</v>
      </c>
      <c r="J270" s="217">
        <f>TRUNC(I270*C270,0)</f>
        <v>16450</v>
      </c>
      <c r="K270" s="217">
        <f>E270+G270+I270</f>
        <v>16450</v>
      </c>
      <c r="L270" s="217">
        <f>F270+H270+J270</f>
        <v>16450</v>
      </c>
      <c r="M270" s="215" t="s">
        <v>68</v>
      </c>
      <c r="N270" s="212" t="s">
        <v>68</v>
      </c>
      <c r="O270" s="212"/>
      <c r="P270" s="212" t="s">
        <v>1095</v>
      </c>
      <c r="Q270" s="212" t="s">
        <v>68</v>
      </c>
      <c r="R270" s="212" t="s">
        <v>2015</v>
      </c>
      <c r="S270" s="212"/>
      <c r="T270" s="212"/>
      <c r="U270" s="212"/>
      <c r="V270" s="212">
        <v>16450</v>
      </c>
      <c r="W270" s="212">
        <v>0</v>
      </c>
      <c r="X270" s="212">
        <v>0</v>
      </c>
      <c r="Y270" s="212"/>
      <c r="Z270" s="212"/>
      <c r="AA270" s="212"/>
      <c r="AB270" s="212"/>
      <c r="AC270" s="212"/>
      <c r="AD270" s="212"/>
      <c r="AE270" s="212"/>
      <c r="AF270" s="212"/>
      <c r="AG270" s="212"/>
      <c r="AH270" s="212"/>
      <c r="AI270" s="212"/>
      <c r="AJ270" s="212"/>
      <c r="AK270" s="212"/>
      <c r="AL270" s="212"/>
      <c r="AM270" s="212"/>
      <c r="AN270" s="212"/>
      <c r="AO270" s="212"/>
      <c r="AP270" s="212"/>
      <c r="AQ270" s="212"/>
      <c r="AR270" s="212"/>
      <c r="AS270" s="212"/>
      <c r="AT270" s="212"/>
      <c r="AU270" s="212"/>
      <c r="AV270" s="212"/>
      <c r="AW270" s="212"/>
      <c r="AX270" s="212"/>
      <c r="AY270" s="212"/>
      <c r="AZ270" s="212"/>
      <c r="BA270" s="212"/>
      <c r="BB270" s="212"/>
      <c r="BC270" s="212"/>
      <c r="BD270" s="212"/>
      <c r="BE270" s="212"/>
      <c r="BF270" s="212"/>
      <c r="BG270" s="212"/>
      <c r="BH270" s="212"/>
      <c r="BI270" s="212"/>
    </row>
    <row r="271" spans="1:61" ht="24" customHeight="1">
      <c r="A271" s="215"/>
      <c r="B271" s="215"/>
      <c r="C271" s="229"/>
      <c r="D271" s="213"/>
      <c r="E271" s="213"/>
      <c r="F271" s="213"/>
      <c r="G271" s="213"/>
      <c r="H271" s="213"/>
      <c r="I271" s="213"/>
      <c r="J271" s="213"/>
      <c r="K271" s="213"/>
      <c r="L271" s="213"/>
      <c r="M271" s="215"/>
      <c r="N271" s="212"/>
      <c r="O271" s="212"/>
      <c r="P271" s="212"/>
      <c r="Q271" s="212"/>
      <c r="R271" s="212"/>
      <c r="S271" s="212"/>
      <c r="T271" s="212"/>
      <c r="U271" s="212"/>
      <c r="V271" s="212"/>
      <c r="W271" s="212"/>
      <c r="X271" s="212"/>
      <c r="Y271" s="212"/>
      <c r="Z271" s="212"/>
      <c r="AA271" s="212"/>
      <c r="AB271" s="212"/>
      <c r="AC271" s="212"/>
      <c r="AD271" s="212"/>
      <c r="AE271" s="212"/>
      <c r="AF271" s="212"/>
      <c r="AG271" s="212"/>
      <c r="AH271" s="212"/>
      <c r="AI271" s="212"/>
      <c r="AJ271" s="212"/>
      <c r="AK271" s="212"/>
      <c r="AL271" s="212"/>
      <c r="AM271" s="212"/>
      <c r="AN271" s="212"/>
      <c r="AO271" s="212"/>
      <c r="AP271" s="212"/>
      <c r="AQ271" s="212"/>
      <c r="AR271" s="212"/>
      <c r="AS271" s="212"/>
      <c r="AT271" s="212"/>
      <c r="AU271" s="212"/>
      <c r="AV271" s="212"/>
      <c r="AW271" s="212"/>
      <c r="AX271" s="212"/>
      <c r="AY271" s="212"/>
      <c r="AZ271" s="212"/>
      <c r="BA271" s="212"/>
      <c r="BB271" s="212"/>
      <c r="BC271" s="212"/>
      <c r="BD271" s="212"/>
      <c r="BE271" s="212"/>
      <c r="BF271" s="212"/>
      <c r="BG271" s="212"/>
      <c r="BH271" s="212"/>
      <c r="BI271" s="212"/>
    </row>
    <row r="272" spans="1:61" ht="24" customHeight="1">
      <c r="A272" s="218" t="s">
        <v>2105</v>
      </c>
      <c r="B272" s="218" t="s">
        <v>1172</v>
      </c>
      <c r="C272" s="228">
        <v>1</v>
      </c>
      <c r="D272" s="213" t="s">
        <v>16</v>
      </c>
      <c r="E272" s="212"/>
      <c r="F272" s="217">
        <f>TRUNC(F273,0)</f>
        <v>0</v>
      </c>
      <c r="G272" s="212"/>
      <c r="H272" s="217">
        <f>TRUNC(H273,0)</f>
        <v>0</v>
      </c>
      <c r="I272" s="212"/>
      <c r="J272" s="217">
        <f>TRUNC(J273,0)</f>
        <v>61880</v>
      </c>
      <c r="K272" s="212"/>
      <c r="L272" s="217">
        <f>F272+H272+J272</f>
        <v>61880</v>
      </c>
      <c r="M272" s="215" t="s">
        <v>68</v>
      </c>
      <c r="N272" s="212" t="s">
        <v>68</v>
      </c>
      <c r="O272" s="212" t="s">
        <v>1238</v>
      </c>
      <c r="P272" s="212"/>
      <c r="Q272" s="212"/>
      <c r="R272" s="212"/>
      <c r="S272" s="212"/>
      <c r="T272" s="212"/>
      <c r="U272" s="212"/>
      <c r="V272" s="212"/>
      <c r="W272" s="212"/>
      <c r="X272" s="212"/>
      <c r="Y272" s="212"/>
      <c r="Z272" s="212"/>
      <c r="AA272" s="212"/>
      <c r="AB272" s="212"/>
      <c r="AC272" s="212"/>
      <c r="AD272" s="212"/>
      <c r="AE272" s="212"/>
      <c r="AF272" s="212"/>
      <c r="AG272" s="212"/>
      <c r="AH272" s="212"/>
      <c r="AI272" s="212"/>
      <c r="AJ272" s="212"/>
      <c r="AK272" s="212"/>
      <c r="AL272" s="212"/>
      <c r="AM272" s="212"/>
      <c r="AN272" s="212"/>
      <c r="AO272" s="212"/>
      <c r="AP272" s="212"/>
      <c r="AQ272" s="212"/>
      <c r="AR272" s="212"/>
      <c r="AS272" s="212"/>
      <c r="AT272" s="212"/>
      <c r="AU272" s="212"/>
      <c r="AV272" s="212"/>
      <c r="AW272" s="212"/>
      <c r="AX272" s="212"/>
      <c r="AY272" s="212"/>
      <c r="AZ272" s="212"/>
      <c r="BA272" s="212"/>
      <c r="BB272" s="212"/>
      <c r="BC272" s="212"/>
      <c r="BD272" s="212"/>
      <c r="BE272" s="212"/>
      <c r="BF272" s="212"/>
      <c r="BG272" s="212"/>
      <c r="BH272" s="212"/>
      <c r="BI272" s="212"/>
    </row>
    <row r="273" spans="1:61" ht="24" customHeight="1">
      <c r="A273" s="218" t="s">
        <v>1237</v>
      </c>
      <c r="B273" s="218" t="s">
        <v>1172</v>
      </c>
      <c r="C273" s="228">
        <v>1</v>
      </c>
      <c r="D273" s="213" t="s">
        <v>16</v>
      </c>
      <c r="E273" s="217">
        <f>TRUNC(X273,0)</f>
        <v>0</v>
      </c>
      <c r="F273" s="217">
        <f>TRUNC(E273*C273,0)</f>
        <v>0</v>
      </c>
      <c r="G273" s="217">
        <f>TRUNC(W273,0)</f>
        <v>0</v>
      </c>
      <c r="H273" s="217">
        <f>TRUNC(G273*C273,0)</f>
        <v>0</v>
      </c>
      <c r="I273" s="217">
        <f>TRUNC(V273,0)</f>
        <v>61880</v>
      </c>
      <c r="J273" s="217">
        <f>TRUNC(I273*C273,0)</f>
        <v>61880</v>
      </c>
      <c r="K273" s="217">
        <f>E273+G273+I273</f>
        <v>61880</v>
      </c>
      <c r="L273" s="217">
        <f>F273+H273+J273</f>
        <v>61880</v>
      </c>
      <c r="M273" s="215" t="s">
        <v>68</v>
      </c>
      <c r="N273" s="212" t="s">
        <v>68</v>
      </c>
      <c r="O273" s="212"/>
      <c r="P273" s="212" t="s">
        <v>1095</v>
      </c>
      <c r="Q273" s="212" t="s">
        <v>68</v>
      </c>
      <c r="R273" s="212" t="s">
        <v>2015</v>
      </c>
      <c r="S273" s="212"/>
      <c r="T273" s="212"/>
      <c r="U273" s="212"/>
      <c r="V273" s="212">
        <v>61880</v>
      </c>
      <c r="W273" s="212">
        <v>0</v>
      </c>
      <c r="X273" s="212">
        <v>0</v>
      </c>
      <c r="Y273" s="212"/>
      <c r="Z273" s="212"/>
      <c r="AA273" s="212"/>
      <c r="AB273" s="212"/>
      <c r="AC273" s="212"/>
      <c r="AD273" s="212"/>
      <c r="AE273" s="212"/>
      <c r="AF273" s="212"/>
      <c r="AG273" s="212"/>
      <c r="AH273" s="212"/>
      <c r="AI273" s="212"/>
      <c r="AJ273" s="212"/>
      <c r="AK273" s="212"/>
      <c r="AL273" s="212"/>
      <c r="AM273" s="212"/>
      <c r="AN273" s="212"/>
      <c r="AO273" s="212"/>
      <c r="AP273" s="212"/>
      <c r="AQ273" s="212"/>
      <c r="AR273" s="212"/>
      <c r="AS273" s="212"/>
      <c r="AT273" s="212"/>
      <c r="AU273" s="212"/>
      <c r="AV273" s="212"/>
      <c r="AW273" s="212"/>
      <c r="AX273" s="212"/>
      <c r="AY273" s="212"/>
      <c r="AZ273" s="212"/>
      <c r="BA273" s="212"/>
      <c r="BB273" s="212"/>
      <c r="BC273" s="212"/>
      <c r="BD273" s="212"/>
      <c r="BE273" s="212"/>
      <c r="BF273" s="212"/>
      <c r="BG273" s="212"/>
      <c r="BH273" s="212"/>
      <c r="BI273" s="212"/>
    </row>
    <row r="274" spans="1:61" ht="24" customHeight="1">
      <c r="A274" s="215"/>
      <c r="B274" s="215"/>
      <c r="C274" s="229"/>
      <c r="D274" s="213"/>
      <c r="E274" s="213"/>
      <c r="F274" s="213"/>
      <c r="G274" s="213"/>
      <c r="H274" s="213"/>
      <c r="I274" s="213"/>
      <c r="J274" s="213"/>
      <c r="K274" s="213"/>
      <c r="L274" s="213"/>
      <c r="M274" s="215"/>
      <c r="N274" s="212"/>
      <c r="O274" s="212"/>
      <c r="P274" s="212"/>
      <c r="Q274" s="212"/>
      <c r="R274" s="212"/>
      <c r="S274" s="212"/>
      <c r="T274" s="212"/>
      <c r="U274" s="212"/>
      <c r="V274" s="212"/>
      <c r="W274" s="212"/>
      <c r="X274" s="212"/>
      <c r="Y274" s="212"/>
      <c r="Z274" s="212"/>
      <c r="AA274" s="212"/>
      <c r="AB274" s="212"/>
      <c r="AC274" s="212"/>
      <c r="AD274" s="212"/>
      <c r="AE274" s="212"/>
      <c r="AF274" s="212"/>
      <c r="AG274" s="212"/>
      <c r="AH274" s="212"/>
      <c r="AI274" s="212"/>
      <c r="AJ274" s="212"/>
      <c r="AK274" s="212"/>
      <c r="AL274" s="212"/>
      <c r="AM274" s="212"/>
      <c r="AN274" s="212"/>
      <c r="AO274" s="212"/>
      <c r="AP274" s="212"/>
      <c r="AQ274" s="212"/>
      <c r="AR274" s="212"/>
      <c r="AS274" s="212"/>
      <c r="AT274" s="212"/>
      <c r="AU274" s="212"/>
      <c r="AV274" s="212"/>
      <c r="AW274" s="212"/>
      <c r="AX274" s="212"/>
      <c r="AY274" s="212"/>
      <c r="AZ274" s="212"/>
      <c r="BA274" s="212"/>
      <c r="BB274" s="212"/>
      <c r="BC274" s="212"/>
      <c r="BD274" s="212"/>
      <c r="BE274" s="212"/>
      <c r="BF274" s="212"/>
      <c r="BG274" s="212"/>
      <c r="BH274" s="212"/>
      <c r="BI274" s="212"/>
    </row>
    <row r="275" spans="1:61" ht="24" customHeight="1">
      <c r="A275" s="218" t="s">
        <v>2106</v>
      </c>
      <c r="B275" s="218" t="s">
        <v>1240</v>
      </c>
      <c r="C275" s="228">
        <v>1</v>
      </c>
      <c r="D275" s="213" t="s">
        <v>16</v>
      </c>
      <c r="E275" s="212"/>
      <c r="F275" s="217">
        <f>TRUNC(F276,0)</f>
        <v>0</v>
      </c>
      <c r="G275" s="212"/>
      <c r="H275" s="217">
        <f>TRUNC(H276,0)</f>
        <v>0</v>
      </c>
      <c r="I275" s="212"/>
      <c r="J275" s="217">
        <f>TRUNC(J276,0)</f>
        <v>31142</v>
      </c>
      <c r="K275" s="212"/>
      <c r="L275" s="217">
        <f>F275+H275+J275</f>
        <v>31142</v>
      </c>
      <c r="M275" s="215" t="s">
        <v>68</v>
      </c>
      <c r="N275" s="212" t="s">
        <v>68</v>
      </c>
      <c r="O275" s="212" t="s">
        <v>1241</v>
      </c>
      <c r="P275" s="212"/>
      <c r="Q275" s="212"/>
      <c r="R275" s="212"/>
      <c r="S275" s="212"/>
      <c r="T275" s="212"/>
      <c r="U275" s="212"/>
      <c r="V275" s="212"/>
      <c r="W275" s="212"/>
      <c r="X275" s="212"/>
      <c r="Y275" s="212"/>
      <c r="Z275" s="212"/>
      <c r="AA275" s="212"/>
      <c r="AB275" s="212"/>
      <c r="AC275" s="212"/>
      <c r="AD275" s="212"/>
      <c r="AE275" s="212"/>
      <c r="AF275" s="212"/>
      <c r="AG275" s="212"/>
      <c r="AH275" s="212"/>
      <c r="AI275" s="212"/>
      <c r="AJ275" s="212"/>
      <c r="AK275" s="212"/>
      <c r="AL275" s="212"/>
      <c r="AM275" s="212"/>
      <c r="AN275" s="212"/>
      <c r="AO275" s="212"/>
      <c r="AP275" s="212"/>
      <c r="AQ275" s="212"/>
      <c r="AR275" s="212"/>
      <c r="AS275" s="212"/>
      <c r="AT275" s="212"/>
      <c r="AU275" s="212"/>
      <c r="AV275" s="212"/>
      <c r="AW275" s="212"/>
      <c r="AX275" s="212"/>
      <c r="AY275" s="212"/>
      <c r="AZ275" s="212"/>
      <c r="BA275" s="212"/>
      <c r="BB275" s="212"/>
      <c r="BC275" s="212"/>
      <c r="BD275" s="212"/>
      <c r="BE275" s="212"/>
      <c r="BF275" s="212"/>
      <c r="BG275" s="212"/>
      <c r="BH275" s="212"/>
      <c r="BI275" s="212"/>
    </row>
    <row r="276" spans="1:61" ht="24" customHeight="1">
      <c r="A276" s="218" t="s">
        <v>1239</v>
      </c>
      <c r="B276" s="218" t="s">
        <v>1240</v>
      </c>
      <c r="C276" s="228">
        <v>1</v>
      </c>
      <c r="D276" s="213" t="s">
        <v>16</v>
      </c>
      <c r="E276" s="217">
        <f>TRUNC(X276,0)</f>
        <v>0</v>
      </c>
      <c r="F276" s="217">
        <f>TRUNC(E276*C276,0)</f>
        <v>0</v>
      </c>
      <c r="G276" s="217">
        <f>TRUNC(W276,0)</f>
        <v>0</v>
      </c>
      <c r="H276" s="217">
        <f>TRUNC(G276*C276,0)</f>
        <v>0</v>
      </c>
      <c r="I276" s="217">
        <f>TRUNC(V276,0)</f>
        <v>31142</v>
      </c>
      <c r="J276" s="217">
        <f>TRUNC(I276*C276,0)</f>
        <v>31142</v>
      </c>
      <c r="K276" s="217">
        <f>E276+G276+I276</f>
        <v>31142</v>
      </c>
      <c r="L276" s="217">
        <f>F276+H276+J276</f>
        <v>31142</v>
      </c>
      <c r="M276" s="215" t="s">
        <v>68</v>
      </c>
      <c r="N276" s="212" t="s">
        <v>68</v>
      </c>
      <c r="O276" s="212"/>
      <c r="P276" s="212" t="s">
        <v>1095</v>
      </c>
      <c r="Q276" s="212" t="s">
        <v>68</v>
      </c>
      <c r="R276" s="212" t="s">
        <v>2015</v>
      </c>
      <c r="S276" s="212"/>
      <c r="T276" s="212"/>
      <c r="U276" s="212"/>
      <c r="V276" s="212">
        <v>31142</v>
      </c>
      <c r="W276" s="212">
        <v>0</v>
      </c>
      <c r="X276" s="212">
        <v>0</v>
      </c>
      <c r="Y276" s="212"/>
      <c r="Z276" s="212"/>
      <c r="AA276" s="212"/>
      <c r="AB276" s="212"/>
      <c r="AC276" s="212"/>
      <c r="AD276" s="212"/>
      <c r="AE276" s="212"/>
      <c r="AF276" s="212"/>
      <c r="AG276" s="212"/>
      <c r="AH276" s="212"/>
      <c r="AI276" s="212"/>
      <c r="AJ276" s="212"/>
      <c r="AK276" s="212"/>
      <c r="AL276" s="212"/>
      <c r="AM276" s="212"/>
      <c r="AN276" s="212"/>
      <c r="AO276" s="212"/>
      <c r="AP276" s="212"/>
      <c r="AQ276" s="212"/>
      <c r="AR276" s="212"/>
      <c r="AS276" s="212"/>
      <c r="AT276" s="212"/>
      <c r="AU276" s="212"/>
      <c r="AV276" s="212"/>
      <c r="AW276" s="212"/>
      <c r="AX276" s="212"/>
      <c r="AY276" s="212"/>
      <c r="AZ276" s="212"/>
      <c r="BA276" s="212"/>
      <c r="BB276" s="212"/>
      <c r="BC276" s="212"/>
      <c r="BD276" s="212"/>
      <c r="BE276" s="212"/>
      <c r="BF276" s="212"/>
      <c r="BG276" s="212"/>
      <c r="BH276" s="212"/>
      <c r="BI276" s="212"/>
    </row>
    <row r="277" spans="1:61" ht="24" customHeight="1">
      <c r="A277" s="215"/>
      <c r="B277" s="215"/>
      <c r="C277" s="229"/>
      <c r="D277" s="213"/>
      <c r="E277" s="213"/>
      <c r="F277" s="213"/>
      <c r="G277" s="213"/>
      <c r="H277" s="213"/>
      <c r="I277" s="213"/>
      <c r="J277" s="213"/>
      <c r="K277" s="213"/>
      <c r="L277" s="213"/>
      <c r="M277" s="215"/>
      <c r="N277" s="212"/>
      <c r="O277" s="212"/>
      <c r="P277" s="212"/>
      <c r="Q277" s="212"/>
      <c r="R277" s="212"/>
      <c r="S277" s="212"/>
      <c r="T277" s="212"/>
      <c r="U277" s="212"/>
      <c r="V277" s="212"/>
      <c r="W277" s="212"/>
      <c r="X277" s="212"/>
      <c r="Y277" s="212"/>
      <c r="Z277" s="212"/>
      <c r="AA277" s="212"/>
      <c r="AB277" s="212"/>
      <c r="AC277" s="212"/>
      <c r="AD277" s="212"/>
      <c r="AE277" s="212"/>
      <c r="AF277" s="212"/>
      <c r="AG277" s="212"/>
      <c r="AH277" s="212"/>
      <c r="AI277" s="212"/>
      <c r="AJ277" s="212"/>
      <c r="AK277" s="212"/>
      <c r="AL277" s="212"/>
      <c r="AM277" s="212"/>
      <c r="AN277" s="212"/>
      <c r="AO277" s="212"/>
      <c r="AP277" s="212"/>
      <c r="AQ277" s="212"/>
      <c r="AR277" s="212"/>
      <c r="AS277" s="212"/>
      <c r="AT277" s="212"/>
      <c r="AU277" s="212"/>
      <c r="AV277" s="212"/>
      <c r="AW277" s="212"/>
      <c r="AX277" s="212"/>
      <c r="AY277" s="212"/>
      <c r="AZ277" s="212"/>
      <c r="BA277" s="212"/>
      <c r="BB277" s="212"/>
      <c r="BC277" s="212"/>
      <c r="BD277" s="212"/>
      <c r="BE277" s="212"/>
      <c r="BF277" s="212"/>
      <c r="BG277" s="212"/>
      <c r="BH277" s="212"/>
      <c r="BI277" s="212"/>
    </row>
    <row r="278" spans="1:61" ht="24" customHeight="1">
      <c r="A278" s="218" t="s">
        <v>2107</v>
      </c>
      <c r="B278" s="218" t="s">
        <v>1242</v>
      </c>
      <c r="C278" s="228">
        <v>1</v>
      </c>
      <c r="D278" s="213" t="s">
        <v>16</v>
      </c>
      <c r="E278" s="212"/>
      <c r="F278" s="217">
        <f>TRUNC(F279,0)</f>
        <v>0</v>
      </c>
      <c r="G278" s="212"/>
      <c r="H278" s="217">
        <f>TRUNC(H279,0)</f>
        <v>0</v>
      </c>
      <c r="I278" s="212"/>
      <c r="J278" s="217">
        <f>TRUNC(J279,0)</f>
        <v>188715</v>
      </c>
      <c r="K278" s="212"/>
      <c r="L278" s="217">
        <f>F278+H278+J278</f>
        <v>188715</v>
      </c>
      <c r="M278" s="215" t="s">
        <v>68</v>
      </c>
      <c r="N278" s="212" t="s">
        <v>68</v>
      </c>
      <c r="O278" s="212" t="s">
        <v>1243</v>
      </c>
      <c r="P278" s="212"/>
      <c r="Q278" s="212"/>
      <c r="R278" s="212"/>
      <c r="S278" s="212"/>
      <c r="T278" s="212"/>
      <c r="U278" s="212"/>
      <c r="V278" s="212"/>
      <c r="W278" s="212"/>
      <c r="X278" s="212"/>
      <c r="Y278" s="212"/>
      <c r="Z278" s="212"/>
      <c r="AA278" s="212"/>
      <c r="AB278" s="212"/>
      <c r="AC278" s="212"/>
      <c r="AD278" s="212"/>
      <c r="AE278" s="212"/>
      <c r="AF278" s="212"/>
      <c r="AG278" s="212"/>
      <c r="AH278" s="212"/>
      <c r="AI278" s="212"/>
      <c r="AJ278" s="212"/>
      <c r="AK278" s="212"/>
      <c r="AL278" s="212"/>
      <c r="AM278" s="212"/>
      <c r="AN278" s="212"/>
      <c r="AO278" s="212"/>
      <c r="AP278" s="212"/>
      <c r="AQ278" s="212"/>
      <c r="AR278" s="212"/>
      <c r="AS278" s="212"/>
      <c r="AT278" s="212"/>
      <c r="AU278" s="212"/>
      <c r="AV278" s="212"/>
      <c r="AW278" s="212"/>
      <c r="AX278" s="212"/>
      <c r="AY278" s="212"/>
      <c r="AZ278" s="212"/>
      <c r="BA278" s="212"/>
      <c r="BB278" s="212"/>
      <c r="BC278" s="212"/>
      <c r="BD278" s="212"/>
      <c r="BE278" s="212"/>
      <c r="BF278" s="212"/>
      <c r="BG278" s="212"/>
      <c r="BH278" s="212"/>
      <c r="BI278" s="212"/>
    </row>
    <row r="279" spans="1:61" ht="24" customHeight="1">
      <c r="A279" s="218" t="s">
        <v>1239</v>
      </c>
      <c r="B279" s="218" t="s">
        <v>1242</v>
      </c>
      <c r="C279" s="228">
        <v>1</v>
      </c>
      <c r="D279" s="213" t="s">
        <v>16</v>
      </c>
      <c r="E279" s="217">
        <f>TRUNC(X279,0)</f>
        <v>0</v>
      </c>
      <c r="F279" s="217">
        <f>TRUNC(E279*C279,0)</f>
        <v>0</v>
      </c>
      <c r="G279" s="217">
        <f>TRUNC(W279,0)</f>
        <v>0</v>
      </c>
      <c r="H279" s="217">
        <f>TRUNC(G279*C279,0)</f>
        <v>0</v>
      </c>
      <c r="I279" s="217">
        <f>TRUNC(V279,0)</f>
        <v>188715</v>
      </c>
      <c r="J279" s="217">
        <f>TRUNC(I279*C279,0)</f>
        <v>188715</v>
      </c>
      <c r="K279" s="217">
        <f>E279+G279+I279</f>
        <v>188715</v>
      </c>
      <c r="L279" s="217">
        <f>F279+H279+J279</f>
        <v>188715</v>
      </c>
      <c r="M279" s="215" t="s">
        <v>68</v>
      </c>
      <c r="N279" s="212" t="s">
        <v>68</v>
      </c>
      <c r="O279" s="212"/>
      <c r="P279" s="212" t="s">
        <v>1095</v>
      </c>
      <c r="Q279" s="212" t="s">
        <v>68</v>
      </c>
      <c r="R279" s="212" t="s">
        <v>2015</v>
      </c>
      <c r="S279" s="212"/>
      <c r="T279" s="212"/>
      <c r="U279" s="212"/>
      <c r="V279" s="212">
        <v>188715</v>
      </c>
      <c r="W279" s="212">
        <v>0</v>
      </c>
      <c r="X279" s="212">
        <v>0</v>
      </c>
      <c r="Y279" s="212"/>
      <c r="Z279" s="212"/>
      <c r="AA279" s="212"/>
      <c r="AB279" s="212"/>
      <c r="AC279" s="212"/>
      <c r="AD279" s="212"/>
      <c r="AE279" s="212"/>
      <c r="AF279" s="212"/>
      <c r="AG279" s="212"/>
      <c r="AH279" s="212"/>
      <c r="AI279" s="212"/>
      <c r="AJ279" s="212"/>
      <c r="AK279" s="212"/>
      <c r="AL279" s="212"/>
      <c r="AM279" s="212"/>
      <c r="AN279" s="212"/>
      <c r="AO279" s="212"/>
      <c r="AP279" s="212"/>
      <c r="AQ279" s="212"/>
      <c r="AR279" s="212"/>
      <c r="AS279" s="212"/>
      <c r="AT279" s="212"/>
      <c r="AU279" s="212"/>
      <c r="AV279" s="212"/>
      <c r="AW279" s="212"/>
      <c r="AX279" s="212"/>
      <c r="AY279" s="212"/>
      <c r="AZ279" s="212"/>
      <c r="BA279" s="212"/>
      <c r="BB279" s="212"/>
      <c r="BC279" s="212"/>
      <c r="BD279" s="212"/>
      <c r="BE279" s="212"/>
      <c r="BF279" s="212"/>
      <c r="BG279" s="212"/>
      <c r="BH279" s="212"/>
      <c r="BI279" s="212"/>
    </row>
    <row r="280" spans="1:61" ht="24" customHeight="1">
      <c r="A280" s="215"/>
      <c r="B280" s="215"/>
      <c r="C280" s="229"/>
      <c r="D280" s="213"/>
      <c r="E280" s="213"/>
      <c r="F280" s="213"/>
      <c r="G280" s="213"/>
      <c r="H280" s="213"/>
      <c r="I280" s="213"/>
      <c r="J280" s="213"/>
      <c r="K280" s="213"/>
      <c r="L280" s="213"/>
      <c r="M280" s="215"/>
      <c r="N280" s="212"/>
      <c r="O280" s="212"/>
      <c r="P280" s="212"/>
      <c r="Q280" s="212"/>
      <c r="R280" s="212"/>
      <c r="S280" s="212"/>
      <c r="T280" s="212"/>
      <c r="U280" s="212"/>
      <c r="V280" s="212"/>
      <c r="W280" s="212"/>
      <c r="X280" s="212"/>
      <c r="Y280" s="212"/>
      <c r="Z280" s="212"/>
      <c r="AA280" s="212"/>
      <c r="AB280" s="212"/>
      <c r="AC280" s="212"/>
      <c r="AD280" s="212"/>
      <c r="AE280" s="212"/>
      <c r="AF280" s="212"/>
      <c r="AG280" s="212"/>
      <c r="AH280" s="212"/>
      <c r="AI280" s="212"/>
      <c r="AJ280" s="212"/>
      <c r="AK280" s="212"/>
      <c r="AL280" s="212"/>
      <c r="AM280" s="212"/>
      <c r="AN280" s="212"/>
      <c r="AO280" s="212"/>
      <c r="AP280" s="212"/>
      <c r="AQ280" s="212"/>
      <c r="AR280" s="212"/>
      <c r="AS280" s="212"/>
      <c r="AT280" s="212"/>
      <c r="AU280" s="212"/>
      <c r="AV280" s="212"/>
      <c r="AW280" s="212"/>
      <c r="AX280" s="212"/>
      <c r="AY280" s="212"/>
      <c r="AZ280" s="212"/>
      <c r="BA280" s="212"/>
      <c r="BB280" s="212"/>
      <c r="BC280" s="212"/>
      <c r="BD280" s="212"/>
      <c r="BE280" s="212"/>
      <c r="BF280" s="212"/>
      <c r="BG280" s="212"/>
      <c r="BH280" s="212"/>
      <c r="BI280" s="212"/>
    </row>
    <row r="281" spans="1:61" ht="24" customHeight="1">
      <c r="A281" s="218" t="s">
        <v>2108</v>
      </c>
      <c r="B281" s="218" t="s">
        <v>1708</v>
      </c>
      <c r="C281" s="228">
        <v>1</v>
      </c>
      <c r="D281" s="213" t="s">
        <v>9</v>
      </c>
      <c r="E281" s="212"/>
      <c r="F281" s="217">
        <f>TRUNC(F284,0)</f>
        <v>0</v>
      </c>
      <c r="G281" s="212"/>
      <c r="H281" s="217">
        <f>TRUNC(H284,0)</f>
        <v>0</v>
      </c>
      <c r="I281" s="212"/>
      <c r="J281" s="217">
        <f>TRUNC(J284,0)</f>
        <v>0</v>
      </c>
      <c r="K281" s="212"/>
      <c r="L281" s="217">
        <f>F281+H281+J281</f>
        <v>0</v>
      </c>
      <c r="M281" s="215" t="s">
        <v>1709</v>
      </c>
      <c r="N281" s="212" t="s">
        <v>68</v>
      </c>
      <c r="O281" s="212" t="s">
        <v>1710</v>
      </c>
      <c r="P281" s="212"/>
      <c r="Q281" s="212"/>
      <c r="R281" s="212"/>
      <c r="S281" s="212"/>
      <c r="T281" s="212"/>
      <c r="U281" s="212"/>
      <c r="V281" s="212"/>
      <c r="W281" s="212"/>
      <c r="X281" s="212"/>
      <c r="Y281" s="212"/>
      <c r="Z281" s="212"/>
      <c r="AA281" s="212"/>
      <c r="AB281" s="212"/>
      <c r="AC281" s="212"/>
      <c r="AD281" s="212"/>
      <c r="AE281" s="212"/>
      <c r="AF281" s="212"/>
      <c r="AG281" s="212"/>
      <c r="AH281" s="212"/>
      <c r="AI281" s="212"/>
      <c r="AJ281" s="212"/>
      <c r="AK281" s="212"/>
      <c r="AL281" s="212"/>
      <c r="AM281" s="212"/>
      <c r="AN281" s="212"/>
      <c r="AO281" s="212"/>
      <c r="AP281" s="212"/>
      <c r="AQ281" s="212"/>
      <c r="AR281" s="212"/>
      <c r="AS281" s="212"/>
      <c r="AT281" s="212"/>
      <c r="AU281" s="212"/>
      <c r="AV281" s="212"/>
      <c r="AW281" s="212"/>
      <c r="AX281" s="212"/>
      <c r="AY281" s="212"/>
      <c r="AZ281" s="212"/>
      <c r="BA281" s="212"/>
      <c r="BB281" s="212"/>
      <c r="BC281" s="212"/>
      <c r="BD281" s="212"/>
      <c r="BE281" s="212"/>
      <c r="BF281" s="212"/>
      <c r="BG281" s="212"/>
      <c r="BH281" s="212"/>
      <c r="BI281" s="212"/>
    </row>
    <row r="282" spans="1:61" ht="24" customHeight="1">
      <c r="A282" s="218" t="s">
        <v>2109</v>
      </c>
      <c r="B282" s="218" t="s">
        <v>1946</v>
      </c>
      <c r="C282" s="229">
        <v>4.3999999999999997E-2</v>
      </c>
      <c r="D282" s="213" t="s">
        <v>1286</v>
      </c>
      <c r="E282" s="217">
        <v>0</v>
      </c>
      <c r="F282" s="217"/>
      <c r="G282" s="217">
        <f>노임!D18</f>
        <v>0</v>
      </c>
      <c r="H282" s="217">
        <f>TRUNC(G282*C282,0)</f>
        <v>0</v>
      </c>
      <c r="I282" s="217">
        <v>0</v>
      </c>
      <c r="J282" s="217"/>
      <c r="K282" s="217">
        <f>E282+G282+I282</f>
        <v>0</v>
      </c>
      <c r="L282" s="217">
        <f>F282+H282+J282</f>
        <v>0</v>
      </c>
      <c r="M282" s="215" t="s">
        <v>68</v>
      </c>
      <c r="N282" s="212" t="s">
        <v>68</v>
      </c>
      <c r="O282" s="212"/>
      <c r="P282" s="212" t="s">
        <v>1095</v>
      </c>
      <c r="Q282" s="212" t="s">
        <v>1105</v>
      </c>
      <c r="R282" s="212" t="s">
        <v>2110</v>
      </c>
      <c r="S282" s="212"/>
      <c r="T282" s="212"/>
      <c r="U282" s="212"/>
      <c r="V282" s="212"/>
      <c r="W282" s="212"/>
      <c r="X282" s="212"/>
      <c r="Y282" s="212"/>
      <c r="Z282" s="212"/>
      <c r="AA282" s="212"/>
      <c r="AB282" s="212"/>
      <c r="AC282" s="212"/>
      <c r="AD282" s="212"/>
      <c r="AE282" s="212"/>
      <c r="AF282" s="212"/>
      <c r="AG282" s="212"/>
      <c r="AH282" s="212"/>
      <c r="AI282" s="212"/>
      <c r="AJ282" s="212"/>
      <c r="AK282" s="212"/>
      <c r="AL282" s="212"/>
      <c r="AM282" s="212"/>
      <c r="AN282" s="212"/>
      <c r="AO282" s="212"/>
      <c r="AP282" s="212"/>
      <c r="AQ282" s="212"/>
      <c r="AR282" s="212"/>
      <c r="AS282" s="212"/>
      <c r="AT282" s="212"/>
      <c r="AU282" s="212"/>
      <c r="AV282" s="212"/>
      <c r="AW282" s="212"/>
      <c r="AX282" s="212"/>
      <c r="AY282" s="212"/>
      <c r="AZ282" s="212"/>
      <c r="BA282" s="212"/>
      <c r="BB282" s="212"/>
      <c r="BC282" s="212"/>
      <c r="BD282" s="212"/>
      <c r="BE282" s="212"/>
      <c r="BF282" s="212"/>
      <c r="BG282" s="212"/>
      <c r="BH282" s="212"/>
      <c r="BI282" s="231" t="str">
        <f>HYPERLINK("#노임!A18","L001010101000030 →")</f>
        <v>L001010101000030 →</v>
      </c>
    </row>
    <row r="283" spans="1:61" ht="24" customHeight="1">
      <c r="A283" s="218" t="s">
        <v>1967</v>
      </c>
      <c r="B283" s="218" t="s">
        <v>1946</v>
      </c>
      <c r="C283" s="229">
        <v>2.1999999999999999E-2</v>
      </c>
      <c r="D283" s="213" t="s">
        <v>1286</v>
      </c>
      <c r="E283" s="217">
        <v>0</v>
      </c>
      <c r="F283" s="217"/>
      <c r="G283" s="217">
        <f>노임!D3</f>
        <v>0</v>
      </c>
      <c r="H283" s="217">
        <f>TRUNC(G283*C283,0)</f>
        <v>0</v>
      </c>
      <c r="I283" s="217">
        <v>0</v>
      </c>
      <c r="J283" s="217"/>
      <c r="K283" s="217">
        <f>E283+G283+I283</f>
        <v>0</v>
      </c>
      <c r="L283" s="217">
        <f>F283+H283+J283</f>
        <v>0</v>
      </c>
      <c r="M283" s="215" t="s">
        <v>68</v>
      </c>
      <c r="N283" s="212" t="s">
        <v>68</v>
      </c>
      <c r="O283" s="212"/>
      <c r="P283" s="212" t="s">
        <v>1098</v>
      </c>
      <c r="Q283" s="212" t="s">
        <v>1105</v>
      </c>
      <c r="R283" s="212" t="s">
        <v>1968</v>
      </c>
      <c r="S283" s="212"/>
      <c r="T283" s="212"/>
      <c r="U283" s="212"/>
      <c r="V283" s="212"/>
      <c r="W283" s="212"/>
      <c r="X283" s="212"/>
      <c r="Y283" s="212"/>
      <c r="Z283" s="212"/>
      <c r="AA283" s="220" t="s">
        <v>1123</v>
      </c>
      <c r="AB283" s="212">
        <f>(호표!H282+호표!H283)*0.3</f>
        <v>0</v>
      </c>
      <c r="AC283" s="220" t="s">
        <v>1124</v>
      </c>
      <c r="AD283" s="212">
        <f>$AB283</f>
        <v>0</v>
      </c>
      <c r="AE283" s="212"/>
      <c r="AF283" s="212"/>
      <c r="AG283" s="212"/>
      <c r="AH283" s="212"/>
      <c r="AI283" s="212"/>
      <c r="AJ283" s="212"/>
      <c r="AK283" s="212"/>
      <c r="AL283" s="212"/>
      <c r="AM283" s="212"/>
      <c r="AN283" s="212"/>
      <c r="AO283" s="212"/>
      <c r="AP283" s="212"/>
      <c r="AQ283" s="212"/>
      <c r="AR283" s="212"/>
      <c r="AS283" s="212"/>
      <c r="AT283" s="212"/>
      <c r="AU283" s="212"/>
      <c r="AV283" s="212"/>
      <c r="AW283" s="212"/>
      <c r="AX283" s="212"/>
      <c r="AY283" s="212"/>
      <c r="AZ283" s="212"/>
      <c r="BA283" s="212"/>
      <c r="BB283" s="212"/>
      <c r="BC283" s="212"/>
      <c r="BD283" s="212"/>
      <c r="BE283" s="212"/>
      <c r="BF283" s="212"/>
      <c r="BG283" s="212"/>
      <c r="BH283" s="212"/>
      <c r="BI283" s="231" t="str">
        <f>HYPERLINK("#노임!A3","L001010101000002 →")</f>
        <v>L001010101000002 →</v>
      </c>
    </row>
    <row r="284" spans="1:61" ht="24" customHeight="1">
      <c r="A284" s="218" t="s">
        <v>2111</v>
      </c>
      <c r="B284" s="218" t="s">
        <v>2112</v>
      </c>
      <c r="C284" s="228">
        <v>30</v>
      </c>
      <c r="D284" s="213" t="s">
        <v>1950</v>
      </c>
      <c r="E284" s="213"/>
      <c r="F284" s="217">
        <v>0</v>
      </c>
      <c r="G284" s="213"/>
      <c r="H284" s="217">
        <f>TRUNC(((H282+H283)*0.3),0)</f>
        <v>0</v>
      </c>
      <c r="I284" s="213"/>
      <c r="J284" s="217">
        <v>0</v>
      </c>
      <c r="K284" s="217">
        <f>E284+G284+I284</f>
        <v>0</v>
      </c>
      <c r="L284" s="217">
        <f>F284+H284+J284</f>
        <v>0</v>
      </c>
      <c r="M284" s="215" t="s">
        <v>68</v>
      </c>
      <c r="N284" s="212" t="s">
        <v>68</v>
      </c>
      <c r="O284" s="212"/>
      <c r="P284" s="212" t="s">
        <v>1101</v>
      </c>
      <c r="Q284" s="212" t="s">
        <v>68</v>
      </c>
      <c r="R284" s="212" t="s">
        <v>1121</v>
      </c>
      <c r="S284" s="212"/>
      <c r="T284" s="212"/>
      <c r="U284" s="212"/>
      <c r="V284" s="212"/>
      <c r="W284" s="212"/>
      <c r="X284" s="212" t="s">
        <v>2113</v>
      </c>
      <c r="Y284" s="212"/>
      <c r="Z284" s="212"/>
      <c r="AA284" s="212"/>
      <c r="AB284" s="212"/>
      <c r="AC284" s="212"/>
      <c r="AD284" s="212"/>
      <c r="AE284" s="212"/>
      <c r="AF284" s="212"/>
      <c r="AG284" s="212"/>
      <c r="AH284" s="212"/>
      <c r="AI284" s="212"/>
      <c r="AJ284" s="212"/>
      <c r="AK284" s="212"/>
      <c r="AL284" s="212"/>
      <c r="AM284" s="212"/>
      <c r="AN284" s="212"/>
      <c r="AO284" s="212"/>
      <c r="AP284" s="212"/>
      <c r="AQ284" s="212"/>
      <c r="AR284" s="212"/>
      <c r="AS284" s="212"/>
      <c r="AT284" s="212"/>
      <c r="AU284" s="212"/>
      <c r="AV284" s="212"/>
      <c r="AW284" s="212"/>
      <c r="AX284" s="212"/>
      <c r="AY284" s="212"/>
      <c r="AZ284" s="212"/>
      <c r="BA284" s="212"/>
      <c r="BB284" s="212"/>
      <c r="BC284" s="212"/>
      <c r="BD284" s="212"/>
      <c r="BE284" s="212"/>
      <c r="BF284" s="212"/>
      <c r="BG284" s="212"/>
      <c r="BH284" s="212"/>
      <c r="BI284" s="212"/>
    </row>
    <row r="285" spans="1:61" ht="24" customHeight="1">
      <c r="A285" s="215"/>
      <c r="B285" s="215"/>
      <c r="C285" s="229"/>
      <c r="D285" s="213"/>
      <c r="E285" s="213"/>
      <c r="F285" s="213"/>
      <c r="G285" s="213"/>
      <c r="H285" s="213"/>
      <c r="I285" s="213"/>
      <c r="J285" s="213"/>
      <c r="K285" s="213"/>
      <c r="L285" s="213"/>
      <c r="M285" s="215"/>
      <c r="N285" s="212"/>
      <c r="O285" s="212"/>
      <c r="P285" s="212"/>
      <c r="Q285" s="212"/>
      <c r="R285" s="212"/>
      <c r="S285" s="212"/>
      <c r="T285" s="212"/>
      <c r="U285" s="212"/>
      <c r="V285" s="212"/>
      <c r="W285" s="212"/>
      <c r="X285" s="212"/>
      <c r="Y285" s="212"/>
      <c r="Z285" s="212"/>
      <c r="AA285" s="212"/>
      <c r="AB285" s="212"/>
      <c r="AC285" s="212"/>
      <c r="AD285" s="212"/>
      <c r="AE285" s="212"/>
      <c r="AF285" s="212"/>
      <c r="AG285" s="212"/>
      <c r="AH285" s="212"/>
      <c r="AI285" s="212"/>
      <c r="AJ285" s="212"/>
      <c r="AK285" s="212"/>
      <c r="AL285" s="212"/>
      <c r="AM285" s="212"/>
      <c r="AN285" s="212"/>
      <c r="AO285" s="212"/>
      <c r="AP285" s="212"/>
      <c r="AQ285" s="212"/>
      <c r="AR285" s="212"/>
      <c r="AS285" s="212"/>
      <c r="AT285" s="212"/>
      <c r="AU285" s="212"/>
      <c r="AV285" s="212"/>
      <c r="AW285" s="212"/>
      <c r="AX285" s="212"/>
      <c r="AY285" s="212"/>
      <c r="AZ285" s="212"/>
      <c r="BA285" s="212"/>
      <c r="BB285" s="212"/>
      <c r="BC285" s="212"/>
      <c r="BD285" s="212"/>
      <c r="BE285" s="212"/>
      <c r="BF285" s="212"/>
      <c r="BG285" s="212"/>
      <c r="BH285" s="212"/>
      <c r="BI285" s="212"/>
    </row>
    <row r="286" spans="1:61" ht="24" customHeight="1">
      <c r="A286" s="218" t="s">
        <v>2114</v>
      </c>
      <c r="B286" s="218" t="s">
        <v>993</v>
      </c>
      <c r="C286" s="228">
        <v>1</v>
      </c>
      <c r="D286" s="213" t="s">
        <v>378</v>
      </c>
      <c r="E286" s="212"/>
      <c r="F286" s="217">
        <f>TRUNC(F289,0)</f>
        <v>0</v>
      </c>
      <c r="G286" s="212"/>
      <c r="H286" s="217">
        <f>TRUNC(H289,0)</f>
        <v>0</v>
      </c>
      <c r="I286" s="212"/>
      <c r="J286" s="217">
        <f>TRUNC(J289,0)</f>
        <v>0</v>
      </c>
      <c r="K286" s="212"/>
      <c r="L286" s="217">
        <f>F286+H286+J286</f>
        <v>0</v>
      </c>
      <c r="M286" s="215" t="s">
        <v>1712</v>
      </c>
      <c r="N286" s="212" t="s">
        <v>68</v>
      </c>
      <c r="O286" s="212" t="s">
        <v>1713</v>
      </c>
      <c r="P286" s="212"/>
      <c r="Q286" s="212"/>
      <c r="R286" s="212"/>
      <c r="S286" s="212"/>
      <c r="T286" s="212"/>
      <c r="U286" s="212"/>
      <c r="V286" s="212"/>
      <c r="W286" s="212"/>
      <c r="X286" s="212"/>
      <c r="Y286" s="212"/>
      <c r="Z286" s="212"/>
      <c r="AA286" s="212"/>
      <c r="AB286" s="212"/>
      <c r="AC286" s="212"/>
      <c r="AD286" s="212"/>
      <c r="AE286" s="212"/>
      <c r="AF286" s="212"/>
      <c r="AG286" s="212"/>
      <c r="AH286" s="212"/>
      <c r="AI286" s="212"/>
      <c r="AJ286" s="212"/>
      <c r="AK286" s="212"/>
      <c r="AL286" s="212"/>
      <c r="AM286" s="212"/>
      <c r="AN286" s="212"/>
      <c r="AO286" s="212"/>
      <c r="AP286" s="212"/>
      <c r="AQ286" s="212"/>
      <c r="AR286" s="212"/>
      <c r="AS286" s="212"/>
      <c r="AT286" s="212"/>
      <c r="AU286" s="212"/>
      <c r="AV286" s="212"/>
      <c r="AW286" s="212"/>
      <c r="AX286" s="212"/>
      <c r="AY286" s="212"/>
      <c r="AZ286" s="212"/>
      <c r="BA286" s="212"/>
      <c r="BB286" s="212"/>
      <c r="BC286" s="212"/>
      <c r="BD286" s="212"/>
      <c r="BE286" s="212"/>
      <c r="BF286" s="212"/>
      <c r="BG286" s="212"/>
      <c r="BH286" s="212"/>
      <c r="BI286" s="212"/>
    </row>
    <row r="287" spans="1:61" ht="24" customHeight="1">
      <c r="A287" s="218" t="s">
        <v>2026</v>
      </c>
      <c r="B287" s="218" t="s">
        <v>1946</v>
      </c>
      <c r="C287" s="229">
        <v>0.65800000000000003</v>
      </c>
      <c r="D287" s="213" t="s">
        <v>1286</v>
      </c>
      <c r="E287" s="217">
        <v>0</v>
      </c>
      <c r="F287" s="217"/>
      <c r="G287" s="217">
        <f>노임!D13</f>
        <v>0</v>
      </c>
      <c r="H287" s="217">
        <f>TRUNC(G287*C287,0)</f>
        <v>0</v>
      </c>
      <c r="I287" s="217">
        <v>0</v>
      </c>
      <c r="J287" s="217"/>
      <c r="K287" s="217">
        <f>E287+G287+I287</f>
        <v>0</v>
      </c>
      <c r="L287" s="217">
        <f>F287+H287+J287</f>
        <v>0</v>
      </c>
      <c r="M287" s="215" t="s">
        <v>68</v>
      </c>
      <c r="N287" s="212" t="s">
        <v>68</v>
      </c>
      <c r="O287" s="212"/>
      <c r="P287" s="212" t="s">
        <v>1095</v>
      </c>
      <c r="Q287" s="212" t="s">
        <v>1105</v>
      </c>
      <c r="R287" s="212" t="s">
        <v>2027</v>
      </c>
      <c r="S287" s="212"/>
      <c r="T287" s="212"/>
      <c r="U287" s="212"/>
      <c r="V287" s="212"/>
      <c r="W287" s="212"/>
      <c r="X287" s="212"/>
      <c r="Y287" s="212"/>
      <c r="Z287" s="212"/>
      <c r="AA287" s="212"/>
      <c r="AB287" s="212"/>
      <c r="AC287" s="212"/>
      <c r="AD287" s="212"/>
      <c r="AE287" s="212"/>
      <c r="AF287" s="212"/>
      <c r="AG287" s="212"/>
      <c r="AH287" s="212"/>
      <c r="AI287" s="212"/>
      <c r="AJ287" s="212"/>
      <c r="AK287" s="212"/>
      <c r="AL287" s="212"/>
      <c r="AM287" s="212"/>
      <c r="AN287" s="212"/>
      <c r="AO287" s="212"/>
      <c r="AP287" s="212"/>
      <c r="AQ287" s="212"/>
      <c r="AR287" s="212"/>
      <c r="AS287" s="212"/>
      <c r="AT287" s="212"/>
      <c r="AU287" s="212"/>
      <c r="AV287" s="212"/>
      <c r="AW287" s="212"/>
      <c r="AX287" s="212"/>
      <c r="AY287" s="212"/>
      <c r="AZ287" s="212"/>
      <c r="BA287" s="212"/>
      <c r="BB287" s="212"/>
      <c r="BC287" s="212"/>
      <c r="BD287" s="212"/>
      <c r="BE287" s="212"/>
      <c r="BF287" s="212"/>
      <c r="BG287" s="212"/>
      <c r="BH287" s="212"/>
      <c r="BI287" s="231" t="str">
        <f>HYPERLINK("#노임!A13","L001010101000024 →")</f>
        <v>L001010101000024 →</v>
      </c>
    </row>
    <row r="288" spans="1:61" ht="24" customHeight="1">
      <c r="A288" s="218" t="s">
        <v>1967</v>
      </c>
      <c r="B288" s="218" t="s">
        <v>1946</v>
      </c>
      <c r="C288" s="229">
        <v>0.157</v>
      </c>
      <c r="D288" s="213" t="s">
        <v>1286</v>
      </c>
      <c r="E288" s="217">
        <v>0</v>
      </c>
      <c r="F288" s="217"/>
      <c r="G288" s="217">
        <f>노임!D3</f>
        <v>0</v>
      </c>
      <c r="H288" s="217">
        <f>TRUNC(G288*C288,0)</f>
        <v>0</v>
      </c>
      <c r="I288" s="217">
        <v>0</v>
      </c>
      <c r="J288" s="217"/>
      <c r="K288" s="217">
        <f>E288+G288+I288</f>
        <v>0</v>
      </c>
      <c r="L288" s="217">
        <f>F288+H288+J288</f>
        <v>0</v>
      </c>
      <c r="M288" s="215" t="s">
        <v>68</v>
      </c>
      <c r="N288" s="212" t="s">
        <v>68</v>
      </c>
      <c r="O288" s="212"/>
      <c r="P288" s="212" t="s">
        <v>1098</v>
      </c>
      <c r="Q288" s="212" t="s">
        <v>1105</v>
      </c>
      <c r="R288" s="212" t="s">
        <v>1968</v>
      </c>
      <c r="S288" s="212"/>
      <c r="T288" s="212"/>
      <c r="U288" s="212"/>
      <c r="V288" s="212"/>
      <c r="W288" s="212"/>
      <c r="X288" s="212"/>
      <c r="Y288" s="212"/>
      <c r="Z288" s="212"/>
      <c r="AA288" s="220" t="s">
        <v>1123</v>
      </c>
      <c r="AB288" s="212">
        <f>(호표!H287+호표!H288)*0.3</f>
        <v>0</v>
      </c>
      <c r="AC288" s="220" t="s">
        <v>1124</v>
      </c>
      <c r="AD288" s="212">
        <f>$AB288</f>
        <v>0</v>
      </c>
      <c r="AE288" s="212"/>
      <c r="AF288" s="212"/>
      <c r="AG288" s="212"/>
      <c r="AH288" s="212"/>
      <c r="AI288" s="212"/>
      <c r="AJ288" s="212"/>
      <c r="AK288" s="212"/>
      <c r="AL288" s="212"/>
      <c r="AM288" s="212"/>
      <c r="AN288" s="212"/>
      <c r="AO288" s="212"/>
      <c r="AP288" s="212"/>
      <c r="AQ288" s="212"/>
      <c r="AR288" s="212"/>
      <c r="AS288" s="212"/>
      <c r="AT288" s="212"/>
      <c r="AU288" s="212"/>
      <c r="AV288" s="212"/>
      <c r="AW288" s="212"/>
      <c r="AX288" s="212"/>
      <c r="AY288" s="212"/>
      <c r="AZ288" s="212"/>
      <c r="BA288" s="212"/>
      <c r="BB288" s="212"/>
      <c r="BC288" s="212"/>
      <c r="BD288" s="212"/>
      <c r="BE288" s="212"/>
      <c r="BF288" s="212"/>
      <c r="BG288" s="212"/>
      <c r="BH288" s="212"/>
      <c r="BI288" s="231" t="str">
        <f>HYPERLINK("#노임!A3","L001010101000002 →")</f>
        <v>L001010101000002 →</v>
      </c>
    </row>
    <row r="289" spans="1:61" ht="24" customHeight="1">
      <c r="A289" s="218" t="s">
        <v>2111</v>
      </c>
      <c r="B289" s="218" t="s">
        <v>2112</v>
      </c>
      <c r="C289" s="228">
        <v>30</v>
      </c>
      <c r="D289" s="213" t="s">
        <v>1950</v>
      </c>
      <c r="E289" s="213"/>
      <c r="F289" s="217">
        <v>0</v>
      </c>
      <c r="G289" s="213"/>
      <c r="H289" s="217">
        <f>TRUNC(((H287+H288)*0.3),0)</f>
        <v>0</v>
      </c>
      <c r="I289" s="213"/>
      <c r="J289" s="217">
        <v>0</v>
      </c>
      <c r="K289" s="217">
        <f>E289+G289+I289</f>
        <v>0</v>
      </c>
      <c r="L289" s="217">
        <f>F289+H289+J289</f>
        <v>0</v>
      </c>
      <c r="M289" s="215" t="s">
        <v>68</v>
      </c>
      <c r="N289" s="212" t="s">
        <v>68</v>
      </c>
      <c r="O289" s="212"/>
      <c r="P289" s="212" t="s">
        <v>1101</v>
      </c>
      <c r="Q289" s="212" t="s">
        <v>68</v>
      </c>
      <c r="R289" s="212" t="s">
        <v>1121</v>
      </c>
      <c r="S289" s="212"/>
      <c r="T289" s="212"/>
      <c r="U289" s="212"/>
      <c r="V289" s="212"/>
      <c r="W289" s="212"/>
      <c r="X289" s="212" t="s">
        <v>2113</v>
      </c>
      <c r="Y289" s="212"/>
      <c r="Z289" s="212"/>
      <c r="AA289" s="212"/>
      <c r="AB289" s="212"/>
      <c r="AC289" s="212"/>
      <c r="AD289" s="212"/>
      <c r="AE289" s="212"/>
      <c r="AF289" s="212"/>
      <c r="AG289" s="212"/>
      <c r="AH289" s="212"/>
      <c r="AI289" s="212"/>
      <c r="AJ289" s="212"/>
      <c r="AK289" s="212"/>
      <c r="AL289" s="212"/>
      <c r="AM289" s="212"/>
      <c r="AN289" s="212"/>
      <c r="AO289" s="212"/>
      <c r="AP289" s="212"/>
      <c r="AQ289" s="212"/>
      <c r="AR289" s="212"/>
      <c r="AS289" s="212"/>
      <c r="AT289" s="212"/>
      <c r="AU289" s="212"/>
      <c r="AV289" s="212"/>
      <c r="AW289" s="212"/>
      <c r="AX289" s="212"/>
      <c r="AY289" s="212"/>
      <c r="AZ289" s="212"/>
      <c r="BA289" s="212"/>
      <c r="BB289" s="212"/>
      <c r="BC289" s="212"/>
      <c r="BD289" s="212"/>
      <c r="BE289" s="212"/>
      <c r="BF289" s="212"/>
      <c r="BG289" s="212"/>
      <c r="BH289" s="212"/>
      <c r="BI289" s="212"/>
    </row>
    <row r="290" spans="1:61" ht="24" customHeight="1">
      <c r="A290" s="215"/>
      <c r="B290" s="215"/>
      <c r="C290" s="229"/>
      <c r="D290" s="213"/>
      <c r="E290" s="213"/>
      <c r="F290" s="213"/>
      <c r="G290" s="213"/>
      <c r="H290" s="213"/>
      <c r="I290" s="213"/>
      <c r="J290" s="213"/>
      <c r="K290" s="213"/>
      <c r="L290" s="213"/>
      <c r="M290" s="215"/>
      <c r="N290" s="212"/>
      <c r="O290" s="212"/>
      <c r="P290" s="212"/>
      <c r="Q290" s="212"/>
      <c r="R290" s="212"/>
      <c r="S290" s="212"/>
      <c r="T290" s="212"/>
      <c r="U290" s="212"/>
      <c r="V290" s="212"/>
      <c r="W290" s="212"/>
      <c r="X290" s="212"/>
      <c r="Y290" s="212"/>
      <c r="Z290" s="212"/>
      <c r="AA290" s="212"/>
      <c r="AB290" s="212"/>
      <c r="AC290" s="212"/>
      <c r="AD290" s="212"/>
      <c r="AE290" s="212"/>
      <c r="AF290" s="212"/>
      <c r="AG290" s="212"/>
      <c r="AH290" s="212"/>
      <c r="AI290" s="212"/>
      <c r="AJ290" s="212"/>
      <c r="AK290" s="212"/>
      <c r="AL290" s="212"/>
      <c r="AM290" s="212"/>
      <c r="AN290" s="212"/>
      <c r="AO290" s="212"/>
      <c r="AP290" s="212"/>
      <c r="AQ290" s="212"/>
      <c r="AR290" s="212"/>
      <c r="AS290" s="212"/>
      <c r="AT290" s="212"/>
      <c r="AU290" s="212"/>
      <c r="AV290" s="212"/>
      <c r="AW290" s="212"/>
      <c r="AX290" s="212"/>
      <c r="AY290" s="212"/>
      <c r="AZ290" s="212"/>
      <c r="BA290" s="212"/>
      <c r="BB290" s="212"/>
      <c r="BC290" s="212"/>
      <c r="BD290" s="212"/>
      <c r="BE290" s="212"/>
      <c r="BF290" s="212"/>
      <c r="BG290" s="212"/>
      <c r="BH290" s="212"/>
      <c r="BI290" s="212"/>
    </row>
    <row r="291" spans="1:61" ht="24" customHeight="1">
      <c r="A291" s="218" t="s">
        <v>2115</v>
      </c>
      <c r="B291" s="218" t="s">
        <v>1715</v>
      </c>
      <c r="C291" s="228">
        <v>1</v>
      </c>
      <c r="D291" s="213" t="s">
        <v>378</v>
      </c>
      <c r="E291" s="212"/>
      <c r="F291" s="217">
        <f>TRUNC(F294,0)</f>
        <v>0</v>
      </c>
      <c r="G291" s="212"/>
      <c r="H291" s="217">
        <f>TRUNC(H294,0)</f>
        <v>0</v>
      </c>
      <c r="I291" s="212"/>
      <c r="J291" s="217">
        <f>TRUNC(J294,0)</f>
        <v>0</v>
      </c>
      <c r="K291" s="212"/>
      <c r="L291" s="217">
        <f>F291+H291+J291</f>
        <v>0</v>
      </c>
      <c r="M291" s="215" t="s">
        <v>1712</v>
      </c>
      <c r="N291" s="212" t="s">
        <v>68</v>
      </c>
      <c r="O291" s="212" t="s">
        <v>1716</v>
      </c>
      <c r="P291" s="212"/>
      <c r="Q291" s="212"/>
      <c r="R291" s="212"/>
      <c r="S291" s="212"/>
      <c r="T291" s="212"/>
      <c r="U291" s="212"/>
      <c r="V291" s="212"/>
      <c r="W291" s="212"/>
      <c r="X291" s="212"/>
      <c r="Y291" s="212"/>
      <c r="Z291" s="212"/>
      <c r="AA291" s="212"/>
      <c r="AB291" s="212"/>
      <c r="AC291" s="212"/>
      <c r="AD291" s="212"/>
      <c r="AE291" s="212"/>
      <c r="AF291" s="212"/>
      <c r="AG291" s="212"/>
      <c r="AH291" s="212"/>
      <c r="AI291" s="212"/>
      <c r="AJ291" s="212"/>
      <c r="AK291" s="212"/>
      <c r="AL291" s="212"/>
      <c r="AM291" s="212"/>
      <c r="AN291" s="212"/>
      <c r="AO291" s="212"/>
      <c r="AP291" s="212"/>
      <c r="AQ291" s="212"/>
      <c r="AR291" s="212"/>
      <c r="AS291" s="212"/>
      <c r="AT291" s="212"/>
      <c r="AU291" s="212"/>
      <c r="AV291" s="212"/>
      <c r="AW291" s="212"/>
      <c r="AX291" s="212"/>
      <c r="AY291" s="212"/>
      <c r="AZ291" s="212"/>
      <c r="BA291" s="212"/>
      <c r="BB291" s="212"/>
      <c r="BC291" s="212"/>
      <c r="BD291" s="212"/>
      <c r="BE291" s="212"/>
      <c r="BF291" s="212"/>
      <c r="BG291" s="212"/>
      <c r="BH291" s="212"/>
      <c r="BI291" s="212"/>
    </row>
    <row r="292" spans="1:61" ht="24" customHeight="1">
      <c r="A292" s="218" t="s">
        <v>2026</v>
      </c>
      <c r="B292" s="218" t="s">
        <v>1946</v>
      </c>
      <c r="C292" s="229">
        <v>0.56000000000000005</v>
      </c>
      <c r="D292" s="213" t="s">
        <v>1286</v>
      </c>
      <c r="E292" s="217">
        <v>0</v>
      </c>
      <c r="F292" s="217"/>
      <c r="G292" s="217">
        <f>노임!D13</f>
        <v>0</v>
      </c>
      <c r="H292" s="217">
        <f>TRUNC(G292*C292,0)</f>
        <v>0</v>
      </c>
      <c r="I292" s="217">
        <v>0</v>
      </c>
      <c r="J292" s="217"/>
      <c r="K292" s="217">
        <f>E292+G292+I292</f>
        <v>0</v>
      </c>
      <c r="L292" s="217">
        <f>F292+H292+J292</f>
        <v>0</v>
      </c>
      <c r="M292" s="215" t="s">
        <v>68</v>
      </c>
      <c r="N292" s="212" t="s">
        <v>68</v>
      </c>
      <c r="O292" s="212"/>
      <c r="P292" s="212" t="s">
        <v>1095</v>
      </c>
      <c r="Q292" s="212" t="s">
        <v>1105</v>
      </c>
      <c r="R292" s="212" t="s">
        <v>2027</v>
      </c>
      <c r="S292" s="212"/>
      <c r="T292" s="212"/>
      <c r="U292" s="212"/>
      <c r="V292" s="212"/>
      <c r="W292" s="212"/>
      <c r="X292" s="212"/>
      <c r="Y292" s="212"/>
      <c r="Z292" s="212"/>
      <c r="AA292" s="212"/>
      <c r="AB292" s="212"/>
      <c r="AC292" s="212"/>
      <c r="AD292" s="212"/>
      <c r="AE292" s="212"/>
      <c r="AF292" s="212"/>
      <c r="AG292" s="212"/>
      <c r="AH292" s="212"/>
      <c r="AI292" s="212"/>
      <c r="AJ292" s="212"/>
      <c r="AK292" s="212"/>
      <c r="AL292" s="212"/>
      <c r="AM292" s="212"/>
      <c r="AN292" s="212"/>
      <c r="AO292" s="212"/>
      <c r="AP292" s="212"/>
      <c r="AQ292" s="212"/>
      <c r="AR292" s="212"/>
      <c r="AS292" s="212"/>
      <c r="AT292" s="212"/>
      <c r="AU292" s="212"/>
      <c r="AV292" s="212"/>
      <c r="AW292" s="212"/>
      <c r="AX292" s="212"/>
      <c r="AY292" s="212"/>
      <c r="AZ292" s="212"/>
      <c r="BA292" s="212"/>
      <c r="BB292" s="212"/>
      <c r="BC292" s="212"/>
      <c r="BD292" s="212"/>
      <c r="BE292" s="212"/>
      <c r="BF292" s="212"/>
      <c r="BG292" s="212"/>
      <c r="BH292" s="212"/>
      <c r="BI292" s="231" t="str">
        <f>HYPERLINK("#노임!A13","L001010101000024 →")</f>
        <v>L001010101000024 →</v>
      </c>
    </row>
    <row r="293" spans="1:61" ht="24" customHeight="1">
      <c r="A293" s="218" t="s">
        <v>1967</v>
      </c>
      <c r="B293" s="218" t="s">
        <v>1946</v>
      </c>
      <c r="C293" s="229">
        <v>0.13400000000000001</v>
      </c>
      <c r="D293" s="213" t="s">
        <v>1286</v>
      </c>
      <c r="E293" s="217">
        <v>0</v>
      </c>
      <c r="F293" s="217"/>
      <c r="G293" s="217">
        <f>노임!D3</f>
        <v>0</v>
      </c>
      <c r="H293" s="217">
        <f>TRUNC(G293*C293,0)</f>
        <v>0</v>
      </c>
      <c r="I293" s="217">
        <v>0</v>
      </c>
      <c r="J293" s="217"/>
      <c r="K293" s="217">
        <f>E293+G293+I293</f>
        <v>0</v>
      </c>
      <c r="L293" s="217">
        <f>F293+H293+J293</f>
        <v>0</v>
      </c>
      <c r="M293" s="215" t="s">
        <v>68</v>
      </c>
      <c r="N293" s="212" t="s">
        <v>68</v>
      </c>
      <c r="O293" s="212"/>
      <c r="P293" s="212" t="s">
        <v>1098</v>
      </c>
      <c r="Q293" s="212" t="s">
        <v>1105</v>
      </c>
      <c r="R293" s="212" t="s">
        <v>1968</v>
      </c>
      <c r="S293" s="212"/>
      <c r="T293" s="212"/>
      <c r="U293" s="212"/>
      <c r="V293" s="212"/>
      <c r="W293" s="212"/>
      <c r="X293" s="212"/>
      <c r="Y293" s="212"/>
      <c r="Z293" s="212"/>
      <c r="AA293" s="220" t="s">
        <v>1123</v>
      </c>
      <c r="AB293" s="212">
        <f>(호표!H292+호표!H293)*0.3</f>
        <v>0</v>
      </c>
      <c r="AC293" s="220" t="s">
        <v>1124</v>
      </c>
      <c r="AD293" s="212">
        <f>$AB293</f>
        <v>0</v>
      </c>
      <c r="AE293" s="212"/>
      <c r="AF293" s="212"/>
      <c r="AG293" s="212"/>
      <c r="AH293" s="212"/>
      <c r="AI293" s="212"/>
      <c r="AJ293" s="212"/>
      <c r="AK293" s="212"/>
      <c r="AL293" s="212"/>
      <c r="AM293" s="212"/>
      <c r="AN293" s="212"/>
      <c r="AO293" s="212"/>
      <c r="AP293" s="212"/>
      <c r="AQ293" s="212"/>
      <c r="AR293" s="212"/>
      <c r="AS293" s="212"/>
      <c r="AT293" s="212"/>
      <c r="AU293" s="212"/>
      <c r="AV293" s="212"/>
      <c r="AW293" s="212"/>
      <c r="AX293" s="212"/>
      <c r="AY293" s="212"/>
      <c r="AZ293" s="212"/>
      <c r="BA293" s="212"/>
      <c r="BB293" s="212"/>
      <c r="BC293" s="212"/>
      <c r="BD293" s="212"/>
      <c r="BE293" s="212"/>
      <c r="BF293" s="212"/>
      <c r="BG293" s="212"/>
      <c r="BH293" s="212"/>
      <c r="BI293" s="231" t="str">
        <f>HYPERLINK("#노임!A3","L001010101000002 →")</f>
        <v>L001010101000002 →</v>
      </c>
    </row>
    <row r="294" spans="1:61" ht="24" customHeight="1">
      <c r="A294" s="218" t="s">
        <v>2111</v>
      </c>
      <c r="B294" s="218" t="s">
        <v>2112</v>
      </c>
      <c r="C294" s="228">
        <v>30</v>
      </c>
      <c r="D294" s="213" t="s">
        <v>1950</v>
      </c>
      <c r="E294" s="213"/>
      <c r="F294" s="217">
        <v>0</v>
      </c>
      <c r="G294" s="213"/>
      <c r="H294" s="217">
        <f>TRUNC(((H292+H293)*0.3),0)</f>
        <v>0</v>
      </c>
      <c r="I294" s="213"/>
      <c r="J294" s="217">
        <v>0</v>
      </c>
      <c r="K294" s="217">
        <f>E294+G294+I294</f>
        <v>0</v>
      </c>
      <c r="L294" s="217">
        <f>F294+H294+J294</f>
        <v>0</v>
      </c>
      <c r="M294" s="215" t="s">
        <v>68</v>
      </c>
      <c r="N294" s="212" t="s">
        <v>68</v>
      </c>
      <c r="O294" s="212"/>
      <c r="P294" s="212" t="s">
        <v>1101</v>
      </c>
      <c r="Q294" s="212" t="s">
        <v>68</v>
      </c>
      <c r="R294" s="212" t="s">
        <v>1121</v>
      </c>
      <c r="S294" s="212"/>
      <c r="T294" s="212"/>
      <c r="U294" s="212"/>
      <c r="V294" s="212"/>
      <c r="W294" s="212"/>
      <c r="X294" s="212" t="s">
        <v>2113</v>
      </c>
      <c r="Y294" s="212"/>
      <c r="Z294" s="212"/>
      <c r="AA294" s="212"/>
      <c r="AB294" s="212"/>
      <c r="AC294" s="212"/>
      <c r="AD294" s="212"/>
      <c r="AE294" s="212"/>
      <c r="AF294" s="212"/>
      <c r="AG294" s="212"/>
      <c r="AH294" s="212"/>
      <c r="AI294" s="212"/>
      <c r="AJ294" s="212"/>
      <c r="AK294" s="212"/>
      <c r="AL294" s="212"/>
      <c r="AM294" s="212"/>
      <c r="AN294" s="212"/>
      <c r="AO294" s="212"/>
      <c r="AP294" s="212"/>
      <c r="AQ294" s="212"/>
      <c r="AR294" s="212"/>
      <c r="AS294" s="212"/>
      <c r="AT294" s="212"/>
      <c r="AU294" s="212"/>
      <c r="AV294" s="212"/>
      <c r="AW294" s="212"/>
      <c r="AX294" s="212"/>
      <c r="AY294" s="212"/>
      <c r="AZ294" s="212"/>
      <c r="BA294" s="212"/>
      <c r="BB294" s="212"/>
      <c r="BC294" s="212"/>
      <c r="BD294" s="212"/>
      <c r="BE294" s="212"/>
      <c r="BF294" s="212"/>
      <c r="BG294" s="212"/>
      <c r="BH294" s="212"/>
      <c r="BI294" s="212"/>
    </row>
    <row r="295" spans="1:61" ht="24" customHeight="1">
      <c r="A295" s="215"/>
      <c r="B295" s="215"/>
      <c r="C295" s="229"/>
      <c r="D295" s="213"/>
      <c r="E295" s="213"/>
      <c r="F295" s="213"/>
      <c r="G295" s="213"/>
      <c r="H295" s="213"/>
      <c r="I295" s="213"/>
      <c r="J295" s="213"/>
      <c r="K295" s="213"/>
      <c r="L295" s="213"/>
      <c r="M295" s="215"/>
      <c r="N295" s="212"/>
      <c r="O295" s="212"/>
      <c r="P295" s="212"/>
      <c r="Q295" s="212"/>
      <c r="R295" s="212"/>
      <c r="S295" s="212"/>
      <c r="T295" s="212"/>
      <c r="U295" s="212"/>
      <c r="V295" s="212"/>
      <c r="W295" s="212"/>
      <c r="X295" s="212"/>
      <c r="Y295" s="212"/>
      <c r="Z295" s="212"/>
      <c r="AA295" s="212"/>
      <c r="AB295" s="212"/>
      <c r="AC295" s="212"/>
      <c r="AD295" s="212"/>
      <c r="AE295" s="212"/>
      <c r="AF295" s="212"/>
      <c r="AG295" s="212"/>
      <c r="AH295" s="212"/>
      <c r="AI295" s="212"/>
      <c r="AJ295" s="212"/>
      <c r="AK295" s="212"/>
      <c r="AL295" s="212"/>
      <c r="AM295" s="212"/>
      <c r="AN295" s="212"/>
      <c r="AO295" s="212"/>
      <c r="AP295" s="212"/>
      <c r="AQ295" s="212"/>
      <c r="AR295" s="212"/>
      <c r="AS295" s="212"/>
      <c r="AT295" s="212"/>
      <c r="AU295" s="212"/>
      <c r="AV295" s="212"/>
      <c r="AW295" s="212"/>
      <c r="AX295" s="212"/>
      <c r="AY295" s="212"/>
      <c r="AZ295" s="212"/>
      <c r="BA295" s="212"/>
      <c r="BB295" s="212"/>
      <c r="BC295" s="212"/>
      <c r="BD295" s="212"/>
      <c r="BE295" s="212"/>
      <c r="BF295" s="212"/>
      <c r="BG295" s="212"/>
      <c r="BH295" s="212"/>
      <c r="BI295" s="212"/>
    </row>
    <row r="296" spans="1:61" ht="24" customHeight="1">
      <c r="A296" s="218" t="s">
        <v>2116</v>
      </c>
      <c r="B296" s="218" t="s">
        <v>1718</v>
      </c>
      <c r="C296" s="228">
        <v>1</v>
      </c>
      <c r="D296" s="213" t="s">
        <v>378</v>
      </c>
      <c r="E296" s="212"/>
      <c r="F296" s="217">
        <f>TRUNC(F299,0)</f>
        <v>0</v>
      </c>
      <c r="G296" s="212"/>
      <c r="H296" s="217">
        <f>TRUNC(H299,0)</f>
        <v>0</v>
      </c>
      <c r="I296" s="212"/>
      <c r="J296" s="217">
        <f>TRUNC(J299,0)</f>
        <v>0</v>
      </c>
      <c r="K296" s="212"/>
      <c r="L296" s="217">
        <f>F296+H296+J296</f>
        <v>0</v>
      </c>
      <c r="M296" s="215" t="s">
        <v>1719</v>
      </c>
      <c r="N296" s="212" t="s">
        <v>68</v>
      </c>
      <c r="O296" s="212" t="s">
        <v>1720</v>
      </c>
      <c r="P296" s="212"/>
      <c r="Q296" s="212"/>
      <c r="R296" s="212"/>
      <c r="S296" s="212"/>
      <c r="T296" s="212"/>
      <c r="U296" s="212"/>
      <c r="V296" s="212"/>
      <c r="W296" s="212"/>
      <c r="X296" s="212"/>
      <c r="Y296" s="212"/>
      <c r="Z296" s="212"/>
      <c r="AA296" s="212"/>
      <c r="AB296" s="212"/>
      <c r="AC296" s="212"/>
      <c r="AD296" s="212"/>
      <c r="AE296" s="212"/>
      <c r="AF296" s="212"/>
      <c r="AG296" s="212"/>
      <c r="AH296" s="212"/>
      <c r="AI296" s="212"/>
      <c r="AJ296" s="212"/>
      <c r="AK296" s="212"/>
      <c r="AL296" s="212"/>
      <c r="AM296" s="212"/>
      <c r="AN296" s="212"/>
      <c r="AO296" s="212"/>
      <c r="AP296" s="212"/>
      <c r="AQ296" s="212"/>
      <c r="AR296" s="212"/>
      <c r="AS296" s="212"/>
      <c r="AT296" s="212"/>
      <c r="AU296" s="212"/>
      <c r="AV296" s="212"/>
      <c r="AW296" s="212"/>
      <c r="AX296" s="212"/>
      <c r="AY296" s="212"/>
      <c r="AZ296" s="212"/>
      <c r="BA296" s="212"/>
      <c r="BB296" s="212"/>
      <c r="BC296" s="212"/>
      <c r="BD296" s="212"/>
      <c r="BE296" s="212"/>
      <c r="BF296" s="212"/>
      <c r="BG296" s="212"/>
      <c r="BH296" s="212"/>
      <c r="BI296" s="212"/>
    </row>
    <row r="297" spans="1:61" ht="24" customHeight="1">
      <c r="A297" s="218" t="s">
        <v>2026</v>
      </c>
      <c r="B297" s="218" t="s">
        <v>1946</v>
      </c>
      <c r="C297" s="229">
        <v>0.20799999999999999</v>
      </c>
      <c r="D297" s="213" t="s">
        <v>1286</v>
      </c>
      <c r="E297" s="217">
        <v>0</v>
      </c>
      <c r="F297" s="217"/>
      <c r="G297" s="217">
        <f>노임!D13</f>
        <v>0</v>
      </c>
      <c r="H297" s="217">
        <f>TRUNC(G297*C297,0)</f>
        <v>0</v>
      </c>
      <c r="I297" s="217">
        <v>0</v>
      </c>
      <c r="J297" s="217"/>
      <c r="K297" s="217">
        <f>E297+G297+I297</f>
        <v>0</v>
      </c>
      <c r="L297" s="217">
        <f>F297+H297+J297</f>
        <v>0</v>
      </c>
      <c r="M297" s="215" t="s">
        <v>68</v>
      </c>
      <c r="N297" s="212" t="s">
        <v>68</v>
      </c>
      <c r="O297" s="212"/>
      <c r="P297" s="212" t="s">
        <v>1095</v>
      </c>
      <c r="Q297" s="212" t="s">
        <v>1105</v>
      </c>
      <c r="R297" s="212" t="s">
        <v>2027</v>
      </c>
      <c r="S297" s="212"/>
      <c r="T297" s="212"/>
      <c r="U297" s="212"/>
      <c r="V297" s="212"/>
      <c r="W297" s="212"/>
      <c r="X297" s="212"/>
      <c r="Y297" s="212"/>
      <c r="Z297" s="212"/>
      <c r="AA297" s="212"/>
      <c r="AB297" s="212"/>
      <c r="AC297" s="212"/>
      <c r="AD297" s="212"/>
      <c r="AE297" s="212"/>
      <c r="AF297" s="212"/>
      <c r="AG297" s="212"/>
      <c r="AH297" s="212"/>
      <c r="AI297" s="212"/>
      <c r="AJ297" s="212"/>
      <c r="AK297" s="212"/>
      <c r="AL297" s="212"/>
      <c r="AM297" s="212"/>
      <c r="AN297" s="212"/>
      <c r="AO297" s="212"/>
      <c r="AP297" s="212"/>
      <c r="AQ297" s="212"/>
      <c r="AR297" s="212"/>
      <c r="AS297" s="212"/>
      <c r="AT297" s="212"/>
      <c r="AU297" s="212"/>
      <c r="AV297" s="212"/>
      <c r="AW297" s="212"/>
      <c r="AX297" s="212"/>
      <c r="AY297" s="212"/>
      <c r="AZ297" s="212"/>
      <c r="BA297" s="212"/>
      <c r="BB297" s="212"/>
      <c r="BC297" s="212"/>
      <c r="BD297" s="212"/>
      <c r="BE297" s="212"/>
      <c r="BF297" s="212"/>
      <c r="BG297" s="212"/>
      <c r="BH297" s="212"/>
      <c r="BI297" s="231" t="str">
        <f>HYPERLINK("#노임!A13","L001010101000024 →")</f>
        <v>L001010101000024 →</v>
      </c>
    </row>
    <row r="298" spans="1:61" ht="24" customHeight="1">
      <c r="A298" s="218" t="s">
        <v>1967</v>
      </c>
      <c r="B298" s="218" t="s">
        <v>1946</v>
      </c>
      <c r="C298" s="229">
        <v>4.7E-2</v>
      </c>
      <c r="D298" s="213" t="s">
        <v>1286</v>
      </c>
      <c r="E298" s="217">
        <v>0</v>
      </c>
      <c r="F298" s="217"/>
      <c r="G298" s="217">
        <f>노임!D3</f>
        <v>0</v>
      </c>
      <c r="H298" s="217">
        <f>TRUNC(G298*C298,0)</f>
        <v>0</v>
      </c>
      <c r="I298" s="217">
        <v>0</v>
      </c>
      <c r="J298" s="217"/>
      <c r="K298" s="217">
        <f>E298+G298+I298</f>
        <v>0</v>
      </c>
      <c r="L298" s="217">
        <f>F298+H298+J298</f>
        <v>0</v>
      </c>
      <c r="M298" s="215" t="s">
        <v>68</v>
      </c>
      <c r="N298" s="212" t="s">
        <v>68</v>
      </c>
      <c r="O298" s="212"/>
      <c r="P298" s="212" t="s">
        <v>1098</v>
      </c>
      <c r="Q298" s="212" t="s">
        <v>1105</v>
      </c>
      <c r="R298" s="212" t="s">
        <v>1968</v>
      </c>
      <c r="S298" s="212"/>
      <c r="T298" s="212"/>
      <c r="U298" s="212"/>
      <c r="V298" s="212"/>
      <c r="W298" s="212"/>
      <c r="X298" s="212"/>
      <c r="Y298" s="212"/>
      <c r="Z298" s="212"/>
      <c r="AA298" s="220" t="s">
        <v>1123</v>
      </c>
      <c r="AB298" s="212">
        <f>(호표!H297+호표!H298)*0.3</f>
        <v>0</v>
      </c>
      <c r="AC298" s="220" t="s">
        <v>1124</v>
      </c>
      <c r="AD298" s="212">
        <f>$AB298</f>
        <v>0</v>
      </c>
      <c r="AE298" s="212"/>
      <c r="AF298" s="212"/>
      <c r="AG298" s="212"/>
      <c r="AH298" s="212"/>
      <c r="AI298" s="212"/>
      <c r="AJ298" s="212"/>
      <c r="AK298" s="212"/>
      <c r="AL298" s="212"/>
      <c r="AM298" s="212"/>
      <c r="AN298" s="212"/>
      <c r="AO298" s="212"/>
      <c r="AP298" s="212"/>
      <c r="AQ298" s="212"/>
      <c r="AR298" s="212"/>
      <c r="AS298" s="212"/>
      <c r="AT298" s="212"/>
      <c r="AU298" s="212"/>
      <c r="AV298" s="212"/>
      <c r="AW298" s="212"/>
      <c r="AX298" s="212"/>
      <c r="AY298" s="212"/>
      <c r="AZ298" s="212"/>
      <c r="BA298" s="212"/>
      <c r="BB298" s="212"/>
      <c r="BC298" s="212"/>
      <c r="BD298" s="212"/>
      <c r="BE298" s="212"/>
      <c r="BF298" s="212"/>
      <c r="BG298" s="212"/>
      <c r="BH298" s="212"/>
      <c r="BI298" s="231" t="str">
        <f>HYPERLINK("#노임!A3","L001010101000002 →")</f>
        <v>L001010101000002 →</v>
      </c>
    </row>
    <row r="299" spans="1:61" ht="24" customHeight="1">
      <c r="A299" s="218" t="s">
        <v>2111</v>
      </c>
      <c r="B299" s="218" t="s">
        <v>2112</v>
      </c>
      <c r="C299" s="228">
        <v>30</v>
      </c>
      <c r="D299" s="213" t="s">
        <v>1950</v>
      </c>
      <c r="E299" s="213"/>
      <c r="F299" s="217">
        <v>0</v>
      </c>
      <c r="G299" s="213"/>
      <c r="H299" s="217">
        <f>TRUNC(((H297+H298)*0.3),0)</f>
        <v>0</v>
      </c>
      <c r="I299" s="213"/>
      <c r="J299" s="217">
        <v>0</v>
      </c>
      <c r="K299" s="217">
        <f>E299+G299+I299</f>
        <v>0</v>
      </c>
      <c r="L299" s="217">
        <f>F299+H299+J299</f>
        <v>0</v>
      </c>
      <c r="M299" s="215" t="s">
        <v>68</v>
      </c>
      <c r="N299" s="212" t="s">
        <v>68</v>
      </c>
      <c r="O299" s="212"/>
      <c r="P299" s="212" t="s">
        <v>1101</v>
      </c>
      <c r="Q299" s="212" t="s">
        <v>68</v>
      </c>
      <c r="R299" s="212" t="s">
        <v>1121</v>
      </c>
      <c r="S299" s="212"/>
      <c r="T299" s="212"/>
      <c r="U299" s="212"/>
      <c r="V299" s="212"/>
      <c r="W299" s="212"/>
      <c r="X299" s="212" t="s">
        <v>2113</v>
      </c>
      <c r="Y299" s="212"/>
      <c r="Z299" s="212"/>
      <c r="AA299" s="212"/>
      <c r="AB299" s="212"/>
      <c r="AC299" s="212"/>
      <c r="AD299" s="212"/>
      <c r="AE299" s="212"/>
      <c r="AF299" s="212"/>
      <c r="AG299" s="212"/>
      <c r="AH299" s="212"/>
      <c r="AI299" s="212"/>
      <c r="AJ299" s="212"/>
      <c r="AK299" s="212"/>
      <c r="AL299" s="212"/>
      <c r="AM299" s="212"/>
      <c r="AN299" s="212"/>
      <c r="AO299" s="212"/>
      <c r="AP299" s="212"/>
      <c r="AQ299" s="212"/>
      <c r="AR299" s="212"/>
      <c r="AS299" s="212"/>
      <c r="AT299" s="212"/>
      <c r="AU299" s="212"/>
      <c r="AV299" s="212"/>
      <c r="AW299" s="212"/>
      <c r="AX299" s="212"/>
      <c r="AY299" s="212"/>
      <c r="AZ299" s="212"/>
      <c r="BA299" s="212"/>
      <c r="BB299" s="212"/>
      <c r="BC299" s="212"/>
      <c r="BD299" s="212"/>
      <c r="BE299" s="212"/>
      <c r="BF299" s="212"/>
      <c r="BG299" s="212"/>
      <c r="BH299" s="212"/>
      <c r="BI299" s="212"/>
    </row>
    <row r="300" spans="1:61" ht="24" customHeight="1">
      <c r="A300" s="215"/>
      <c r="B300" s="215"/>
      <c r="C300" s="229"/>
      <c r="D300" s="213"/>
      <c r="E300" s="213"/>
      <c r="F300" s="213"/>
      <c r="G300" s="213"/>
      <c r="H300" s="213"/>
      <c r="I300" s="213"/>
      <c r="J300" s="213"/>
      <c r="K300" s="213"/>
      <c r="L300" s="213"/>
      <c r="M300" s="215"/>
      <c r="N300" s="212"/>
      <c r="O300" s="212"/>
      <c r="P300" s="212"/>
      <c r="Q300" s="212"/>
      <c r="R300" s="212"/>
      <c r="S300" s="212"/>
      <c r="T300" s="212"/>
      <c r="U300" s="212"/>
      <c r="V300" s="212"/>
      <c r="W300" s="212"/>
      <c r="X300" s="212"/>
      <c r="Y300" s="212"/>
      <c r="Z300" s="212"/>
      <c r="AA300" s="212"/>
      <c r="AB300" s="212"/>
      <c r="AC300" s="212"/>
      <c r="AD300" s="212"/>
      <c r="AE300" s="212"/>
      <c r="AF300" s="212"/>
      <c r="AG300" s="212"/>
      <c r="AH300" s="212"/>
      <c r="AI300" s="212"/>
      <c r="AJ300" s="212"/>
      <c r="AK300" s="212"/>
      <c r="AL300" s="212"/>
      <c r="AM300" s="212"/>
      <c r="AN300" s="212"/>
      <c r="AO300" s="212"/>
      <c r="AP300" s="212"/>
      <c r="AQ300" s="212"/>
      <c r="AR300" s="212"/>
      <c r="AS300" s="212"/>
      <c r="AT300" s="212"/>
      <c r="AU300" s="212"/>
      <c r="AV300" s="212"/>
      <c r="AW300" s="212"/>
      <c r="AX300" s="212"/>
      <c r="AY300" s="212"/>
      <c r="AZ300" s="212"/>
      <c r="BA300" s="212"/>
      <c r="BB300" s="212"/>
      <c r="BC300" s="212"/>
      <c r="BD300" s="212"/>
      <c r="BE300" s="212"/>
      <c r="BF300" s="212"/>
      <c r="BG300" s="212"/>
      <c r="BH300" s="212"/>
      <c r="BI300" s="212"/>
    </row>
    <row r="301" spans="1:61" ht="24" customHeight="1">
      <c r="A301" s="218" t="s">
        <v>2117</v>
      </c>
      <c r="B301" s="218" t="s">
        <v>1715</v>
      </c>
      <c r="C301" s="228">
        <v>1</v>
      </c>
      <c r="D301" s="213" t="s">
        <v>378</v>
      </c>
      <c r="E301" s="212"/>
      <c r="F301" s="217">
        <f>TRUNC(F304,0)</f>
        <v>0</v>
      </c>
      <c r="G301" s="212"/>
      <c r="H301" s="217">
        <f>TRUNC(H304,0)</f>
        <v>0</v>
      </c>
      <c r="I301" s="212"/>
      <c r="J301" s="217">
        <f>TRUNC(J304,0)</f>
        <v>0</v>
      </c>
      <c r="K301" s="212"/>
      <c r="L301" s="217">
        <f>F301+H301+J301</f>
        <v>0</v>
      </c>
      <c r="M301" s="215" t="s">
        <v>1719</v>
      </c>
      <c r="N301" s="212" t="s">
        <v>68</v>
      </c>
      <c r="O301" s="212" t="s">
        <v>1722</v>
      </c>
      <c r="P301" s="212"/>
      <c r="Q301" s="212"/>
      <c r="R301" s="212"/>
      <c r="S301" s="212"/>
      <c r="T301" s="212"/>
      <c r="U301" s="212"/>
      <c r="V301" s="212"/>
      <c r="W301" s="212"/>
      <c r="X301" s="212"/>
      <c r="Y301" s="212"/>
      <c r="Z301" s="212"/>
      <c r="AA301" s="212"/>
      <c r="AB301" s="212"/>
      <c r="AC301" s="212"/>
      <c r="AD301" s="212"/>
      <c r="AE301" s="212"/>
      <c r="AF301" s="212"/>
      <c r="AG301" s="212"/>
      <c r="AH301" s="212"/>
      <c r="AI301" s="212"/>
      <c r="AJ301" s="212"/>
      <c r="AK301" s="212"/>
      <c r="AL301" s="212"/>
      <c r="AM301" s="212"/>
      <c r="AN301" s="212"/>
      <c r="AO301" s="212"/>
      <c r="AP301" s="212"/>
      <c r="AQ301" s="212"/>
      <c r="AR301" s="212"/>
      <c r="AS301" s="212"/>
      <c r="AT301" s="212"/>
      <c r="AU301" s="212"/>
      <c r="AV301" s="212"/>
      <c r="AW301" s="212"/>
      <c r="AX301" s="212"/>
      <c r="AY301" s="212"/>
      <c r="AZ301" s="212"/>
      <c r="BA301" s="212"/>
      <c r="BB301" s="212"/>
      <c r="BC301" s="212"/>
      <c r="BD301" s="212"/>
      <c r="BE301" s="212"/>
      <c r="BF301" s="212"/>
      <c r="BG301" s="212"/>
      <c r="BH301" s="212"/>
      <c r="BI301" s="212"/>
    </row>
    <row r="302" spans="1:61" ht="24" customHeight="1">
      <c r="A302" s="218" t="s">
        <v>2026</v>
      </c>
      <c r="B302" s="218" t="s">
        <v>1946</v>
      </c>
      <c r="C302" s="229">
        <v>0.40300000000000002</v>
      </c>
      <c r="D302" s="213" t="s">
        <v>1286</v>
      </c>
      <c r="E302" s="217">
        <v>0</v>
      </c>
      <c r="F302" s="217"/>
      <c r="G302" s="217">
        <f>노임!D13</f>
        <v>0</v>
      </c>
      <c r="H302" s="217">
        <f>TRUNC(G302*C302,0)</f>
        <v>0</v>
      </c>
      <c r="I302" s="217">
        <v>0</v>
      </c>
      <c r="J302" s="217"/>
      <c r="K302" s="217">
        <f>E302+G302+I302</f>
        <v>0</v>
      </c>
      <c r="L302" s="217">
        <f>F302+H302+J302</f>
        <v>0</v>
      </c>
      <c r="M302" s="215" t="s">
        <v>68</v>
      </c>
      <c r="N302" s="212" t="s">
        <v>68</v>
      </c>
      <c r="O302" s="212"/>
      <c r="P302" s="212" t="s">
        <v>1095</v>
      </c>
      <c r="Q302" s="212" t="s">
        <v>1105</v>
      </c>
      <c r="R302" s="212" t="s">
        <v>2027</v>
      </c>
      <c r="S302" s="212"/>
      <c r="T302" s="212"/>
      <c r="U302" s="212"/>
      <c r="V302" s="212"/>
      <c r="W302" s="212"/>
      <c r="X302" s="212"/>
      <c r="Y302" s="212"/>
      <c r="Z302" s="212"/>
      <c r="AA302" s="212"/>
      <c r="AB302" s="212"/>
      <c r="AC302" s="212"/>
      <c r="AD302" s="212"/>
      <c r="AE302" s="212"/>
      <c r="AF302" s="212"/>
      <c r="AG302" s="212"/>
      <c r="AH302" s="212"/>
      <c r="AI302" s="212"/>
      <c r="AJ302" s="212"/>
      <c r="AK302" s="212"/>
      <c r="AL302" s="212"/>
      <c r="AM302" s="212"/>
      <c r="AN302" s="212"/>
      <c r="AO302" s="212"/>
      <c r="AP302" s="212"/>
      <c r="AQ302" s="212"/>
      <c r="AR302" s="212"/>
      <c r="AS302" s="212"/>
      <c r="AT302" s="212"/>
      <c r="AU302" s="212"/>
      <c r="AV302" s="212"/>
      <c r="AW302" s="212"/>
      <c r="AX302" s="212"/>
      <c r="AY302" s="212"/>
      <c r="AZ302" s="212"/>
      <c r="BA302" s="212"/>
      <c r="BB302" s="212"/>
      <c r="BC302" s="212"/>
      <c r="BD302" s="212"/>
      <c r="BE302" s="212"/>
      <c r="BF302" s="212"/>
      <c r="BG302" s="212"/>
      <c r="BH302" s="212"/>
      <c r="BI302" s="231" t="str">
        <f>HYPERLINK("#노임!A13","L001010101000024 →")</f>
        <v>L001010101000024 →</v>
      </c>
    </row>
    <row r="303" spans="1:61" ht="24" customHeight="1">
      <c r="A303" s="218" t="s">
        <v>1967</v>
      </c>
      <c r="B303" s="218" t="s">
        <v>1946</v>
      </c>
      <c r="C303" s="229">
        <v>8.4000000000000005E-2</v>
      </c>
      <c r="D303" s="213" t="s">
        <v>1286</v>
      </c>
      <c r="E303" s="217">
        <v>0</v>
      </c>
      <c r="F303" s="217"/>
      <c r="G303" s="217">
        <f>노임!D3</f>
        <v>0</v>
      </c>
      <c r="H303" s="217">
        <f>TRUNC(G303*C303,0)</f>
        <v>0</v>
      </c>
      <c r="I303" s="217">
        <v>0</v>
      </c>
      <c r="J303" s="217"/>
      <c r="K303" s="217">
        <f>E303+G303+I303</f>
        <v>0</v>
      </c>
      <c r="L303" s="217">
        <f>F303+H303+J303</f>
        <v>0</v>
      </c>
      <c r="M303" s="215" t="s">
        <v>68</v>
      </c>
      <c r="N303" s="212" t="s">
        <v>68</v>
      </c>
      <c r="O303" s="212"/>
      <c r="P303" s="212" t="s">
        <v>1098</v>
      </c>
      <c r="Q303" s="212" t="s">
        <v>1105</v>
      </c>
      <c r="R303" s="212" t="s">
        <v>1968</v>
      </c>
      <c r="S303" s="212"/>
      <c r="T303" s="212"/>
      <c r="U303" s="212"/>
      <c r="V303" s="212"/>
      <c r="W303" s="212"/>
      <c r="X303" s="212"/>
      <c r="Y303" s="212"/>
      <c r="Z303" s="212"/>
      <c r="AA303" s="220" t="s">
        <v>1123</v>
      </c>
      <c r="AB303" s="212">
        <f>(호표!H302+호표!H303)*0.3</f>
        <v>0</v>
      </c>
      <c r="AC303" s="220" t="s">
        <v>1124</v>
      </c>
      <c r="AD303" s="212">
        <f>$AB303</f>
        <v>0</v>
      </c>
      <c r="AE303" s="212"/>
      <c r="AF303" s="212"/>
      <c r="AG303" s="212"/>
      <c r="AH303" s="212"/>
      <c r="AI303" s="212"/>
      <c r="AJ303" s="212"/>
      <c r="AK303" s="212"/>
      <c r="AL303" s="212"/>
      <c r="AM303" s="212"/>
      <c r="AN303" s="212"/>
      <c r="AO303" s="212"/>
      <c r="AP303" s="212"/>
      <c r="AQ303" s="212"/>
      <c r="AR303" s="212"/>
      <c r="AS303" s="212"/>
      <c r="AT303" s="212"/>
      <c r="AU303" s="212"/>
      <c r="AV303" s="212"/>
      <c r="AW303" s="212"/>
      <c r="AX303" s="212"/>
      <c r="AY303" s="212"/>
      <c r="AZ303" s="212"/>
      <c r="BA303" s="212"/>
      <c r="BB303" s="212"/>
      <c r="BC303" s="212"/>
      <c r="BD303" s="212"/>
      <c r="BE303" s="212"/>
      <c r="BF303" s="212"/>
      <c r="BG303" s="212"/>
      <c r="BH303" s="212"/>
      <c r="BI303" s="231" t="str">
        <f>HYPERLINK("#노임!A3","L001010101000002 →")</f>
        <v>L001010101000002 →</v>
      </c>
    </row>
    <row r="304" spans="1:61" ht="24" customHeight="1">
      <c r="A304" s="218" t="s">
        <v>2111</v>
      </c>
      <c r="B304" s="218" t="s">
        <v>2112</v>
      </c>
      <c r="C304" s="228">
        <v>30</v>
      </c>
      <c r="D304" s="213" t="s">
        <v>1950</v>
      </c>
      <c r="E304" s="213"/>
      <c r="F304" s="217">
        <v>0</v>
      </c>
      <c r="G304" s="213"/>
      <c r="H304" s="217">
        <f>TRUNC(((H302+H303)*0.3),0)</f>
        <v>0</v>
      </c>
      <c r="I304" s="213"/>
      <c r="J304" s="217">
        <v>0</v>
      </c>
      <c r="K304" s="217">
        <f>E304+G304+I304</f>
        <v>0</v>
      </c>
      <c r="L304" s="217">
        <f>F304+H304+J304</f>
        <v>0</v>
      </c>
      <c r="M304" s="215" t="s">
        <v>68</v>
      </c>
      <c r="N304" s="212" t="s">
        <v>68</v>
      </c>
      <c r="O304" s="212"/>
      <c r="P304" s="212" t="s">
        <v>1101</v>
      </c>
      <c r="Q304" s="212" t="s">
        <v>68</v>
      </c>
      <c r="R304" s="212" t="s">
        <v>1121</v>
      </c>
      <c r="S304" s="212"/>
      <c r="T304" s="212"/>
      <c r="U304" s="212"/>
      <c r="V304" s="212"/>
      <c r="W304" s="212"/>
      <c r="X304" s="212" t="s">
        <v>2113</v>
      </c>
      <c r="Y304" s="212"/>
      <c r="Z304" s="212"/>
      <c r="AA304" s="212"/>
      <c r="AB304" s="212"/>
      <c r="AC304" s="212"/>
      <c r="AD304" s="212"/>
      <c r="AE304" s="212"/>
      <c r="AF304" s="212"/>
      <c r="AG304" s="212"/>
      <c r="AH304" s="212"/>
      <c r="AI304" s="212"/>
      <c r="AJ304" s="212"/>
      <c r="AK304" s="212"/>
      <c r="AL304" s="212"/>
      <c r="AM304" s="212"/>
      <c r="AN304" s="212"/>
      <c r="AO304" s="212"/>
      <c r="AP304" s="212"/>
      <c r="AQ304" s="212"/>
      <c r="AR304" s="212"/>
      <c r="AS304" s="212"/>
      <c r="AT304" s="212"/>
      <c r="AU304" s="212"/>
      <c r="AV304" s="212"/>
      <c r="AW304" s="212"/>
      <c r="AX304" s="212"/>
      <c r="AY304" s="212"/>
      <c r="AZ304" s="212"/>
      <c r="BA304" s="212"/>
      <c r="BB304" s="212"/>
      <c r="BC304" s="212"/>
      <c r="BD304" s="212"/>
      <c r="BE304" s="212"/>
      <c r="BF304" s="212"/>
      <c r="BG304" s="212"/>
      <c r="BH304" s="212"/>
      <c r="BI304" s="212"/>
    </row>
    <row r="305" spans="1:61" ht="24" customHeight="1">
      <c r="A305" s="215"/>
      <c r="B305" s="215"/>
      <c r="C305" s="229"/>
      <c r="D305" s="213"/>
      <c r="E305" s="213"/>
      <c r="F305" s="213"/>
      <c r="G305" s="213"/>
      <c r="H305" s="213"/>
      <c r="I305" s="213"/>
      <c r="J305" s="213"/>
      <c r="K305" s="213"/>
      <c r="L305" s="213"/>
      <c r="M305" s="215"/>
      <c r="N305" s="212"/>
      <c r="O305" s="212"/>
      <c r="P305" s="212"/>
      <c r="Q305" s="212"/>
      <c r="R305" s="212"/>
      <c r="S305" s="212"/>
      <c r="T305" s="212"/>
      <c r="U305" s="212"/>
      <c r="V305" s="212"/>
      <c r="W305" s="212"/>
      <c r="X305" s="212"/>
      <c r="Y305" s="212"/>
      <c r="Z305" s="212"/>
      <c r="AA305" s="212"/>
      <c r="AB305" s="212"/>
      <c r="AC305" s="212"/>
      <c r="AD305" s="212"/>
      <c r="AE305" s="212"/>
      <c r="AF305" s="212"/>
      <c r="AG305" s="212"/>
      <c r="AH305" s="212"/>
      <c r="AI305" s="212"/>
      <c r="AJ305" s="212"/>
      <c r="AK305" s="212"/>
      <c r="AL305" s="212"/>
      <c r="AM305" s="212"/>
      <c r="AN305" s="212"/>
      <c r="AO305" s="212"/>
      <c r="AP305" s="212"/>
      <c r="AQ305" s="212"/>
      <c r="AR305" s="212"/>
      <c r="AS305" s="212"/>
      <c r="AT305" s="212"/>
      <c r="AU305" s="212"/>
      <c r="AV305" s="212"/>
      <c r="AW305" s="212"/>
      <c r="AX305" s="212"/>
      <c r="AY305" s="212"/>
      <c r="AZ305" s="212"/>
      <c r="BA305" s="212"/>
      <c r="BB305" s="212"/>
      <c r="BC305" s="212"/>
      <c r="BD305" s="212"/>
      <c r="BE305" s="212"/>
      <c r="BF305" s="212"/>
      <c r="BG305" s="212"/>
      <c r="BH305" s="212"/>
      <c r="BI305" s="212"/>
    </row>
    <row r="306" spans="1:61" ht="24" customHeight="1">
      <c r="A306" s="218" t="s">
        <v>2118</v>
      </c>
      <c r="B306" s="218" t="s">
        <v>1724</v>
      </c>
      <c r="C306" s="228">
        <v>1</v>
      </c>
      <c r="D306" s="213" t="s">
        <v>378</v>
      </c>
      <c r="E306" s="212"/>
      <c r="F306" s="217">
        <f>TRUNC(F309,0)</f>
        <v>0</v>
      </c>
      <c r="G306" s="212"/>
      <c r="H306" s="217">
        <f>TRUNC(H309,0)</f>
        <v>0</v>
      </c>
      <c r="I306" s="212"/>
      <c r="J306" s="217">
        <f>TRUNC(J309,0)</f>
        <v>0</v>
      </c>
      <c r="K306" s="212"/>
      <c r="L306" s="217">
        <f>F306+H306+J306</f>
        <v>0</v>
      </c>
      <c r="M306" s="215" t="s">
        <v>1719</v>
      </c>
      <c r="N306" s="212" t="s">
        <v>68</v>
      </c>
      <c r="O306" s="212" t="s">
        <v>1725</v>
      </c>
      <c r="P306" s="212"/>
      <c r="Q306" s="212"/>
      <c r="R306" s="212"/>
      <c r="S306" s="212"/>
      <c r="T306" s="212"/>
      <c r="U306" s="212"/>
      <c r="V306" s="212"/>
      <c r="W306" s="212"/>
      <c r="X306" s="212"/>
      <c r="Y306" s="212"/>
      <c r="Z306" s="212"/>
      <c r="AA306" s="212"/>
      <c r="AB306" s="212"/>
      <c r="AC306" s="212"/>
      <c r="AD306" s="212"/>
      <c r="AE306" s="212"/>
      <c r="AF306" s="212"/>
      <c r="AG306" s="212"/>
      <c r="AH306" s="212"/>
      <c r="AI306" s="212"/>
      <c r="AJ306" s="212"/>
      <c r="AK306" s="212"/>
      <c r="AL306" s="212"/>
      <c r="AM306" s="212"/>
      <c r="AN306" s="212"/>
      <c r="AO306" s="212"/>
      <c r="AP306" s="212"/>
      <c r="AQ306" s="212"/>
      <c r="AR306" s="212"/>
      <c r="AS306" s="212"/>
      <c r="AT306" s="212"/>
      <c r="AU306" s="212"/>
      <c r="AV306" s="212"/>
      <c r="AW306" s="212"/>
      <c r="AX306" s="212"/>
      <c r="AY306" s="212"/>
      <c r="AZ306" s="212"/>
      <c r="BA306" s="212"/>
      <c r="BB306" s="212"/>
      <c r="BC306" s="212"/>
      <c r="BD306" s="212"/>
      <c r="BE306" s="212"/>
      <c r="BF306" s="212"/>
      <c r="BG306" s="212"/>
      <c r="BH306" s="212"/>
      <c r="BI306" s="212"/>
    </row>
    <row r="307" spans="1:61" ht="24" customHeight="1">
      <c r="A307" s="218" t="s">
        <v>2026</v>
      </c>
      <c r="B307" s="218" t="s">
        <v>1946</v>
      </c>
      <c r="C307" s="229">
        <v>0.51200000000000001</v>
      </c>
      <c r="D307" s="213" t="s">
        <v>1286</v>
      </c>
      <c r="E307" s="217">
        <v>0</v>
      </c>
      <c r="F307" s="217"/>
      <c r="G307" s="217">
        <f>노임!D13</f>
        <v>0</v>
      </c>
      <c r="H307" s="217">
        <f>TRUNC(G307*C307,0)</f>
        <v>0</v>
      </c>
      <c r="I307" s="217">
        <v>0</v>
      </c>
      <c r="J307" s="217"/>
      <c r="K307" s="217">
        <f>E307+G307+I307</f>
        <v>0</v>
      </c>
      <c r="L307" s="217">
        <f>F307+H307+J307</f>
        <v>0</v>
      </c>
      <c r="M307" s="215" t="s">
        <v>68</v>
      </c>
      <c r="N307" s="212" t="s">
        <v>68</v>
      </c>
      <c r="O307" s="212"/>
      <c r="P307" s="212" t="s">
        <v>1095</v>
      </c>
      <c r="Q307" s="212" t="s">
        <v>1105</v>
      </c>
      <c r="R307" s="212" t="s">
        <v>2027</v>
      </c>
      <c r="S307" s="212"/>
      <c r="T307" s="212"/>
      <c r="U307" s="212"/>
      <c r="V307" s="212"/>
      <c r="W307" s="212"/>
      <c r="X307" s="212"/>
      <c r="Y307" s="212"/>
      <c r="Z307" s="212"/>
      <c r="AA307" s="212"/>
      <c r="AB307" s="212"/>
      <c r="AC307" s="212"/>
      <c r="AD307" s="212"/>
      <c r="AE307" s="212"/>
      <c r="AF307" s="212"/>
      <c r="AG307" s="212"/>
      <c r="AH307" s="212"/>
      <c r="AI307" s="212"/>
      <c r="AJ307" s="212"/>
      <c r="AK307" s="212"/>
      <c r="AL307" s="212"/>
      <c r="AM307" s="212"/>
      <c r="AN307" s="212"/>
      <c r="AO307" s="212"/>
      <c r="AP307" s="212"/>
      <c r="AQ307" s="212"/>
      <c r="AR307" s="212"/>
      <c r="AS307" s="212"/>
      <c r="AT307" s="212"/>
      <c r="AU307" s="212"/>
      <c r="AV307" s="212"/>
      <c r="AW307" s="212"/>
      <c r="AX307" s="212"/>
      <c r="AY307" s="212"/>
      <c r="AZ307" s="212"/>
      <c r="BA307" s="212"/>
      <c r="BB307" s="212"/>
      <c r="BC307" s="212"/>
      <c r="BD307" s="212"/>
      <c r="BE307" s="212"/>
      <c r="BF307" s="212"/>
      <c r="BG307" s="212"/>
      <c r="BH307" s="212"/>
      <c r="BI307" s="231" t="str">
        <f>HYPERLINK("#노임!A13","L001010101000024 →")</f>
        <v>L001010101000024 →</v>
      </c>
    </row>
    <row r="308" spans="1:61" ht="24" customHeight="1">
      <c r="A308" s="218" t="s">
        <v>1967</v>
      </c>
      <c r="B308" s="218" t="s">
        <v>1946</v>
      </c>
      <c r="C308" s="229">
        <v>0.11600000000000001</v>
      </c>
      <c r="D308" s="213" t="s">
        <v>1286</v>
      </c>
      <c r="E308" s="217">
        <v>0</v>
      </c>
      <c r="F308" s="217"/>
      <c r="G308" s="217">
        <f>노임!D3</f>
        <v>0</v>
      </c>
      <c r="H308" s="217">
        <f>TRUNC(G308*C308,0)</f>
        <v>0</v>
      </c>
      <c r="I308" s="217">
        <v>0</v>
      </c>
      <c r="J308" s="217"/>
      <c r="K308" s="217">
        <f>E308+G308+I308</f>
        <v>0</v>
      </c>
      <c r="L308" s="217">
        <f>F308+H308+J308</f>
        <v>0</v>
      </c>
      <c r="M308" s="215" t="s">
        <v>68</v>
      </c>
      <c r="N308" s="212" t="s">
        <v>68</v>
      </c>
      <c r="O308" s="212"/>
      <c r="P308" s="212" t="s">
        <v>1098</v>
      </c>
      <c r="Q308" s="212" t="s">
        <v>1105</v>
      </c>
      <c r="R308" s="212" t="s">
        <v>1968</v>
      </c>
      <c r="S308" s="212"/>
      <c r="T308" s="212"/>
      <c r="U308" s="212"/>
      <c r="V308" s="212"/>
      <c r="W308" s="212"/>
      <c r="X308" s="212"/>
      <c r="Y308" s="212"/>
      <c r="Z308" s="212"/>
      <c r="AA308" s="220" t="s">
        <v>1123</v>
      </c>
      <c r="AB308" s="212">
        <f>(호표!H307+호표!H308)*0.3</f>
        <v>0</v>
      </c>
      <c r="AC308" s="220" t="s">
        <v>1124</v>
      </c>
      <c r="AD308" s="212">
        <f>$AB308</f>
        <v>0</v>
      </c>
      <c r="AE308" s="212"/>
      <c r="AF308" s="212"/>
      <c r="AG308" s="212"/>
      <c r="AH308" s="212"/>
      <c r="AI308" s="212"/>
      <c r="AJ308" s="212"/>
      <c r="AK308" s="212"/>
      <c r="AL308" s="212"/>
      <c r="AM308" s="212"/>
      <c r="AN308" s="212"/>
      <c r="AO308" s="212"/>
      <c r="AP308" s="212"/>
      <c r="AQ308" s="212"/>
      <c r="AR308" s="212"/>
      <c r="AS308" s="212"/>
      <c r="AT308" s="212"/>
      <c r="AU308" s="212"/>
      <c r="AV308" s="212"/>
      <c r="AW308" s="212"/>
      <c r="AX308" s="212"/>
      <c r="AY308" s="212"/>
      <c r="AZ308" s="212"/>
      <c r="BA308" s="212"/>
      <c r="BB308" s="212"/>
      <c r="BC308" s="212"/>
      <c r="BD308" s="212"/>
      <c r="BE308" s="212"/>
      <c r="BF308" s="212"/>
      <c r="BG308" s="212"/>
      <c r="BH308" s="212"/>
      <c r="BI308" s="231" t="str">
        <f>HYPERLINK("#노임!A3","L001010101000002 →")</f>
        <v>L001010101000002 →</v>
      </c>
    </row>
    <row r="309" spans="1:61" ht="24" customHeight="1">
      <c r="A309" s="218" t="s">
        <v>2111</v>
      </c>
      <c r="B309" s="218" t="s">
        <v>2112</v>
      </c>
      <c r="C309" s="228">
        <v>30</v>
      </c>
      <c r="D309" s="213" t="s">
        <v>1950</v>
      </c>
      <c r="E309" s="213"/>
      <c r="F309" s="217">
        <v>0</v>
      </c>
      <c r="G309" s="213"/>
      <c r="H309" s="217">
        <f>TRUNC(((H307+H308)*0.3),0)</f>
        <v>0</v>
      </c>
      <c r="I309" s="213"/>
      <c r="J309" s="217">
        <v>0</v>
      </c>
      <c r="K309" s="217">
        <f>E309+G309+I309</f>
        <v>0</v>
      </c>
      <c r="L309" s="217">
        <f>F309+H309+J309</f>
        <v>0</v>
      </c>
      <c r="M309" s="215" t="s">
        <v>68</v>
      </c>
      <c r="N309" s="212" t="s">
        <v>68</v>
      </c>
      <c r="O309" s="212"/>
      <c r="P309" s="212" t="s">
        <v>1101</v>
      </c>
      <c r="Q309" s="212" t="s">
        <v>68</v>
      </c>
      <c r="R309" s="212" t="s">
        <v>1121</v>
      </c>
      <c r="S309" s="212"/>
      <c r="T309" s="212"/>
      <c r="U309" s="212"/>
      <c r="V309" s="212"/>
      <c r="W309" s="212"/>
      <c r="X309" s="212" t="s">
        <v>2113</v>
      </c>
      <c r="Y309" s="212"/>
      <c r="Z309" s="212"/>
      <c r="AA309" s="212"/>
      <c r="AB309" s="212"/>
      <c r="AC309" s="212"/>
      <c r="AD309" s="212"/>
      <c r="AE309" s="212"/>
      <c r="AF309" s="212"/>
      <c r="AG309" s="212"/>
      <c r="AH309" s="212"/>
      <c r="AI309" s="212"/>
      <c r="AJ309" s="212"/>
      <c r="AK309" s="212"/>
      <c r="AL309" s="212"/>
      <c r="AM309" s="212"/>
      <c r="AN309" s="212"/>
      <c r="AO309" s="212"/>
      <c r="AP309" s="212"/>
      <c r="AQ309" s="212"/>
      <c r="AR309" s="212"/>
      <c r="AS309" s="212"/>
      <c r="AT309" s="212"/>
      <c r="AU309" s="212"/>
      <c r="AV309" s="212"/>
      <c r="AW309" s="212"/>
      <c r="AX309" s="212"/>
      <c r="AY309" s="212"/>
      <c r="AZ309" s="212"/>
      <c r="BA309" s="212"/>
      <c r="BB309" s="212"/>
      <c r="BC309" s="212"/>
      <c r="BD309" s="212"/>
      <c r="BE309" s="212"/>
      <c r="BF309" s="212"/>
      <c r="BG309" s="212"/>
      <c r="BH309" s="212"/>
      <c r="BI309" s="212"/>
    </row>
    <row r="310" spans="1:61" ht="24" customHeight="1">
      <c r="A310" s="215"/>
      <c r="B310" s="215"/>
      <c r="C310" s="229"/>
      <c r="D310" s="213"/>
      <c r="E310" s="213"/>
      <c r="F310" s="213"/>
      <c r="G310" s="213"/>
      <c r="H310" s="213"/>
      <c r="I310" s="213"/>
      <c r="J310" s="213"/>
      <c r="K310" s="213"/>
      <c r="L310" s="213"/>
      <c r="M310" s="215"/>
      <c r="N310" s="212"/>
      <c r="O310" s="212"/>
      <c r="P310" s="212"/>
      <c r="Q310" s="212"/>
      <c r="R310" s="212"/>
      <c r="S310" s="212"/>
      <c r="T310" s="212"/>
      <c r="U310" s="212"/>
      <c r="V310" s="212"/>
      <c r="W310" s="212"/>
      <c r="X310" s="212"/>
      <c r="Y310" s="212"/>
      <c r="Z310" s="212"/>
      <c r="AA310" s="212"/>
      <c r="AB310" s="212"/>
      <c r="AC310" s="212"/>
      <c r="AD310" s="212"/>
      <c r="AE310" s="212"/>
      <c r="AF310" s="212"/>
      <c r="AG310" s="212"/>
      <c r="AH310" s="212"/>
      <c r="AI310" s="212"/>
      <c r="AJ310" s="212"/>
      <c r="AK310" s="212"/>
      <c r="AL310" s="212"/>
      <c r="AM310" s="212"/>
      <c r="AN310" s="212"/>
      <c r="AO310" s="212"/>
      <c r="AP310" s="212"/>
      <c r="AQ310" s="212"/>
      <c r="AR310" s="212"/>
      <c r="AS310" s="212"/>
      <c r="AT310" s="212"/>
      <c r="AU310" s="212"/>
      <c r="AV310" s="212"/>
      <c r="AW310" s="212"/>
      <c r="AX310" s="212"/>
      <c r="AY310" s="212"/>
      <c r="AZ310" s="212"/>
      <c r="BA310" s="212"/>
      <c r="BB310" s="212"/>
      <c r="BC310" s="212"/>
      <c r="BD310" s="212"/>
      <c r="BE310" s="212"/>
      <c r="BF310" s="212"/>
      <c r="BG310" s="212"/>
      <c r="BH310" s="212"/>
      <c r="BI310" s="212"/>
    </row>
    <row r="311" spans="1:61" ht="24" customHeight="1">
      <c r="A311" s="218" t="s">
        <v>2119</v>
      </c>
      <c r="B311" s="218" t="s">
        <v>1727</v>
      </c>
      <c r="C311" s="228">
        <v>1</v>
      </c>
      <c r="D311" s="213" t="s">
        <v>378</v>
      </c>
      <c r="E311" s="212"/>
      <c r="F311" s="217">
        <f>TRUNC(F314,0)</f>
        <v>0</v>
      </c>
      <c r="G311" s="212"/>
      <c r="H311" s="217">
        <f>TRUNC(H314,0)</f>
        <v>0</v>
      </c>
      <c r="I311" s="212"/>
      <c r="J311" s="217">
        <f>TRUNC(J314,0)</f>
        <v>0</v>
      </c>
      <c r="K311" s="212"/>
      <c r="L311" s="217">
        <f>F311+H311+J311</f>
        <v>0</v>
      </c>
      <c r="M311" s="215" t="s">
        <v>1719</v>
      </c>
      <c r="N311" s="212" t="s">
        <v>68</v>
      </c>
      <c r="O311" s="212" t="s">
        <v>1728</v>
      </c>
      <c r="P311" s="212"/>
      <c r="Q311" s="212"/>
      <c r="R311" s="212"/>
      <c r="S311" s="212"/>
      <c r="T311" s="212"/>
      <c r="U311" s="212"/>
      <c r="V311" s="212"/>
      <c r="W311" s="212"/>
      <c r="X311" s="212"/>
      <c r="Y311" s="212"/>
      <c r="Z311" s="212"/>
      <c r="AA311" s="212"/>
      <c r="AB311" s="212"/>
      <c r="AC311" s="212"/>
      <c r="AD311" s="212"/>
      <c r="AE311" s="212"/>
      <c r="AF311" s="212"/>
      <c r="AG311" s="212"/>
      <c r="AH311" s="212"/>
      <c r="AI311" s="212"/>
      <c r="AJ311" s="212"/>
      <c r="AK311" s="212"/>
      <c r="AL311" s="212"/>
      <c r="AM311" s="212"/>
      <c r="AN311" s="212"/>
      <c r="AO311" s="212"/>
      <c r="AP311" s="212"/>
      <c r="AQ311" s="212"/>
      <c r="AR311" s="212"/>
      <c r="AS311" s="212"/>
      <c r="AT311" s="212"/>
      <c r="AU311" s="212"/>
      <c r="AV311" s="212"/>
      <c r="AW311" s="212"/>
      <c r="AX311" s="212"/>
      <c r="AY311" s="212"/>
      <c r="AZ311" s="212"/>
      <c r="BA311" s="212"/>
      <c r="BB311" s="212"/>
      <c r="BC311" s="212"/>
      <c r="BD311" s="212"/>
      <c r="BE311" s="212"/>
      <c r="BF311" s="212"/>
      <c r="BG311" s="212"/>
      <c r="BH311" s="212"/>
      <c r="BI311" s="212"/>
    </row>
    <row r="312" spans="1:61" ht="24" customHeight="1">
      <c r="A312" s="218" t="s">
        <v>2026</v>
      </c>
      <c r="B312" s="218" t="s">
        <v>1946</v>
      </c>
      <c r="C312" s="229">
        <v>0.28299999999999997</v>
      </c>
      <c r="D312" s="213" t="s">
        <v>1286</v>
      </c>
      <c r="E312" s="217">
        <v>0</v>
      </c>
      <c r="F312" s="217"/>
      <c r="G312" s="217">
        <f>노임!D13</f>
        <v>0</v>
      </c>
      <c r="H312" s="217">
        <f>TRUNC(G312*C312,0)</f>
        <v>0</v>
      </c>
      <c r="I312" s="217">
        <v>0</v>
      </c>
      <c r="J312" s="217"/>
      <c r="K312" s="217">
        <f>E312+G312+I312</f>
        <v>0</v>
      </c>
      <c r="L312" s="217">
        <f>F312+H312+J312</f>
        <v>0</v>
      </c>
      <c r="M312" s="215" t="s">
        <v>68</v>
      </c>
      <c r="N312" s="212" t="s">
        <v>68</v>
      </c>
      <c r="O312" s="212"/>
      <c r="P312" s="212" t="s">
        <v>1095</v>
      </c>
      <c r="Q312" s="212" t="s">
        <v>1105</v>
      </c>
      <c r="R312" s="212" t="s">
        <v>2027</v>
      </c>
      <c r="S312" s="212"/>
      <c r="T312" s="212"/>
      <c r="U312" s="212"/>
      <c r="V312" s="212"/>
      <c r="W312" s="212"/>
      <c r="X312" s="212"/>
      <c r="Y312" s="212"/>
      <c r="Z312" s="212"/>
      <c r="AA312" s="212"/>
      <c r="AB312" s="212"/>
      <c r="AC312" s="212"/>
      <c r="AD312" s="212"/>
      <c r="AE312" s="212"/>
      <c r="AF312" s="212"/>
      <c r="AG312" s="212"/>
      <c r="AH312" s="212"/>
      <c r="AI312" s="212"/>
      <c r="AJ312" s="212"/>
      <c r="AK312" s="212"/>
      <c r="AL312" s="212"/>
      <c r="AM312" s="212"/>
      <c r="AN312" s="212"/>
      <c r="AO312" s="212"/>
      <c r="AP312" s="212"/>
      <c r="AQ312" s="212"/>
      <c r="AR312" s="212"/>
      <c r="AS312" s="212"/>
      <c r="AT312" s="212"/>
      <c r="AU312" s="212"/>
      <c r="AV312" s="212"/>
      <c r="AW312" s="212"/>
      <c r="AX312" s="212"/>
      <c r="AY312" s="212"/>
      <c r="AZ312" s="212"/>
      <c r="BA312" s="212"/>
      <c r="BB312" s="212"/>
      <c r="BC312" s="212"/>
      <c r="BD312" s="212"/>
      <c r="BE312" s="212"/>
      <c r="BF312" s="212"/>
      <c r="BG312" s="212"/>
      <c r="BH312" s="212"/>
      <c r="BI312" s="231" t="str">
        <f>HYPERLINK("#노임!A13","L001010101000024 →")</f>
        <v>L001010101000024 →</v>
      </c>
    </row>
    <row r="313" spans="1:61" ht="24" customHeight="1">
      <c r="A313" s="218" t="s">
        <v>1967</v>
      </c>
      <c r="B313" s="218" t="s">
        <v>1946</v>
      </c>
      <c r="C313" s="229">
        <v>6.3E-2</v>
      </c>
      <c r="D313" s="213" t="s">
        <v>1286</v>
      </c>
      <c r="E313" s="217">
        <v>0</v>
      </c>
      <c r="F313" s="217"/>
      <c r="G313" s="217">
        <f>노임!D3</f>
        <v>0</v>
      </c>
      <c r="H313" s="217">
        <f>TRUNC(G313*C313,0)</f>
        <v>0</v>
      </c>
      <c r="I313" s="217">
        <v>0</v>
      </c>
      <c r="J313" s="217"/>
      <c r="K313" s="217">
        <f>E313+G313+I313</f>
        <v>0</v>
      </c>
      <c r="L313" s="217">
        <f>F313+H313+J313</f>
        <v>0</v>
      </c>
      <c r="M313" s="215" t="s">
        <v>68</v>
      </c>
      <c r="N313" s="212" t="s">
        <v>68</v>
      </c>
      <c r="O313" s="212"/>
      <c r="P313" s="212" t="s">
        <v>1098</v>
      </c>
      <c r="Q313" s="212" t="s">
        <v>1105</v>
      </c>
      <c r="R313" s="212" t="s">
        <v>1968</v>
      </c>
      <c r="S313" s="212"/>
      <c r="T313" s="212"/>
      <c r="U313" s="212"/>
      <c r="V313" s="212"/>
      <c r="W313" s="212"/>
      <c r="X313" s="212"/>
      <c r="Y313" s="212"/>
      <c r="Z313" s="212"/>
      <c r="AA313" s="220" t="s">
        <v>1123</v>
      </c>
      <c r="AB313" s="212">
        <f>(호표!H312+호표!H313)*0.3</f>
        <v>0</v>
      </c>
      <c r="AC313" s="220" t="s">
        <v>1124</v>
      </c>
      <c r="AD313" s="212">
        <f>$AB313</f>
        <v>0</v>
      </c>
      <c r="AE313" s="212"/>
      <c r="AF313" s="212"/>
      <c r="AG313" s="212"/>
      <c r="AH313" s="212"/>
      <c r="AI313" s="212"/>
      <c r="AJ313" s="212"/>
      <c r="AK313" s="212"/>
      <c r="AL313" s="212"/>
      <c r="AM313" s="212"/>
      <c r="AN313" s="212"/>
      <c r="AO313" s="212"/>
      <c r="AP313" s="212"/>
      <c r="AQ313" s="212"/>
      <c r="AR313" s="212"/>
      <c r="AS313" s="212"/>
      <c r="AT313" s="212"/>
      <c r="AU313" s="212"/>
      <c r="AV313" s="212"/>
      <c r="AW313" s="212"/>
      <c r="AX313" s="212"/>
      <c r="AY313" s="212"/>
      <c r="AZ313" s="212"/>
      <c r="BA313" s="212"/>
      <c r="BB313" s="212"/>
      <c r="BC313" s="212"/>
      <c r="BD313" s="212"/>
      <c r="BE313" s="212"/>
      <c r="BF313" s="212"/>
      <c r="BG313" s="212"/>
      <c r="BH313" s="212"/>
      <c r="BI313" s="231" t="str">
        <f>HYPERLINK("#노임!A3","L001010101000002 →")</f>
        <v>L001010101000002 →</v>
      </c>
    </row>
    <row r="314" spans="1:61" ht="24" customHeight="1">
      <c r="A314" s="218" t="s">
        <v>2111</v>
      </c>
      <c r="B314" s="218" t="s">
        <v>2112</v>
      </c>
      <c r="C314" s="228">
        <v>30</v>
      </c>
      <c r="D314" s="213" t="s">
        <v>1950</v>
      </c>
      <c r="E314" s="213"/>
      <c r="F314" s="217">
        <v>0</v>
      </c>
      <c r="G314" s="213"/>
      <c r="H314" s="217">
        <f>TRUNC(((H312+H313)*0.3),0)</f>
        <v>0</v>
      </c>
      <c r="I314" s="213"/>
      <c r="J314" s="217">
        <v>0</v>
      </c>
      <c r="K314" s="217">
        <f>E314+G314+I314</f>
        <v>0</v>
      </c>
      <c r="L314" s="217">
        <f>F314+H314+J314</f>
        <v>0</v>
      </c>
      <c r="M314" s="215" t="s">
        <v>68</v>
      </c>
      <c r="N314" s="212" t="s">
        <v>68</v>
      </c>
      <c r="O314" s="212"/>
      <c r="P314" s="212" t="s">
        <v>1101</v>
      </c>
      <c r="Q314" s="212" t="s">
        <v>68</v>
      </c>
      <c r="R314" s="212" t="s">
        <v>1121</v>
      </c>
      <c r="S314" s="212"/>
      <c r="T314" s="212"/>
      <c r="U314" s="212"/>
      <c r="V314" s="212"/>
      <c r="W314" s="212"/>
      <c r="X314" s="212" t="s">
        <v>2113</v>
      </c>
      <c r="Y314" s="212"/>
      <c r="Z314" s="212"/>
      <c r="AA314" s="212"/>
      <c r="AB314" s="212"/>
      <c r="AC314" s="212"/>
      <c r="AD314" s="212"/>
      <c r="AE314" s="212"/>
      <c r="AF314" s="212"/>
      <c r="AG314" s="212"/>
      <c r="AH314" s="212"/>
      <c r="AI314" s="212"/>
      <c r="AJ314" s="212"/>
      <c r="AK314" s="212"/>
      <c r="AL314" s="212"/>
      <c r="AM314" s="212"/>
      <c r="AN314" s="212"/>
      <c r="AO314" s="212"/>
      <c r="AP314" s="212"/>
      <c r="AQ314" s="212"/>
      <c r="AR314" s="212"/>
      <c r="AS314" s="212"/>
      <c r="AT314" s="212"/>
      <c r="AU314" s="212"/>
      <c r="AV314" s="212"/>
      <c r="AW314" s="212"/>
      <c r="AX314" s="212"/>
      <c r="AY314" s="212"/>
      <c r="AZ314" s="212"/>
      <c r="BA314" s="212"/>
      <c r="BB314" s="212"/>
      <c r="BC314" s="212"/>
      <c r="BD314" s="212"/>
      <c r="BE314" s="212"/>
      <c r="BF314" s="212"/>
      <c r="BG314" s="212"/>
      <c r="BH314" s="212"/>
      <c r="BI314" s="212"/>
    </row>
    <row r="315" spans="1:61" ht="24" customHeight="1">
      <c r="A315" s="215"/>
      <c r="B315" s="215"/>
      <c r="C315" s="229"/>
      <c r="D315" s="213"/>
      <c r="E315" s="213"/>
      <c r="F315" s="213"/>
      <c r="G315" s="213"/>
      <c r="H315" s="213"/>
      <c r="I315" s="213"/>
      <c r="J315" s="213"/>
      <c r="K315" s="213"/>
      <c r="L315" s="213"/>
      <c r="M315" s="215"/>
      <c r="N315" s="212"/>
      <c r="O315" s="212"/>
      <c r="P315" s="212"/>
      <c r="Q315" s="212"/>
      <c r="R315" s="212"/>
      <c r="S315" s="212"/>
      <c r="T315" s="212"/>
      <c r="U315" s="212"/>
      <c r="V315" s="212"/>
      <c r="W315" s="212"/>
      <c r="X315" s="212"/>
      <c r="Y315" s="212"/>
      <c r="Z315" s="212"/>
      <c r="AA315" s="212"/>
      <c r="AB315" s="212"/>
      <c r="AC315" s="212"/>
      <c r="AD315" s="212"/>
      <c r="AE315" s="212"/>
      <c r="AF315" s="212"/>
      <c r="AG315" s="212"/>
      <c r="AH315" s="212"/>
      <c r="AI315" s="212"/>
      <c r="AJ315" s="212"/>
      <c r="AK315" s="212"/>
      <c r="AL315" s="212"/>
      <c r="AM315" s="212"/>
      <c r="AN315" s="212"/>
      <c r="AO315" s="212"/>
      <c r="AP315" s="212"/>
      <c r="AQ315" s="212"/>
      <c r="AR315" s="212"/>
      <c r="AS315" s="212"/>
      <c r="AT315" s="212"/>
      <c r="AU315" s="212"/>
      <c r="AV315" s="212"/>
      <c r="AW315" s="212"/>
      <c r="AX315" s="212"/>
      <c r="AY315" s="212"/>
      <c r="AZ315" s="212"/>
      <c r="BA315" s="212"/>
      <c r="BB315" s="212"/>
      <c r="BC315" s="212"/>
      <c r="BD315" s="212"/>
      <c r="BE315" s="212"/>
      <c r="BF315" s="212"/>
      <c r="BG315" s="212"/>
      <c r="BH315" s="212"/>
      <c r="BI315" s="212"/>
    </row>
    <row r="316" spans="1:61" ht="24" customHeight="1">
      <c r="A316" s="218" t="s">
        <v>2120</v>
      </c>
      <c r="B316" s="218" t="s">
        <v>1730</v>
      </c>
      <c r="C316" s="228">
        <v>1</v>
      </c>
      <c r="D316" s="213" t="s">
        <v>9</v>
      </c>
      <c r="E316" s="212"/>
      <c r="F316" s="217">
        <f>TRUNC(F319,0)</f>
        <v>0</v>
      </c>
      <c r="G316" s="212"/>
      <c r="H316" s="217">
        <f>TRUNC(H319,0)</f>
        <v>0</v>
      </c>
      <c r="I316" s="212"/>
      <c r="J316" s="217">
        <f>TRUNC(J319,0)</f>
        <v>0</v>
      </c>
      <c r="K316" s="212"/>
      <c r="L316" s="217">
        <f>F316+H316+J316</f>
        <v>0</v>
      </c>
      <c r="M316" s="215" t="s">
        <v>1731</v>
      </c>
      <c r="N316" s="212" t="s">
        <v>68</v>
      </c>
      <c r="O316" s="212" t="s">
        <v>1732</v>
      </c>
      <c r="P316" s="212"/>
      <c r="Q316" s="212"/>
      <c r="R316" s="212"/>
      <c r="S316" s="212"/>
      <c r="T316" s="212"/>
      <c r="U316" s="212"/>
      <c r="V316" s="212"/>
      <c r="W316" s="212"/>
      <c r="X316" s="212"/>
      <c r="Y316" s="212"/>
      <c r="Z316" s="212"/>
      <c r="AA316" s="212"/>
      <c r="AB316" s="212"/>
      <c r="AC316" s="212"/>
      <c r="AD316" s="212"/>
      <c r="AE316" s="212"/>
      <c r="AF316" s="212"/>
      <c r="AG316" s="212"/>
      <c r="AH316" s="212"/>
      <c r="AI316" s="212"/>
      <c r="AJ316" s="212"/>
      <c r="AK316" s="212"/>
      <c r="AL316" s="212"/>
      <c r="AM316" s="212"/>
      <c r="AN316" s="212"/>
      <c r="AO316" s="212"/>
      <c r="AP316" s="212"/>
      <c r="AQ316" s="212"/>
      <c r="AR316" s="212"/>
      <c r="AS316" s="212"/>
      <c r="AT316" s="212"/>
      <c r="AU316" s="212"/>
      <c r="AV316" s="212"/>
      <c r="AW316" s="212"/>
      <c r="AX316" s="212"/>
      <c r="AY316" s="212"/>
      <c r="AZ316" s="212"/>
      <c r="BA316" s="212"/>
      <c r="BB316" s="212"/>
      <c r="BC316" s="212"/>
      <c r="BD316" s="212"/>
      <c r="BE316" s="212"/>
      <c r="BF316" s="212"/>
      <c r="BG316" s="212"/>
      <c r="BH316" s="212"/>
      <c r="BI316" s="212"/>
    </row>
    <row r="317" spans="1:61" ht="24" customHeight="1">
      <c r="A317" s="218" t="s">
        <v>2121</v>
      </c>
      <c r="B317" s="218" t="s">
        <v>1946</v>
      </c>
      <c r="C317" s="229">
        <v>0.16700000000000001</v>
      </c>
      <c r="D317" s="213" t="s">
        <v>1286</v>
      </c>
      <c r="E317" s="217">
        <v>0</v>
      </c>
      <c r="F317" s="217"/>
      <c r="G317" s="217">
        <f>노임!D12</f>
        <v>0</v>
      </c>
      <c r="H317" s="217">
        <f>TRUNC(G317*C317,0)</f>
        <v>0</v>
      </c>
      <c r="I317" s="217">
        <v>0</v>
      </c>
      <c r="J317" s="217"/>
      <c r="K317" s="217">
        <f>E317+G317+I317</f>
        <v>0</v>
      </c>
      <c r="L317" s="217">
        <f>F317+H317+J317</f>
        <v>0</v>
      </c>
      <c r="M317" s="215" t="s">
        <v>68</v>
      </c>
      <c r="N317" s="212" t="s">
        <v>68</v>
      </c>
      <c r="O317" s="212"/>
      <c r="P317" s="212" t="s">
        <v>1095</v>
      </c>
      <c r="Q317" s="212" t="s">
        <v>1105</v>
      </c>
      <c r="R317" s="212" t="s">
        <v>2122</v>
      </c>
      <c r="S317" s="212"/>
      <c r="T317" s="212"/>
      <c r="U317" s="212"/>
      <c r="V317" s="212"/>
      <c r="W317" s="212"/>
      <c r="X317" s="212"/>
      <c r="Y317" s="212"/>
      <c r="Z317" s="212"/>
      <c r="AA317" s="212"/>
      <c r="AB317" s="212"/>
      <c r="AC317" s="212"/>
      <c r="AD317" s="212"/>
      <c r="AE317" s="212"/>
      <c r="AF317" s="212"/>
      <c r="AG317" s="212"/>
      <c r="AH317" s="212"/>
      <c r="AI317" s="212"/>
      <c r="AJ317" s="212"/>
      <c r="AK317" s="212"/>
      <c r="AL317" s="212"/>
      <c r="AM317" s="212"/>
      <c r="AN317" s="212"/>
      <c r="AO317" s="212"/>
      <c r="AP317" s="212"/>
      <c r="AQ317" s="212"/>
      <c r="AR317" s="212"/>
      <c r="AS317" s="212"/>
      <c r="AT317" s="212"/>
      <c r="AU317" s="212"/>
      <c r="AV317" s="212"/>
      <c r="AW317" s="212"/>
      <c r="AX317" s="212"/>
      <c r="AY317" s="212"/>
      <c r="AZ317" s="212"/>
      <c r="BA317" s="212"/>
      <c r="BB317" s="212"/>
      <c r="BC317" s="212"/>
      <c r="BD317" s="212"/>
      <c r="BE317" s="212"/>
      <c r="BF317" s="212"/>
      <c r="BG317" s="212"/>
      <c r="BH317" s="212"/>
      <c r="BI317" s="231" t="str">
        <f>HYPERLINK("#노임!A12","L001010101000023 →")</f>
        <v>L001010101000023 →</v>
      </c>
    </row>
    <row r="318" spans="1:61" ht="24" customHeight="1">
      <c r="A318" s="218" t="s">
        <v>1967</v>
      </c>
      <c r="B318" s="218" t="s">
        <v>1946</v>
      </c>
      <c r="C318" s="229">
        <v>5.6000000000000001E-2</v>
      </c>
      <c r="D318" s="213" t="s">
        <v>1286</v>
      </c>
      <c r="E318" s="217">
        <v>0</v>
      </c>
      <c r="F318" s="217"/>
      <c r="G318" s="217">
        <f>노임!D3</f>
        <v>0</v>
      </c>
      <c r="H318" s="217">
        <f>TRUNC(G318*C318,0)</f>
        <v>0</v>
      </c>
      <c r="I318" s="217">
        <v>0</v>
      </c>
      <c r="J318" s="217"/>
      <c r="K318" s="217">
        <f>E318+G318+I318</f>
        <v>0</v>
      </c>
      <c r="L318" s="217">
        <f>F318+H318+J318</f>
        <v>0</v>
      </c>
      <c r="M318" s="215" t="s">
        <v>68</v>
      </c>
      <c r="N318" s="212" t="s">
        <v>68</v>
      </c>
      <c r="O318" s="212"/>
      <c r="P318" s="212" t="s">
        <v>1098</v>
      </c>
      <c r="Q318" s="212" t="s">
        <v>1105</v>
      </c>
      <c r="R318" s="212" t="s">
        <v>1968</v>
      </c>
      <c r="S318" s="212"/>
      <c r="T318" s="212"/>
      <c r="U318" s="212"/>
      <c r="V318" s="212"/>
      <c r="W318" s="212"/>
      <c r="X318" s="212"/>
      <c r="Y318" s="212"/>
      <c r="Z318" s="212"/>
      <c r="AA318" s="220" t="s">
        <v>1123</v>
      </c>
      <c r="AB318" s="212">
        <f>(호표!H317+호표!H318)*0.3</f>
        <v>0</v>
      </c>
      <c r="AC318" s="220" t="s">
        <v>1124</v>
      </c>
      <c r="AD318" s="212">
        <f>$AB318</f>
        <v>0</v>
      </c>
      <c r="AE318" s="212"/>
      <c r="AF318" s="212"/>
      <c r="AG318" s="212"/>
      <c r="AH318" s="212"/>
      <c r="AI318" s="212"/>
      <c r="AJ318" s="212"/>
      <c r="AK318" s="212"/>
      <c r="AL318" s="212"/>
      <c r="AM318" s="212"/>
      <c r="AN318" s="212"/>
      <c r="AO318" s="212"/>
      <c r="AP318" s="212"/>
      <c r="AQ318" s="212"/>
      <c r="AR318" s="212"/>
      <c r="AS318" s="212"/>
      <c r="AT318" s="212"/>
      <c r="AU318" s="212"/>
      <c r="AV318" s="212"/>
      <c r="AW318" s="212"/>
      <c r="AX318" s="212"/>
      <c r="AY318" s="212"/>
      <c r="AZ318" s="212"/>
      <c r="BA318" s="212"/>
      <c r="BB318" s="212"/>
      <c r="BC318" s="212"/>
      <c r="BD318" s="212"/>
      <c r="BE318" s="212"/>
      <c r="BF318" s="212"/>
      <c r="BG318" s="212"/>
      <c r="BH318" s="212"/>
      <c r="BI318" s="231" t="str">
        <f>HYPERLINK("#노임!A3","L001010101000002 →")</f>
        <v>L001010101000002 →</v>
      </c>
    </row>
    <row r="319" spans="1:61" ht="24" customHeight="1">
      <c r="A319" s="218" t="s">
        <v>2111</v>
      </c>
      <c r="B319" s="218" t="s">
        <v>2112</v>
      </c>
      <c r="C319" s="228">
        <v>30</v>
      </c>
      <c r="D319" s="213" t="s">
        <v>1950</v>
      </c>
      <c r="E319" s="213"/>
      <c r="F319" s="217">
        <v>0</v>
      </c>
      <c r="G319" s="213"/>
      <c r="H319" s="217">
        <f>TRUNC(((H317+H318)*0.3),0)</f>
        <v>0</v>
      </c>
      <c r="I319" s="213"/>
      <c r="J319" s="217">
        <v>0</v>
      </c>
      <c r="K319" s="217">
        <f>E319+G319+I319</f>
        <v>0</v>
      </c>
      <c r="L319" s="217">
        <f>F319+H319+J319</f>
        <v>0</v>
      </c>
      <c r="M319" s="215" t="s">
        <v>68</v>
      </c>
      <c r="N319" s="212" t="s">
        <v>68</v>
      </c>
      <c r="O319" s="212"/>
      <c r="P319" s="212" t="s">
        <v>1101</v>
      </c>
      <c r="Q319" s="212" t="s">
        <v>68</v>
      </c>
      <c r="R319" s="212" t="s">
        <v>1121</v>
      </c>
      <c r="S319" s="212"/>
      <c r="T319" s="212"/>
      <c r="U319" s="212"/>
      <c r="V319" s="212"/>
      <c r="W319" s="212"/>
      <c r="X319" s="212" t="s">
        <v>2113</v>
      </c>
      <c r="Y319" s="212"/>
      <c r="Z319" s="212"/>
      <c r="AA319" s="212"/>
      <c r="AB319" s="212"/>
      <c r="AC319" s="212"/>
      <c r="AD319" s="212"/>
      <c r="AE319" s="212"/>
      <c r="AF319" s="212"/>
      <c r="AG319" s="212"/>
      <c r="AH319" s="212"/>
      <c r="AI319" s="212"/>
      <c r="AJ319" s="212"/>
      <c r="AK319" s="212"/>
      <c r="AL319" s="212"/>
      <c r="AM319" s="212"/>
      <c r="AN319" s="212"/>
      <c r="AO319" s="212"/>
      <c r="AP319" s="212"/>
      <c r="AQ319" s="212"/>
      <c r="AR319" s="212"/>
      <c r="AS319" s="212"/>
      <c r="AT319" s="212"/>
      <c r="AU319" s="212"/>
      <c r="AV319" s="212"/>
      <c r="AW319" s="212"/>
      <c r="AX319" s="212"/>
      <c r="AY319" s="212"/>
      <c r="AZ319" s="212"/>
      <c r="BA319" s="212"/>
      <c r="BB319" s="212"/>
      <c r="BC319" s="212"/>
      <c r="BD319" s="212"/>
      <c r="BE319" s="212"/>
      <c r="BF319" s="212"/>
      <c r="BG319" s="212"/>
      <c r="BH319" s="212"/>
      <c r="BI319" s="212"/>
    </row>
    <row r="320" spans="1:61" ht="24" customHeight="1">
      <c r="A320" s="215"/>
      <c r="B320" s="215"/>
      <c r="C320" s="229"/>
      <c r="D320" s="213"/>
      <c r="E320" s="213"/>
      <c r="F320" s="213"/>
      <c r="G320" s="213"/>
      <c r="H320" s="213"/>
      <c r="I320" s="213"/>
      <c r="J320" s="213"/>
      <c r="K320" s="213"/>
      <c r="L320" s="213"/>
      <c r="M320" s="215"/>
      <c r="N320" s="212"/>
      <c r="O320" s="212"/>
      <c r="P320" s="212"/>
      <c r="Q320" s="212"/>
      <c r="R320" s="212"/>
      <c r="S320" s="212"/>
      <c r="T320" s="212"/>
      <c r="U320" s="212"/>
      <c r="V320" s="212"/>
      <c r="W320" s="212"/>
      <c r="X320" s="212"/>
      <c r="Y320" s="212"/>
      <c r="Z320" s="212"/>
      <c r="AA320" s="212"/>
      <c r="AB320" s="212"/>
      <c r="AC320" s="212"/>
      <c r="AD320" s="212"/>
      <c r="AE320" s="212"/>
      <c r="AF320" s="212"/>
      <c r="AG320" s="212"/>
      <c r="AH320" s="212"/>
      <c r="AI320" s="212"/>
      <c r="AJ320" s="212"/>
      <c r="AK320" s="212"/>
      <c r="AL320" s="212"/>
      <c r="AM320" s="212"/>
      <c r="AN320" s="212"/>
      <c r="AO320" s="212"/>
      <c r="AP320" s="212"/>
      <c r="AQ320" s="212"/>
      <c r="AR320" s="212"/>
      <c r="AS320" s="212"/>
      <c r="AT320" s="212"/>
      <c r="AU320" s="212"/>
      <c r="AV320" s="212"/>
      <c r="AW320" s="212"/>
      <c r="AX320" s="212"/>
      <c r="AY320" s="212"/>
      <c r="AZ320" s="212"/>
      <c r="BA320" s="212"/>
      <c r="BB320" s="212"/>
      <c r="BC320" s="212"/>
      <c r="BD320" s="212"/>
      <c r="BE320" s="212"/>
      <c r="BF320" s="212"/>
      <c r="BG320" s="212"/>
      <c r="BH320" s="212"/>
      <c r="BI320" s="212"/>
    </row>
    <row r="321" spans="1:61" ht="24" customHeight="1">
      <c r="A321" s="218" t="s">
        <v>2123</v>
      </c>
      <c r="B321" s="218" t="s">
        <v>1734</v>
      </c>
      <c r="C321" s="228">
        <v>1</v>
      </c>
      <c r="D321" s="213" t="s">
        <v>1735</v>
      </c>
      <c r="E321" s="212"/>
      <c r="F321" s="217">
        <f>TRUNC(F326,0)</f>
        <v>0</v>
      </c>
      <c r="G321" s="212"/>
      <c r="H321" s="217">
        <f>TRUNC(H326,0)</f>
        <v>0</v>
      </c>
      <c r="I321" s="212"/>
      <c r="J321" s="217">
        <f>TRUNC(J326,0)</f>
        <v>0</v>
      </c>
      <c r="K321" s="212"/>
      <c r="L321" s="217">
        <f t="shared" ref="L321:L326" si="50">F321+H321+J321</f>
        <v>0</v>
      </c>
      <c r="M321" s="215" t="s">
        <v>1647</v>
      </c>
      <c r="N321" s="212" t="s">
        <v>68</v>
      </c>
      <c r="O321" s="212" t="s">
        <v>1736</v>
      </c>
      <c r="P321" s="212"/>
      <c r="Q321" s="212"/>
      <c r="R321" s="212"/>
      <c r="S321" s="212"/>
      <c r="T321" s="212"/>
      <c r="U321" s="212"/>
      <c r="V321" s="212"/>
      <c r="W321" s="212"/>
      <c r="X321" s="212"/>
      <c r="Y321" s="212"/>
      <c r="Z321" s="212"/>
      <c r="AA321" s="212"/>
      <c r="AB321" s="212"/>
      <c r="AC321" s="212"/>
      <c r="AD321" s="212"/>
      <c r="AE321" s="212"/>
      <c r="AF321" s="212"/>
      <c r="AG321" s="212"/>
      <c r="AH321" s="212"/>
      <c r="AI321" s="212"/>
      <c r="AJ321" s="212"/>
      <c r="AK321" s="212"/>
      <c r="AL321" s="212"/>
      <c r="AM321" s="212"/>
      <c r="AN321" s="212"/>
      <c r="AO321" s="212"/>
      <c r="AP321" s="212"/>
      <c r="AQ321" s="212"/>
      <c r="AR321" s="212"/>
      <c r="AS321" s="212"/>
      <c r="AT321" s="212"/>
      <c r="AU321" s="212"/>
      <c r="AV321" s="212"/>
      <c r="AW321" s="212"/>
      <c r="AX321" s="212"/>
      <c r="AY321" s="212"/>
      <c r="AZ321" s="212"/>
      <c r="BA321" s="212"/>
      <c r="BB321" s="212"/>
      <c r="BC321" s="212"/>
      <c r="BD321" s="212"/>
      <c r="BE321" s="212"/>
      <c r="BF321" s="212"/>
      <c r="BG321" s="212"/>
      <c r="BH321" s="212"/>
      <c r="BI321" s="212"/>
    </row>
    <row r="322" spans="1:61" ht="24" customHeight="1">
      <c r="A322" s="218" t="s">
        <v>1961</v>
      </c>
      <c r="B322" s="218" t="s">
        <v>1946</v>
      </c>
      <c r="C322" s="229">
        <v>1.609E-2</v>
      </c>
      <c r="D322" s="213" t="s">
        <v>1286</v>
      </c>
      <c r="E322" s="217">
        <v>0</v>
      </c>
      <c r="F322" s="217"/>
      <c r="G322" s="217">
        <f>노임!D6</f>
        <v>0</v>
      </c>
      <c r="H322" s="217">
        <f>TRUNC(G322*C322,0)</f>
        <v>0</v>
      </c>
      <c r="I322" s="217">
        <v>0</v>
      </c>
      <c r="J322" s="217"/>
      <c r="K322" s="217">
        <f>E322+G322+I322</f>
        <v>0</v>
      </c>
      <c r="L322" s="217">
        <f t="shared" si="50"/>
        <v>0</v>
      </c>
      <c r="M322" s="215" t="s">
        <v>68</v>
      </c>
      <c r="N322" s="212" t="s">
        <v>68</v>
      </c>
      <c r="O322" s="212"/>
      <c r="P322" s="212" t="s">
        <v>1095</v>
      </c>
      <c r="Q322" s="212" t="s">
        <v>1105</v>
      </c>
      <c r="R322" s="212" t="s">
        <v>1962</v>
      </c>
      <c r="S322" s="212"/>
      <c r="T322" s="212"/>
      <c r="U322" s="212"/>
      <c r="V322" s="212"/>
      <c r="W322" s="212"/>
      <c r="X322" s="212"/>
      <c r="Y322" s="212"/>
      <c r="Z322" s="212"/>
      <c r="AA322" s="212"/>
      <c r="AB322" s="212"/>
      <c r="AC322" s="212"/>
      <c r="AD322" s="212"/>
      <c r="AE322" s="212"/>
      <c r="AF322" s="212"/>
      <c r="AG322" s="212"/>
      <c r="AH322" s="212"/>
      <c r="AI322" s="212"/>
      <c r="AJ322" s="212"/>
      <c r="AK322" s="212"/>
      <c r="AL322" s="212"/>
      <c r="AM322" s="212"/>
      <c r="AN322" s="212"/>
      <c r="AO322" s="212"/>
      <c r="AP322" s="212"/>
      <c r="AQ322" s="212"/>
      <c r="AR322" s="212"/>
      <c r="AS322" s="212"/>
      <c r="AT322" s="212"/>
      <c r="AU322" s="212"/>
      <c r="AV322" s="212"/>
      <c r="AW322" s="212"/>
      <c r="AX322" s="212"/>
      <c r="AY322" s="212"/>
      <c r="AZ322" s="212"/>
      <c r="BA322" s="212"/>
      <c r="BB322" s="212"/>
      <c r="BC322" s="212"/>
      <c r="BD322" s="212"/>
      <c r="BE322" s="212"/>
      <c r="BF322" s="212"/>
      <c r="BG322" s="212"/>
      <c r="BH322" s="212"/>
      <c r="BI322" s="231" t="str">
        <f>HYPERLINK("#노임!A6","L001010101000009 →")</f>
        <v>L001010101000009 →</v>
      </c>
    </row>
    <row r="323" spans="1:61" ht="24" customHeight="1">
      <c r="A323" s="218" t="s">
        <v>1963</v>
      </c>
      <c r="B323" s="218" t="s">
        <v>1946</v>
      </c>
      <c r="C323" s="229">
        <v>4.3899999999999998E-3</v>
      </c>
      <c r="D323" s="213" t="s">
        <v>1286</v>
      </c>
      <c r="E323" s="217">
        <v>0</v>
      </c>
      <c r="F323" s="217"/>
      <c r="G323" s="217">
        <f>노임!D8</f>
        <v>0</v>
      </c>
      <c r="H323" s="217">
        <f>TRUNC(G323*C323,0)</f>
        <v>0</v>
      </c>
      <c r="I323" s="217">
        <v>0</v>
      </c>
      <c r="J323" s="217"/>
      <c r="K323" s="217">
        <f>E323+G323+I323</f>
        <v>0</v>
      </c>
      <c r="L323" s="217">
        <f t="shared" si="50"/>
        <v>0</v>
      </c>
      <c r="M323" s="215" t="s">
        <v>68</v>
      </c>
      <c r="N323" s="212" t="s">
        <v>68</v>
      </c>
      <c r="O323" s="212"/>
      <c r="P323" s="212" t="s">
        <v>1098</v>
      </c>
      <c r="Q323" s="212" t="s">
        <v>1105</v>
      </c>
      <c r="R323" s="212" t="s">
        <v>1964</v>
      </c>
      <c r="S323" s="212"/>
      <c r="T323" s="212"/>
      <c r="U323" s="212"/>
      <c r="V323" s="212"/>
      <c r="W323" s="212"/>
      <c r="X323" s="212"/>
      <c r="Y323" s="212"/>
      <c r="Z323" s="212"/>
      <c r="AA323" s="212"/>
      <c r="AB323" s="212"/>
      <c r="AC323" s="212"/>
      <c r="AD323" s="212"/>
      <c r="AE323" s="212"/>
      <c r="AF323" s="212"/>
      <c r="AG323" s="212"/>
      <c r="AH323" s="212"/>
      <c r="AI323" s="212"/>
      <c r="AJ323" s="212"/>
      <c r="AK323" s="212"/>
      <c r="AL323" s="212"/>
      <c r="AM323" s="212"/>
      <c r="AN323" s="212"/>
      <c r="AO323" s="212"/>
      <c r="AP323" s="212"/>
      <c r="AQ323" s="212"/>
      <c r="AR323" s="212"/>
      <c r="AS323" s="212"/>
      <c r="AT323" s="212"/>
      <c r="AU323" s="212"/>
      <c r="AV323" s="212"/>
      <c r="AW323" s="212"/>
      <c r="AX323" s="212"/>
      <c r="AY323" s="212"/>
      <c r="AZ323" s="212"/>
      <c r="BA323" s="212"/>
      <c r="BB323" s="212"/>
      <c r="BC323" s="212"/>
      <c r="BD323" s="212"/>
      <c r="BE323" s="212"/>
      <c r="BF323" s="212"/>
      <c r="BG323" s="212"/>
      <c r="BH323" s="212"/>
      <c r="BI323" s="231" t="str">
        <f>HYPERLINK("#노임!A8","L001010101000012 →")</f>
        <v>L001010101000012 →</v>
      </c>
    </row>
    <row r="324" spans="1:61" ht="24" customHeight="1">
      <c r="A324" s="218" t="s">
        <v>1965</v>
      </c>
      <c r="B324" s="218" t="s">
        <v>1946</v>
      </c>
      <c r="C324" s="229">
        <v>5.8500000000000002E-3</v>
      </c>
      <c r="D324" s="213" t="s">
        <v>1286</v>
      </c>
      <c r="E324" s="217">
        <v>0</v>
      </c>
      <c r="F324" s="217"/>
      <c r="G324" s="217">
        <f>노임!D4</f>
        <v>0</v>
      </c>
      <c r="H324" s="217">
        <f>TRUNC(G324*C324,0)</f>
        <v>0</v>
      </c>
      <c r="I324" s="217">
        <v>0</v>
      </c>
      <c r="J324" s="217"/>
      <c r="K324" s="217">
        <f>E324+G324+I324</f>
        <v>0</v>
      </c>
      <c r="L324" s="217">
        <f t="shared" si="50"/>
        <v>0</v>
      </c>
      <c r="M324" s="215" t="s">
        <v>68</v>
      </c>
      <c r="N324" s="212" t="s">
        <v>68</v>
      </c>
      <c r="O324" s="212"/>
      <c r="P324" s="212" t="s">
        <v>1101</v>
      </c>
      <c r="Q324" s="212" t="s">
        <v>1105</v>
      </c>
      <c r="R324" s="212" t="s">
        <v>1966</v>
      </c>
      <c r="S324" s="212"/>
      <c r="T324" s="212"/>
      <c r="U324" s="212"/>
      <c r="V324" s="212"/>
      <c r="W324" s="212"/>
      <c r="X324" s="212"/>
      <c r="Y324" s="212"/>
      <c r="Z324" s="212"/>
      <c r="AA324" s="212"/>
      <c r="AB324" s="212"/>
      <c r="AC324" s="212"/>
      <c r="AD324" s="212"/>
      <c r="AE324" s="212"/>
      <c r="AF324" s="212"/>
      <c r="AG324" s="212"/>
      <c r="AH324" s="212"/>
      <c r="AI324" s="212"/>
      <c r="AJ324" s="212"/>
      <c r="AK324" s="212"/>
      <c r="AL324" s="212"/>
      <c r="AM324" s="212"/>
      <c r="AN324" s="212"/>
      <c r="AO324" s="212"/>
      <c r="AP324" s="212"/>
      <c r="AQ324" s="212"/>
      <c r="AR324" s="212"/>
      <c r="AS324" s="212"/>
      <c r="AT324" s="212"/>
      <c r="AU324" s="212"/>
      <c r="AV324" s="212"/>
      <c r="AW324" s="212"/>
      <c r="AX324" s="212"/>
      <c r="AY324" s="212"/>
      <c r="AZ324" s="212"/>
      <c r="BA324" s="212"/>
      <c r="BB324" s="212"/>
      <c r="BC324" s="212"/>
      <c r="BD324" s="212"/>
      <c r="BE324" s="212"/>
      <c r="BF324" s="212"/>
      <c r="BG324" s="212"/>
      <c r="BH324" s="212"/>
      <c r="BI324" s="231" t="str">
        <f>HYPERLINK("#노임!A4","L001010101000003 →")</f>
        <v>L001010101000003 →</v>
      </c>
    </row>
    <row r="325" spans="1:61" ht="24" customHeight="1">
      <c r="A325" s="218" t="s">
        <v>1967</v>
      </c>
      <c r="B325" s="218" t="s">
        <v>1946</v>
      </c>
      <c r="C325" s="229">
        <v>2.9299999999999999E-3</v>
      </c>
      <c r="D325" s="213" t="s">
        <v>1286</v>
      </c>
      <c r="E325" s="217">
        <v>0</v>
      </c>
      <c r="F325" s="217"/>
      <c r="G325" s="217">
        <f>노임!D3</f>
        <v>0</v>
      </c>
      <c r="H325" s="217">
        <f>TRUNC(G325*C325,0)</f>
        <v>0</v>
      </c>
      <c r="I325" s="217">
        <v>0</v>
      </c>
      <c r="J325" s="217"/>
      <c r="K325" s="217">
        <f>E325+G325+I325</f>
        <v>0</v>
      </c>
      <c r="L325" s="217">
        <f t="shared" si="50"/>
        <v>0</v>
      </c>
      <c r="M325" s="215" t="s">
        <v>68</v>
      </c>
      <c r="N325" s="212" t="s">
        <v>68</v>
      </c>
      <c r="O325" s="212"/>
      <c r="P325" s="212" t="s">
        <v>1104</v>
      </c>
      <c r="Q325" s="212" t="s">
        <v>1105</v>
      </c>
      <c r="R325" s="212" t="s">
        <v>1968</v>
      </c>
      <c r="S325" s="212"/>
      <c r="T325" s="212"/>
      <c r="U325" s="212"/>
      <c r="V325" s="212"/>
      <c r="W325" s="212"/>
      <c r="X325" s="212"/>
      <c r="Y325" s="212"/>
      <c r="Z325" s="212"/>
      <c r="AA325" s="220" t="s">
        <v>1123</v>
      </c>
      <c r="AB325" s="212">
        <f>(호표!H322+호표!H323+호표!H324+호표!H325)*0.3</f>
        <v>0</v>
      </c>
      <c r="AC325" s="220" t="s">
        <v>1124</v>
      </c>
      <c r="AD325" s="212">
        <f>$AB325</f>
        <v>0</v>
      </c>
      <c r="AE325" s="212"/>
      <c r="AF325" s="212"/>
      <c r="AG325" s="212"/>
      <c r="AH325" s="212"/>
      <c r="AI325" s="212"/>
      <c r="AJ325" s="212"/>
      <c r="AK325" s="212"/>
      <c r="AL325" s="212"/>
      <c r="AM325" s="212"/>
      <c r="AN325" s="212"/>
      <c r="AO325" s="212"/>
      <c r="AP325" s="212"/>
      <c r="AQ325" s="212"/>
      <c r="AR325" s="212"/>
      <c r="AS325" s="212"/>
      <c r="AT325" s="212"/>
      <c r="AU325" s="212"/>
      <c r="AV325" s="212"/>
      <c r="AW325" s="212"/>
      <c r="AX325" s="212"/>
      <c r="AY325" s="212"/>
      <c r="AZ325" s="212"/>
      <c r="BA325" s="212"/>
      <c r="BB325" s="212"/>
      <c r="BC325" s="212"/>
      <c r="BD325" s="212"/>
      <c r="BE325" s="212"/>
      <c r="BF325" s="212"/>
      <c r="BG325" s="212"/>
      <c r="BH325" s="212"/>
      <c r="BI325" s="231" t="str">
        <f>HYPERLINK("#노임!A3","L001010101000002 →")</f>
        <v>L001010101000002 →</v>
      </c>
    </row>
    <row r="326" spans="1:61" ht="24" customHeight="1">
      <c r="A326" s="218" t="s">
        <v>2111</v>
      </c>
      <c r="B326" s="218" t="s">
        <v>2124</v>
      </c>
      <c r="C326" s="228">
        <v>30</v>
      </c>
      <c r="D326" s="213" t="s">
        <v>1950</v>
      </c>
      <c r="E326" s="213"/>
      <c r="F326" s="217">
        <v>0</v>
      </c>
      <c r="G326" s="213"/>
      <c r="H326" s="217">
        <f>TRUNC(((H322+H323+H324+H325)*0.3),0)</f>
        <v>0</v>
      </c>
      <c r="I326" s="213"/>
      <c r="J326" s="217">
        <v>0</v>
      </c>
      <c r="K326" s="217">
        <f>E326+G326+I326</f>
        <v>0</v>
      </c>
      <c r="L326" s="217">
        <f t="shared" si="50"/>
        <v>0</v>
      </c>
      <c r="M326" s="215" t="s">
        <v>68</v>
      </c>
      <c r="N326" s="212" t="s">
        <v>68</v>
      </c>
      <c r="O326" s="212"/>
      <c r="P326" s="212" t="s">
        <v>1107</v>
      </c>
      <c r="Q326" s="212" t="s">
        <v>68</v>
      </c>
      <c r="R326" s="212" t="s">
        <v>1121</v>
      </c>
      <c r="S326" s="212"/>
      <c r="T326" s="212"/>
      <c r="U326" s="212"/>
      <c r="V326" s="212"/>
      <c r="W326" s="212"/>
      <c r="X326" s="212" t="s">
        <v>2125</v>
      </c>
      <c r="Y326" s="212"/>
      <c r="Z326" s="212"/>
      <c r="AA326" s="212"/>
      <c r="AB326" s="212"/>
      <c r="AC326" s="212"/>
      <c r="AD326" s="212"/>
      <c r="AE326" s="212"/>
      <c r="AF326" s="212"/>
      <c r="AG326" s="212"/>
      <c r="AH326" s="212"/>
      <c r="AI326" s="212"/>
      <c r="AJ326" s="212"/>
      <c r="AK326" s="212"/>
      <c r="AL326" s="212"/>
      <c r="AM326" s="212"/>
      <c r="AN326" s="212"/>
      <c r="AO326" s="212"/>
      <c r="AP326" s="212"/>
      <c r="AQ326" s="212"/>
      <c r="AR326" s="212"/>
      <c r="AS326" s="212"/>
      <c r="AT326" s="212"/>
      <c r="AU326" s="212"/>
      <c r="AV326" s="212"/>
      <c r="AW326" s="212"/>
      <c r="AX326" s="212"/>
      <c r="AY326" s="212"/>
      <c r="AZ326" s="212"/>
      <c r="BA326" s="212"/>
      <c r="BB326" s="212"/>
      <c r="BC326" s="212"/>
      <c r="BD326" s="212"/>
      <c r="BE326" s="212"/>
      <c r="BF326" s="212"/>
      <c r="BG326" s="212"/>
      <c r="BH326" s="212"/>
      <c r="BI326" s="212"/>
    </row>
    <row r="327" spans="1:61" ht="24" customHeight="1">
      <c r="A327" s="215"/>
      <c r="B327" s="215"/>
      <c r="C327" s="229"/>
      <c r="D327" s="213"/>
      <c r="E327" s="213"/>
      <c r="F327" s="213"/>
      <c r="G327" s="213"/>
      <c r="H327" s="213"/>
      <c r="I327" s="213"/>
      <c r="J327" s="213"/>
      <c r="K327" s="213"/>
      <c r="L327" s="213"/>
      <c r="M327" s="215"/>
      <c r="N327" s="212"/>
      <c r="O327" s="212"/>
      <c r="P327" s="212"/>
      <c r="Q327" s="212"/>
      <c r="R327" s="212"/>
      <c r="S327" s="212"/>
      <c r="T327" s="212"/>
      <c r="U327" s="212"/>
      <c r="V327" s="212"/>
      <c r="W327" s="212"/>
      <c r="X327" s="212"/>
      <c r="Y327" s="212"/>
      <c r="Z327" s="212"/>
      <c r="AA327" s="212"/>
      <c r="AB327" s="212"/>
      <c r="AC327" s="212"/>
      <c r="AD327" s="212"/>
      <c r="AE327" s="212"/>
      <c r="AF327" s="212"/>
      <c r="AG327" s="212"/>
      <c r="AH327" s="212"/>
      <c r="AI327" s="212"/>
      <c r="AJ327" s="212"/>
      <c r="AK327" s="212"/>
      <c r="AL327" s="212"/>
      <c r="AM327" s="212"/>
      <c r="AN327" s="212"/>
      <c r="AO327" s="212"/>
      <c r="AP327" s="212"/>
      <c r="AQ327" s="212"/>
      <c r="AR327" s="212"/>
      <c r="AS327" s="212"/>
      <c r="AT327" s="212"/>
      <c r="AU327" s="212"/>
      <c r="AV327" s="212"/>
      <c r="AW327" s="212"/>
      <c r="AX327" s="212"/>
      <c r="AY327" s="212"/>
      <c r="AZ327" s="212"/>
      <c r="BA327" s="212"/>
      <c r="BB327" s="212"/>
      <c r="BC327" s="212"/>
      <c r="BD327" s="212"/>
      <c r="BE327" s="212"/>
      <c r="BF327" s="212"/>
      <c r="BG327" s="212"/>
      <c r="BH327" s="212"/>
      <c r="BI327" s="212"/>
    </row>
    <row r="328" spans="1:61" ht="24" customHeight="1">
      <c r="A328" s="218" t="s">
        <v>2126</v>
      </c>
      <c r="B328" s="218" t="s">
        <v>1738</v>
      </c>
      <c r="C328" s="228">
        <v>1</v>
      </c>
      <c r="D328" s="213" t="s">
        <v>9</v>
      </c>
      <c r="E328" s="212"/>
      <c r="F328" s="217">
        <f>TRUNC(F329+F330,0)</f>
        <v>0</v>
      </c>
      <c r="G328" s="212"/>
      <c r="H328" s="217">
        <f>TRUNC(H329+H330,0)</f>
        <v>0</v>
      </c>
      <c r="I328" s="212"/>
      <c r="J328" s="217">
        <f>TRUNC(J329+J330,0)</f>
        <v>0</v>
      </c>
      <c r="K328" s="212"/>
      <c r="L328" s="217">
        <f>F328+H328+J328</f>
        <v>0</v>
      </c>
      <c r="M328" s="215" t="s">
        <v>1739</v>
      </c>
      <c r="N328" s="212" t="s">
        <v>68</v>
      </c>
      <c r="O328" s="212" t="s">
        <v>1740</v>
      </c>
      <c r="P328" s="212"/>
      <c r="Q328" s="212"/>
      <c r="R328" s="212"/>
      <c r="S328" s="212"/>
      <c r="T328" s="212"/>
      <c r="U328" s="212"/>
      <c r="V328" s="212"/>
      <c r="W328" s="212"/>
      <c r="X328" s="212"/>
      <c r="Y328" s="212"/>
      <c r="Z328" s="212"/>
      <c r="AA328" s="212"/>
      <c r="AB328" s="212"/>
      <c r="AC328" s="212"/>
      <c r="AD328" s="212"/>
      <c r="AE328" s="212"/>
      <c r="AF328" s="212"/>
      <c r="AG328" s="212"/>
      <c r="AH328" s="212"/>
      <c r="AI328" s="212"/>
      <c r="AJ328" s="212"/>
      <c r="AK328" s="212"/>
      <c r="AL328" s="212"/>
      <c r="AM328" s="212"/>
      <c r="AN328" s="212"/>
      <c r="AO328" s="212"/>
      <c r="AP328" s="212"/>
      <c r="AQ328" s="212"/>
      <c r="AR328" s="212"/>
      <c r="AS328" s="212"/>
      <c r="AT328" s="212"/>
      <c r="AU328" s="212"/>
      <c r="AV328" s="212"/>
      <c r="AW328" s="212"/>
      <c r="AX328" s="212"/>
      <c r="AY328" s="212"/>
      <c r="AZ328" s="212"/>
      <c r="BA328" s="212"/>
      <c r="BB328" s="212"/>
      <c r="BC328" s="212"/>
      <c r="BD328" s="212"/>
      <c r="BE328" s="212"/>
      <c r="BF328" s="212"/>
      <c r="BG328" s="212"/>
      <c r="BH328" s="212"/>
      <c r="BI328" s="212"/>
    </row>
    <row r="329" spans="1:61" ht="24" customHeight="1">
      <c r="A329" s="218" t="s">
        <v>2127</v>
      </c>
      <c r="B329" s="218" t="s">
        <v>1946</v>
      </c>
      <c r="C329" s="229">
        <v>0.124</v>
      </c>
      <c r="D329" s="213" t="s">
        <v>1286</v>
      </c>
      <c r="E329" s="217">
        <v>0</v>
      </c>
      <c r="F329" s="217"/>
      <c r="G329" s="217">
        <f>노임!D14</f>
        <v>0</v>
      </c>
      <c r="H329" s="217">
        <f>TRUNC(G329*C329,0)</f>
        <v>0</v>
      </c>
      <c r="I329" s="217">
        <v>0</v>
      </c>
      <c r="J329" s="217"/>
      <c r="K329" s="217">
        <f>E329+G329+I329</f>
        <v>0</v>
      </c>
      <c r="L329" s="217">
        <f>F329+H329+J329</f>
        <v>0</v>
      </c>
      <c r="M329" s="215" t="s">
        <v>68</v>
      </c>
      <c r="N329" s="212" t="s">
        <v>68</v>
      </c>
      <c r="O329" s="212"/>
      <c r="P329" s="212" t="s">
        <v>1095</v>
      </c>
      <c r="Q329" s="212" t="s">
        <v>68</v>
      </c>
      <c r="R329" s="212" t="s">
        <v>2128</v>
      </c>
      <c r="S329" s="212"/>
      <c r="T329" s="212"/>
      <c r="U329" s="212"/>
      <c r="V329" s="212"/>
      <c r="W329" s="212"/>
      <c r="X329" s="212"/>
      <c r="Y329" s="212"/>
      <c r="Z329" s="212"/>
      <c r="AA329" s="212"/>
      <c r="AB329" s="212"/>
      <c r="AC329" s="212"/>
      <c r="AD329" s="212"/>
      <c r="AE329" s="212"/>
      <c r="AF329" s="212"/>
      <c r="AG329" s="212"/>
      <c r="AH329" s="212"/>
      <c r="AI329" s="212"/>
      <c r="AJ329" s="212"/>
      <c r="AK329" s="212"/>
      <c r="AL329" s="212"/>
      <c r="AM329" s="212"/>
      <c r="AN329" s="212"/>
      <c r="AO329" s="212"/>
      <c r="AP329" s="212"/>
      <c r="AQ329" s="212"/>
      <c r="AR329" s="212"/>
      <c r="AS329" s="212"/>
      <c r="AT329" s="212"/>
      <c r="AU329" s="212"/>
      <c r="AV329" s="212"/>
      <c r="AW329" s="212"/>
      <c r="AX329" s="212"/>
      <c r="AY329" s="212"/>
      <c r="AZ329" s="212"/>
      <c r="BA329" s="212"/>
      <c r="BB329" s="212"/>
      <c r="BC329" s="212"/>
      <c r="BD329" s="212"/>
      <c r="BE329" s="212"/>
      <c r="BF329" s="212"/>
      <c r="BG329" s="212"/>
      <c r="BH329" s="212"/>
      <c r="BI329" s="231" t="str">
        <f>HYPERLINK("#노임!A14","L001010101000025 →")</f>
        <v>L001010101000025 →</v>
      </c>
    </row>
    <row r="330" spans="1:61" ht="24" customHeight="1">
      <c r="A330" s="218" t="s">
        <v>1967</v>
      </c>
      <c r="B330" s="218" t="s">
        <v>1946</v>
      </c>
      <c r="C330" s="229">
        <v>0.02</v>
      </c>
      <c r="D330" s="213" t="s">
        <v>1286</v>
      </c>
      <c r="E330" s="217">
        <v>0</v>
      </c>
      <c r="F330" s="217"/>
      <c r="G330" s="217">
        <f>노임!D3</f>
        <v>0</v>
      </c>
      <c r="H330" s="217">
        <f>TRUNC(G330*C330,0)</f>
        <v>0</v>
      </c>
      <c r="I330" s="217">
        <v>0</v>
      </c>
      <c r="J330" s="217"/>
      <c r="K330" s="217">
        <f>E330+G330+I330</f>
        <v>0</v>
      </c>
      <c r="L330" s="217">
        <f>F330+H330+J330</f>
        <v>0</v>
      </c>
      <c r="M330" s="215" t="s">
        <v>68</v>
      </c>
      <c r="N330" s="212" t="s">
        <v>68</v>
      </c>
      <c r="O330" s="212"/>
      <c r="P330" s="212" t="s">
        <v>1098</v>
      </c>
      <c r="Q330" s="212" t="s">
        <v>68</v>
      </c>
      <c r="R330" s="212" t="s">
        <v>1968</v>
      </c>
      <c r="S330" s="212"/>
      <c r="T330" s="212"/>
      <c r="U330" s="212"/>
      <c r="V330" s="212"/>
      <c r="W330" s="212"/>
      <c r="X330" s="212"/>
      <c r="Y330" s="212"/>
      <c r="Z330" s="212"/>
      <c r="AA330" s="212"/>
      <c r="AB330" s="212"/>
      <c r="AC330" s="212"/>
      <c r="AD330" s="212"/>
      <c r="AE330" s="212"/>
      <c r="AF330" s="212"/>
      <c r="AG330" s="212"/>
      <c r="AH330" s="212"/>
      <c r="AI330" s="212"/>
      <c r="AJ330" s="212"/>
      <c r="AK330" s="212"/>
      <c r="AL330" s="212"/>
      <c r="AM330" s="212"/>
      <c r="AN330" s="212"/>
      <c r="AO330" s="212"/>
      <c r="AP330" s="212"/>
      <c r="AQ330" s="212"/>
      <c r="AR330" s="212"/>
      <c r="AS330" s="212"/>
      <c r="AT330" s="212"/>
      <c r="AU330" s="212"/>
      <c r="AV330" s="212"/>
      <c r="AW330" s="212"/>
      <c r="AX330" s="212"/>
      <c r="AY330" s="212"/>
      <c r="AZ330" s="212"/>
      <c r="BA330" s="212"/>
      <c r="BB330" s="212"/>
      <c r="BC330" s="212"/>
      <c r="BD330" s="212"/>
      <c r="BE330" s="212"/>
      <c r="BF330" s="212"/>
      <c r="BG330" s="212"/>
      <c r="BH330" s="212"/>
      <c r="BI330" s="231" t="str">
        <f>HYPERLINK("#노임!A3","L001010101000002 →")</f>
        <v>L001010101000002 →</v>
      </c>
    </row>
    <row r="331" spans="1:61" ht="24" customHeight="1">
      <c r="A331" s="215"/>
      <c r="B331" s="215"/>
      <c r="C331" s="229"/>
      <c r="D331" s="213"/>
      <c r="E331" s="213"/>
      <c r="F331" s="213"/>
      <c r="G331" s="213"/>
      <c r="H331" s="213"/>
      <c r="I331" s="213"/>
      <c r="J331" s="213"/>
      <c r="K331" s="213"/>
      <c r="L331" s="213"/>
      <c r="M331" s="215"/>
      <c r="N331" s="212"/>
      <c r="O331" s="212"/>
      <c r="P331" s="212"/>
      <c r="Q331" s="212"/>
      <c r="R331" s="212"/>
      <c r="S331" s="212"/>
      <c r="T331" s="212"/>
      <c r="U331" s="212"/>
      <c r="V331" s="212"/>
      <c r="W331" s="212"/>
      <c r="X331" s="212"/>
      <c r="Y331" s="212"/>
      <c r="Z331" s="212"/>
      <c r="AA331" s="212"/>
      <c r="AB331" s="212"/>
      <c r="AC331" s="212"/>
      <c r="AD331" s="212"/>
      <c r="AE331" s="212"/>
      <c r="AF331" s="212"/>
      <c r="AG331" s="212"/>
      <c r="AH331" s="212"/>
      <c r="AI331" s="212"/>
      <c r="AJ331" s="212"/>
      <c r="AK331" s="212"/>
      <c r="AL331" s="212"/>
      <c r="AM331" s="212"/>
      <c r="AN331" s="212"/>
      <c r="AO331" s="212"/>
      <c r="AP331" s="212"/>
      <c r="AQ331" s="212"/>
      <c r="AR331" s="212"/>
      <c r="AS331" s="212"/>
      <c r="AT331" s="212"/>
      <c r="AU331" s="212"/>
      <c r="AV331" s="212"/>
      <c r="AW331" s="212"/>
      <c r="AX331" s="212"/>
      <c r="AY331" s="212"/>
      <c r="AZ331" s="212"/>
      <c r="BA331" s="212"/>
      <c r="BB331" s="212"/>
      <c r="BC331" s="212"/>
      <c r="BD331" s="212"/>
      <c r="BE331" s="212"/>
      <c r="BF331" s="212"/>
      <c r="BG331" s="212"/>
      <c r="BH331" s="212"/>
      <c r="BI331" s="212"/>
    </row>
    <row r="332" spans="1:61" ht="24" customHeight="1">
      <c r="A332" s="218" t="s">
        <v>2129</v>
      </c>
      <c r="B332" s="218" t="s">
        <v>1742</v>
      </c>
      <c r="C332" s="228">
        <v>1</v>
      </c>
      <c r="D332" s="213" t="s">
        <v>378</v>
      </c>
      <c r="E332" s="212"/>
      <c r="F332" s="217">
        <f>TRUNC(F333+F334+F335,0)</f>
        <v>0</v>
      </c>
      <c r="G332" s="212"/>
      <c r="H332" s="217">
        <f>TRUNC(H333+H334+H335,0)</f>
        <v>0</v>
      </c>
      <c r="I332" s="212"/>
      <c r="J332" s="217">
        <f>TRUNC(J333+J334+J335,0)</f>
        <v>0</v>
      </c>
      <c r="K332" s="212"/>
      <c r="L332" s="217">
        <f>F332+H332+J332</f>
        <v>0</v>
      </c>
      <c r="M332" s="215" t="s">
        <v>1682</v>
      </c>
      <c r="N332" s="212" t="s">
        <v>68</v>
      </c>
      <c r="O332" s="212" t="s">
        <v>1743</v>
      </c>
      <c r="P332" s="212"/>
      <c r="Q332" s="212"/>
      <c r="R332" s="212"/>
      <c r="S332" s="212"/>
      <c r="T332" s="212"/>
      <c r="U332" s="212"/>
      <c r="V332" s="212"/>
      <c r="W332" s="212"/>
      <c r="X332" s="212"/>
      <c r="Y332" s="212"/>
      <c r="Z332" s="212"/>
      <c r="AA332" s="212"/>
      <c r="AB332" s="212"/>
      <c r="AC332" s="212"/>
      <c r="AD332" s="212"/>
      <c r="AE332" s="212"/>
      <c r="AF332" s="212"/>
      <c r="AG332" s="212"/>
      <c r="AH332" s="212"/>
      <c r="AI332" s="212"/>
      <c r="AJ332" s="212"/>
      <c r="AK332" s="212"/>
      <c r="AL332" s="212"/>
      <c r="AM332" s="212"/>
      <c r="AN332" s="212"/>
      <c r="AO332" s="212"/>
      <c r="AP332" s="212"/>
      <c r="AQ332" s="212"/>
      <c r="AR332" s="212"/>
      <c r="AS332" s="212"/>
      <c r="AT332" s="212"/>
      <c r="AU332" s="212"/>
      <c r="AV332" s="212"/>
      <c r="AW332" s="212"/>
      <c r="AX332" s="212"/>
      <c r="AY332" s="212"/>
      <c r="AZ332" s="212"/>
      <c r="BA332" s="212"/>
      <c r="BB332" s="212"/>
      <c r="BC332" s="212"/>
      <c r="BD332" s="212"/>
      <c r="BE332" s="212"/>
      <c r="BF332" s="212"/>
      <c r="BG332" s="212"/>
      <c r="BH332" s="212"/>
      <c r="BI332" s="212"/>
    </row>
    <row r="333" spans="1:61" ht="24" customHeight="1">
      <c r="A333" s="218" t="s">
        <v>2026</v>
      </c>
      <c r="B333" s="218" t="s">
        <v>1946</v>
      </c>
      <c r="C333" s="229">
        <v>0.29699999999999999</v>
      </c>
      <c r="D333" s="213" t="s">
        <v>1286</v>
      </c>
      <c r="E333" s="217">
        <v>0</v>
      </c>
      <c r="F333" s="217"/>
      <c r="G333" s="217">
        <f>노임!D13</f>
        <v>0</v>
      </c>
      <c r="H333" s="217">
        <f>TRUNC(G333*C333,0)</f>
        <v>0</v>
      </c>
      <c r="I333" s="217">
        <v>0</v>
      </c>
      <c r="J333" s="217"/>
      <c r="K333" s="217">
        <f>E333+G333+I333</f>
        <v>0</v>
      </c>
      <c r="L333" s="217">
        <f>F333+H333+J333</f>
        <v>0</v>
      </c>
      <c r="M333" s="215" t="s">
        <v>68</v>
      </c>
      <c r="N333" s="212" t="s">
        <v>68</v>
      </c>
      <c r="O333" s="212"/>
      <c r="P333" s="212" t="s">
        <v>1095</v>
      </c>
      <c r="Q333" s="212" t="s">
        <v>68</v>
      </c>
      <c r="R333" s="212" t="s">
        <v>2027</v>
      </c>
      <c r="S333" s="212"/>
      <c r="T333" s="212"/>
      <c r="U333" s="212"/>
      <c r="V333" s="212"/>
      <c r="W333" s="212"/>
      <c r="X333" s="212"/>
      <c r="Y333" s="212"/>
      <c r="Z333" s="212"/>
      <c r="AA333" s="212"/>
      <c r="AB333" s="212"/>
      <c r="AC333" s="212"/>
      <c r="AD333" s="212"/>
      <c r="AE333" s="212"/>
      <c r="AF333" s="212"/>
      <c r="AG333" s="212"/>
      <c r="AH333" s="212"/>
      <c r="AI333" s="212"/>
      <c r="AJ333" s="212"/>
      <c r="AK333" s="212"/>
      <c r="AL333" s="212"/>
      <c r="AM333" s="212"/>
      <c r="AN333" s="212"/>
      <c r="AO333" s="212"/>
      <c r="AP333" s="212"/>
      <c r="AQ333" s="212"/>
      <c r="AR333" s="212"/>
      <c r="AS333" s="212"/>
      <c r="AT333" s="212"/>
      <c r="AU333" s="212"/>
      <c r="AV333" s="212"/>
      <c r="AW333" s="212"/>
      <c r="AX333" s="212"/>
      <c r="AY333" s="212"/>
      <c r="AZ333" s="212"/>
      <c r="BA333" s="212"/>
      <c r="BB333" s="212"/>
      <c r="BC333" s="212"/>
      <c r="BD333" s="212"/>
      <c r="BE333" s="212"/>
      <c r="BF333" s="212"/>
      <c r="BG333" s="212"/>
      <c r="BH333" s="212"/>
      <c r="BI333" s="231" t="str">
        <f>HYPERLINK("#노임!A13","L001010101000024 →")</f>
        <v>L001010101000024 →</v>
      </c>
    </row>
    <row r="334" spans="1:61" ht="24" customHeight="1">
      <c r="A334" s="218" t="s">
        <v>1967</v>
      </c>
      <c r="B334" s="218" t="s">
        <v>1946</v>
      </c>
      <c r="C334" s="229">
        <v>6.0999999999999999E-2</v>
      </c>
      <c r="D334" s="213" t="s">
        <v>1286</v>
      </c>
      <c r="E334" s="217">
        <v>0</v>
      </c>
      <c r="F334" s="217"/>
      <c r="G334" s="217">
        <f>노임!D3</f>
        <v>0</v>
      </c>
      <c r="H334" s="217">
        <f>TRUNC(G334*C334,0)</f>
        <v>0</v>
      </c>
      <c r="I334" s="217">
        <v>0</v>
      </c>
      <c r="J334" s="217"/>
      <c r="K334" s="217">
        <f>E334+G334+I334</f>
        <v>0</v>
      </c>
      <c r="L334" s="217">
        <f>F334+H334+J334</f>
        <v>0</v>
      </c>
      <c r="M334" s="215" t="s">
        <v>68</v>
      </c>
      <c r="N334" s="212" t="s">
        <v>68</v>
      </c>
      <c r="O334" s="212"/>
      <c r="P334" s="212" t="s">
        <v>1098</v>
      </c>
      <c r="Q334" s="212" t="s">
        <v>68</v>
      </c>
      <c r="R334" s="212" t="s">
        <v>1968</v>
      </c>
      <c r="S334" s="212"/>
      <c r="T334" s="212"/>
      <c r="U334" s="212"/>
      <c r="V334" s="212"/>
      <c r="W334" s="212"/>
      <c r="X334" s="212"/>
      <c r="Y334" s="212"/>
      <c r="Z334" s="212"/>
      <c r="AA334" s="220" t="s">
        <v>1955</v>
      </c>
      <c r="AB334" s="212">
        <f>(호표!H333+호표!H334)*0.03</f>
        <v>0</v>
      </c>
      <c r="AC334" s="220" t="s">
        <v>1956</v>
      </c>
      <c r="AD334" s="212">
        <f>$AB334</f>
        <v>0</v>
      </c>
      <c r="AE334" s="212"/>
      <c r="AF334" s="212"/>
      <c r="AG334" s="212"/>
      <c r="AH334" s="212"/>
      <c r="AI334" s="212"/>
      <c r="AJ334" s="212"/>
      <c r="AK334" s="212"/>
      <c r="AL334" s="212"/>
      <c r="AM334" s="212"/>
      <c r="AN334" s="212"/>
      <c r="AO334" s="212"/>
      <c r="AP334" s="212"/>
      <c r="AQ334" s="212"/>
      <c r="AR334" s="212"/>
      <c r="AS334" s="212"/>
      <c r="AT334" s="212"/>
      <c r="AU334" s="212"/>
      <c r="AV334" s="212"/>
      <c r="AW334" s="212"/>
      <c r="AX334" s="212"/>
      <c r="AY334" s="212"/>
      <c r="AZ334" s="212"/>
      <c r="BA334" s="212"/>
      <c r="BB334" s="212"/>
      <c r="BC334" s="212"/>
      <c r="BD334" s="212"/>
      <c r="BE334" s="212"/>
      <c r="BF334" s="212"/>
      <c r="BG334" s="212"/>
      <c r="BH334" s="212"/>
      <c r="BI334" s="231" t="str">
        <f>HYPERLINK("#노임!A3","L001010101000002 →")</f>
        <v>L001010101000002 →</v>
      </c>
    </row>
    <row r="335" spans="1:61" ht="24" customHeight="1">
      <c r="A335" s="218" t="s">
        <v>1948</v>
      </c>
      <c r="B335" s="218" t="s">
        <v>1949</v>
      </c>
      <c r="C335" s="228">
        <v>3</v>
      </c>
      <c r="D335" s="213" t="s">
        <v>1950</v>
      </c>
      <c r="E335" s="213"/>
      <c r="F335" s="217">
        <v>0</v>
      </c>
      <c r="G335" s="213"/>
      <c r="H335" s="217">
        <v>0</v>
      </c>
      <c r="I335" s="213"/>
      <c r="J335" s="217">
        <f>TRUNC(((H333+H334)*0.03),0)</f>
        <v>0</v>
      </c>
      <c r="K335" s="217">
        <f>E335+G335+I335</f>
        <v>0</v>
      </c>
      <c r="L335" s="217">
        <f>F335+H335+J335</f>
        <v>0</v>
      </c>
      <c r="M335" s="215" t="s">
        <v>68</v>
      </c>
      <c r="N335" s="212" t="s">
        <v>68</v>
      </c>
      <c r="O335" s="212"/>
      <c r="P335" s="212" t="s">
        <v>1101</v>
      </c>
      <c r="Q335" s="212" t="s">
        <v>68</v>
      </c>
      <c r="R335" s="212" t="s">
        <v>1121</v>
      </c>
      <c r="S335" s="212"/>
      <c r="T335" s="212"/>
      <c r="U335" s="212"/>
      <c r="V335" s="212"/>
      <c r="W335" s="212"/>
      <c r="X335" s="212" t="s">
        <v>2130</v>
      </c>
      <c r="Y335" s="212"/>
      <c r="Z335" s="212"/>
      <c r="AA335" s="212"/>
      <c r="AB335" s="212"/>
      <c r="AC335" s="212"/>
      <c r="AD335" s="212"/>
      <c r="AE335" s="212"/>
      <c r="AF335" s="212"/>
      <c r="AG335" s="212"/>
      <c r="AH335" s="212"/>
      <c r="AI335" s="212"/>
      <c r="AJ335" s="212"/>
      <c r="AK335" s="212"/>
      <c r="AL335" s="212"/>
      <c r="AM335" s="212"/>
      <c r="AN335" s="212"/>
      <c r="AO335" s="212"/>
      <c r="AP335" s="212"/>
      <c r="AQ335" s="212"/>
      <c r="AR335" s="212"/>
      <c r="AS335" s="212"/>
      <c r="AT335" s="212"/>
      <c r="AU335" s="212"/>
      <c r="AV335" s="212"/>
      <c r="AW335" s="212"/>
      <c r="AX335" s="212"/>
      <c r="AY335" s="212"/>
      <c r="AZ335" s="212"/>
      <c r="BA335" s="212"/>
      <c r="BB335" s="212"/>
      <c r="BC335" s="212"/>
      <c r="BD335" s="212"/>
      <c r="BE335" s="212"/>
      <c r="BF335" s="212"/>
      <c r="BG335" s="212"/>
      <c r="BH335" s="212"/>
      <c r="BI335" s="212"/>
    </row>
    <row r="336" spans="1:61" ht="24" customHeight="1">
      <c r="A336" s="215"/>
      <c r="B336" s="215"/>
      <c r="C336" s="229"/>
      <c r="D336" s="213"/>
      <c r="E336" s="213"/>
      <c r="F336" s="213"/>
      <c r="G336" s="213"/>
      <c r="H336" s="213"/>
      <c r="I336" s="213"/>
      <c r="J336" s="213"/>
      <c r="K336" s="213"/>
      <c r="L336" s="213"/>
      <c r="M336" s="215"/>
      <c r="N336" s="212"/>
      <c r="O336" s="212"/>
      <c r="P336" s="212"/>
      <c r="Q336" s="212"/>
      <c r="R336" s="212"/>
      <c r="S336" s="212"/>
      <c r="T336" s="212"/>
      <c r="U336" s="212"/>
      <c r="V336" s="212"/>
      <c r="W336" s="212"/>
      <c r="X336" s="212"/>
      <c r="Y336" s="212"/>
      <c r="Z336" s="212"/>
      <c r="AA336" s="212"/>
      <c r="AB336" s="212"/>
      <c r="AC336" s="212"/>
      <c r="AD336" s="212"/>
      <c r="AE336" s="212"/>
      <c r="AF336" s="212"/>
      <c r="AG336" s="212"/>
      <c r="AH336" s="212"/>
      <c r="AI336" s="212"/>
      <c r="AJ336" s="212"/>
      <c r="AK336" s="212"/>
      <c r="AL336" s="212"/>
      <c r="AM336" s="212"/>
      <c r="AN336" s="212"/>
      <c r="AO336" s="212"/>
      <c r="AP336" s="212"/>
      <c r="AQ336" s="212"/>
      <c r="AR336" s="212"/>
      <c r="AS336" s="212"/>
      <c r="AT336" s="212"/>
      <c r="AU336" s="212"/>
      <c r="AV336" s="212"/>
      <c r="AW336" s="212"/>
      <c r="AX336" s="212"/>
      <c r="AY336" s="212"/>
      <c r="AZ336" s="212"/>
      <c r="BA336" s="212"/>
      <c r="BB336" s="212"/>
      <c r="BC336" s="212"/>
      <c r="BD336" s="212"/>
      <c r="BE336" s="212"/>
      <c r="BF336" s="212"/>
      <c r="BG336" s="212"/>
      <c r="BH336" s="212"/>
      <c r="BI336" s="212"/>
    </row>
    <row r="337" spans="1:61" ht="24" customHeight="1">
      <c r="A337" s="218" t="s">
        <v>2131</v>
      </c>
      <c r="B337" s="218" t="s">
        <v>1745</v>
      </c>
      <c r="C337" s="228">
        <v>1</v>
      </c>
      <c r="D337" s="213" t="s">
        <v>1033</v>
      </c>
      <c r="E337" s="212"/>
      <c r="F337" s="217">
        <f>TRUNC(F338,0)</f>
        <v>0</v>
      </c>
      <c r="G337" s="212"/>
      <c r="H337" s="217">
        <f>TRUNC(H338,0)</f>
        <v>0</v>
      </c>
      <c r="I337" s="212"/>
      <c r="J337" s="217">
        <f>TRUNC(J338,0)</f>
        <v>0</v>
      </c>
      <c r="K337" s="212"/>
      <c r="L337" s="217">
        <f>F337+H337+J337</f>
        <v>0</v>
      </c>
      <c r="M337" s="215" t="s">
        <v>1746</v>
      </c>
      <c r="N337" s="212" t="s">
        <v>68</v>
      </c>
      <c r="O337" s="212" t="s">
        <v>1747</v>
      </c>
      <c r="P337" s="212"/>
      <c r="Q337" s="212"/>
      <c r="R337" s="212"/>
      <c r="S337" s="212"/>
      <c r="T337" s="212"/>
      <c r="U337" s="212"/>
      <c r="V337" s="212"/>
      <c r="W337" s="212"/>
      <c r="X337" s="212"/>
      <c r="Y337" s="212"/>
      <c r="Z337" s="212"/>
      <c r="AA337" s="212"/>
      <c r="AB337" s="212"/>
      <c r="AC337" s="212"/>
      <c r="AD337" s="212"/>
      <c r="AE337" s="212"/>
      <c r="AF337" s="212"/>
      <c r="AG337" s="212"/>
      <c r="AH337" s="212"/>
      <c r="AI337" s="212"/>
      <c r="AJ337" s="212"/>
      <c r="AK337" s="212"/>
      <c r="AL337" s="212"/>
      <c r="AM337" s="212"/>
      <c r="AN337" s="212"/>
      <c r="AO337" s="212"/>
      <c r="AP337" s="212"/>
      <c r="AQ337" s="212"/>
      <c r="AR337" s="212"/>
      <c r="AS337" s="212"/>
      <c r="AT337" s="212"/>
      <c r="AU337" s="212"/>
      <c r="AV337" s="212"/>
      <c r="AW337" s="212"/>
      <c r="AX337" s="212"/>
      <c r="AY337" s="212"/>
      <c r="AZ337" s="212"/>
      <c r="BA337" s="212"/>
      <c r="BB337" s="212"/>
      <c r="BC337" s="212"/>
      <c r="BD337" s="212"/>
      <c r="BE337" s="212"/>
      <c r="BF337" s="212"/>
      <c r="BG337" s="212"/>
      <c r="BH337" s="212"/>
      <c r="BI337" s="212"/>
    </row>
    <row r="338" spans="1:61" ht="24" customHeight="1">
      <c r="A338" s="218" t="s">
        <v>2132</v>
      </c>
      <c r="B338" s="218" t="s">
        <v>68</v>
      </c>
      <c r="C338" s="229">
        <v>0.1</v>
      </c>
      <c r="D338" s="213" t="s">
        <v>2133</v>
      </c>
      <c r="E338" s="217">
        <f>자재조서!E16</f>
        <v>0</v>
      </c>
      <c r="F338" s="217">
        <f>TRUNC(E338*C338,0)</f>
        <v>0</v>
      </c>
      <c r="G338" s="217">
        <v>0</v>
      </c>
      <c r="H338" s="217"/>
      <c r="I338" s="217">
        <v>0</v>
      </c>
      <c r="J338" s="217"/>
      <c r="K338" s="217">
        <f>E338+G338+I338</f>
        <v>0</v>
      </c>
      <c r="L338" s="217">
        <f>F338+H338+J338</f>
        <v>0</v>
      </c>
      <c r="M338" s="215" t="s">
        <v>68</v>
      </c>
      <c r="N338" s="212" t="s">
        <v>68</v>
      </c>
      <c r="O338" s="212"/>
      <c r="P338" s="212" t="s">
        <v>1095</v>
      </c>
      <c r="Q338" s="212" t="s">
        <v>68</v>
      </c>
      <c r="R338" s="212" t="s">
        <v>2134</v>
      </c>
      <c r="S338" s="212"/>
      <c r="T338" s="212"/>
      <c r="U338" s="212"/>
      <c r="V338" s="212"/>
      <c r="W338" s="212"/>
      <c r="X338" s="212"/>
      <c r="Y338" s="212"/>
      <c r="Z338" s="212"/>
      <c r="AA338" s="212"/>
      <c r="AB338" s="212"/>
      <c r="AC338" s="212"/>
      <c r="AD338" s="212"/>
      <c r="AE338" s="212"/>
      <c r="AF338" s="212"/>
      <c r="AG338" s="212"/>
      <c r="AH338" s="212"/>
      <c r="AI338" s="212"/>
      <c r="AJ338" s="212"/>
      <c r="AK338" s="212"/>
      <c r="AL338" s="212"/>
      <c r="AM338" s="212"/>
      <c r="AN338" s="212"/>
      <c r="AO338" s="212"/>
      <c r="AP338" s="212"/>
      <c r="AQ338" s="212"/>
      <c r="AR338" s="212"/>
      <c r="AS338" s="212"/>
      <c r="AT338" s="212"/>
      <c r="AU338" s="212"/>
      <c r="AV338" s="212"/>
      <c r="AW338" s="212"/>
      <c r="AX338" s="212"/>
      <c r="AY338" s="212"/>
      <c r="AZ338" s="212"/>
      <c r="BA338" s="212"/>
      <c r="BB338" s="212"/>
      <c r="BC338" s="212"/>
      <c r="BD338" s="212"/>
      <c r="BE338" s="212"/>
      <c r="BF338" s="212"/>
      <c r="BG338" s="212"/>
      <c r="BH338" s="212"/>
      <c r="BI338" s="231" t="str">
        <f>HYPERLINK("#자재조서!A16","M2061815 →")</f>
        <v>M2061815 →</v>
      </c>
    </row>
    <row r="339" spans="1:61" ht="24" customHeight="1">
      <c r="A339" s="215"/>
      <c r="B339" s="215"/>
      <c r="C339" s="229"/>
      <c r="D339" s="213"/>
      <c r="E339" s="213"/>
      <c r="F339" s="213"/>
      <c r="G339" s="213"/>
      <c r="H339" s="213"/>
      <c r="I339" s="213"/>
      <c r="J339" s="213"/>
      <c r="K339" s="213"/>
      <c r="L339" s="213"/>
      <c r="M339" s="215"/>
      <c r="N339" s="212"/>
      <c r="O339" s="212"/>
      <c r="P339" s="212"/>
      <c r="Q339" s="212"/>
      <c r="R339" s="212"/>
      <c r="S339" s="212"/>
      <c r="T339" s="212"/>
      <c r="U339" s="212"/>
      <c r="V339" s="212"/>
      <c r="W339" s="212"/>
      <c r="X339" s="212"/>
      <c r="Y339" s="212"/>
      <c r="Z339" s="212"/>
      <c r="AA339" s="212"/>
      <c r="AB339" s="212"/>
      <c r="AC339" s="212"/>
      <c r="AD339" s="212"/>
      <c r="AE339" s="212"/>
      <c r="AF339" s="212"/>
      <c r="AG339" s="212"/>
      <c r="AH339" s="212"/>
      <c r="AI339" s="212"/>
      <c r="AJ339" s="212"/>
      <c r="AK339" s="212"/>
      <c r="AL339" s="212"/>
      <c r="AM339" s="212"/>
      <c r="AN339" s="212"/>
      <c r="AO339" s="212"/>
      <c r="AP339" s="212"/>
      <c r="AQ339" s="212"/>
      <c r="AR339" s="212"/>
      <c r="AS339" s="212"/>
      <c r="AT339" s="212"/>
      <c r="AU339" s="212"/>
      <c r="AV339" s="212"/>
      <c r="AW339" s="212"/>
      <c r="AX339" s="212"/>
      <c r="AY339" s="212"/>
      <c r="AZ339" s="212"/>
      <c r="BA339" s="212"/>
      <c r="BB339" s="212"/>
      <c r="BC339" s="212"/>
      <c r="BD339" s="212"/>
      <c r="BE339" s="212"/>
      <c r="BF339" s="212"/>
      <c r="BG339" s="212"/>
      <c r="BH339" s="212"/>
      <c r="BI339" s="212"/>
    </row>
    <row r="340" spans="1:61" ht="24" customHeight="1">
      <c r="A340" s="218" t="s">
        <v>2135</v>
      </c>
      <c r="B340" s="218" t="s">
        <v>68</v>
      </c>
      <c r="C340" s="228">
        <v>1</v>
      </c>
      <c r="D340" s="213" t="s">
        <v>1033</v>
      </c>
      <c r="E340" s="212"/>
      <c r="F340" s="217">
        <f>TRUNC(F341+F342+F343+F344,0)</f>
        <v>0</v>
      </c>
      <c r="G340" s="212"/>
      <c r="H340" s="217">
        <f>TRUNC(H341+H342+H343+H344,0)</f>
        <v>0</v>
      </c>
      <c r="I340" s="212"/>
      <c r="J340" s="217">
        <f>TRUNC(J341+J342+J343+J344,0)</f>
        <v>0</v>
      </c>
      <c r="K340" s="212"/>
      <c r="L340" s="217">
        <f>F340+H340+J340</f>
        <v>0</v>
      </c>
      <c r="M340" s="215" t="s">
        <v>1749</v>
      </c>
      <c r="N340" s="212" t="s">
        <v>68</v>
      </c>
      <c r="O340" s="212" t="s">
        <v>1750</v>
      </c>
      <c r="P340" s="212"/>
      <c r="Q340" s="212"/>
      <c r="R340" s="212"/>
      <c r="S340" s="212"/>
      <c r="T340" s="212"/>
      <c r="U340" s="212"/>
      <c r="V340" s="212"/>
      <c r="W340" s="212"/>
      <c r="X340" s="212"/>
      <c r="Y340" s="212"/>
      <c r="Z340" s="212"/>
      <c r="AA340" s="212"/>
      <c r="AB340" s="212"/>
      <c r="AC340" s="212"/>
      <c r="AD340" s="212"/>
      <c r="AE340" s="212"/>
      <c r="AF340" s="212"/>
      <c r="AG340" s="212"/>
      <c r="AH340" s="212"/>
      <c r="AI340" s="212"/>
      <c r="AJ340" s="212"/>
      <c r="AK340" s="212"/>
      <c r="AL340" s="212"/>
      <c r="AM340" s="212"/>
      <c r="AN340" s="212"/>
      <c r="AO340" s="212"/>
      <c r="AP340" s="212"/>
      <c r="AQ340" s="212"/>
      <c r="AR340" s="212"/>
      <c r="AS340" s="212"/>
      <c r="AT340" s="212"/>
      <c r="AU340" s="212"/>
      <c r="AV340" s="212"/>
      <c r="AW340" s="212"/>
      <c r="AX340" s="212"/>
      <c r="AY340" s="212"/>
      <c r="AZ340" s="212"/>
      <c r="BA340" s="212"/>
      <c r="BB340" s="212"/>
      <c r="BC340" s="212"/>
      <c r="BD340" s="212"/>
      <c r="BE340" s="212"/>
      <c r="BF340" s="212"/>
      <c r="BG340" s="212"/>
      <c r="BH340" s="212"/>
      <c r="BI340" s="212"/>
    </row>
    <row r="341" spans="1:61" ht="24" customHeight="1">
      <c r="A341" s="218" t="s">
        <v>2136</v>
      </c>
      <c r="B341" s="218" t="s">
        <v>2137</v>
      </c>
      <c r="C341" s="229">
        <v>27.3</v>
      </c>
      <c r="D341" s="213" t="s">
        <v>2138</v>
      </c>
      <c r="E341" s="217">
        <f>자재조서!E11</f>
        <v>0</v>
      </c>
      <c r="F341" s="217">
        <f>TRUNC(E341*C341,0)</f>
        <v>0</v>
      </c>
      <c r="G341" s="217">
        <v>0</v>
      </c>
      <c r="H341" s="217"/>
      <c r="I341" s="217">
        <v>0</v>
      </c>
      <c r="J341" s="217"/>
      <c r="K341" s="217">
        <f>E341+G341+I341</f>
        <v>0</v>
      </c>
      <c r="L341" s="217">
        <f>F341+H341+J341</f>
        <v>0</v>
      </c>
      <c r="M341" s="215" t="s">
        <v>68</v>
      </c>
      <c r="N341" s="212" t="s">
        <v>2139</v>
      </c>
      <c r="O341" s="212"/>
      <c r="P341" s="212" t="s">
        <v>1095</v>
      </c>
      <c r="Q341" s="212" t="s">
        <v>68</v>
      </c>
      <c r="R341" s="212" t="s">
        <v>2140</v>
      </c>
      <c r="S341" s="212"/>
      <c r="T341" s="212"/>
      <c r="U341" s="212"/>
      <c r="V341" s="212"/>
      <c r="W341" s="212"/>
      <c r="X341" s="212"/>
      <c r="Y341" s="212"/>
      <c r="Z341" s="212"/>
      <c r="AA341" s="212"/>
      <c r="AB341" s="212"/>
      <c r="AC341" s="212"/>
      <c r="AD341" s="212"/>
      <c r="AE341" s="212"/>
      <c r="AF341" s="212"/>
      <c r="AG341" s="212"/>
      <c r="AH341" s="212"/>
      <c r="AI341" s="212"/>
      <c r="AJ341" s="212"/>
      <c r="AK341" s="212"/>
      <c r="AL341" s="212"/>
      <c r="AM341" s="212"/>
      <c r="AN341" s="212"/>
      <c r="AO341" s="212"/>
      <c r="AP341" s="212"/>
      <c r="AQ341" s="212"/>
      <c r="AR341" s="212"/>
      <c r="AS341" s="212"/>
      <c r="AT341" s="212"/>
      <c r="AU341" s="212"/>
      <c r="AV341" s="212"/>
      <c r="AW341" s="212"/>
      <c r="AX341" s="212"/>
      <c r="AY341" s="212"/>
      <c r="AZ341" s="212"/>
      <c r="BA341" s="212"/>
      <c r="BB341" s="212"/>
      <c r="BC341" s="212"/>
      <c r="BD341" s="212"/>
      <c r="BE341" s="212"/>
      <c r="BF341" s="212"/>
      <c r="BG341" s="212"/>
      <c r="BH341" s="212"/>
      <c r="BI341" s="231" t="str">
        <f>HYPERLINK("#자재조서!A11","M0747003 →")</f>
        <v>M0747003 →</v>
      </c>
    </row>
    <row r="342" spans="1:61" ht="24" customHeight="1">
      <c r="A342" s="218" t="s">
        <v>2141</v>
      </c>
      <c r="B342" s="218" t="s">
        <v>2142</v>
      </c>
      <c r="C342" s="229">
        <v>0.06</v>
      </c>
      <c r="D342" s="213" t="s">
        <v>2143</v>
      </c>
      <c r="E342" s="217">
        <f>자재조서!E10</f>
        <v>0</v>
      </c>
      <c r="F342" s="217">
        <f>TRUNC(E342*C342,0)</f>
        <v>0</v>
      </c>
      <c r="G342" s="217">
        <v>0</v>
      </c>
      <c r="H342" s="217"/>
      <c r="I342" s="217">
        <v>0</v>
      </c>
      <c r="J342" s="217"/>
      <c r="K342" s="217">
        <f>E342+G342+I342</f>
        <v>0</v>
      </c>
      <c r="L342" s="217">
        <f>F342+H342+J342</f>
        <v>0</v>
      </c>
      <c r="M342" s="215" t="s">
        <v>68</v>
      </c>
      <c r="N342" s="212" t="s">
        <v>68</v>
      </c>
      <c r="O342" s="212"/>
      <c r="P342" s="212" t="s">
        <v>1098</v>
      </c>
      <c r="Q342" s="212" t="s">
        <v>68</v>
      </c>
      <c r="R342" s="212" t="s">
        <v>2144</v>
      </c>
      <c r="S342" s="212"/>
      <c r="T342" s="212"/>
      <c r="U342" s="212"/>
      <c r="V342" s="212"/>
      <c r="W342" s="212"/>
      <c r="X342" s="212"/>
      <c r="Y342" s="212"/>
      <c r="Z342" s="212"/>
      <c r="AA342" s="212"/>
      <c r="AB342" s="212"/>
      <c r="AC342" s="212"/>
      <c r="AD342" s="212"/>
      <c r="AE342" s="212"/>
      <c r="AF342" s="212"/>
      <c r="AG342" s="212"/>
      <c r="AH342" s="212"/>
      <c r="AI342" s="212"/>
      <c r="AJ342" s="212"/>
      <c r="AK342" s="212"/>
      <c r="AL342" s="212"/>
      <c r="AM342" s="212"/>
      <c r="AN342" s="212"/>
      <c r="AO342" s="212"/>
      <c r="AP342" s="212"/>
      <c r="AQ342" s="212"/>
      <c r="AR342" s="212"/>
      <c r="AS342" s="212"/>
      <c r="AT342" s="212"/>
      <c r="AU342" s="212"/>
      <c r="AV342" s="212"/>
      <c r="AW342" s="212"/>
      <c r="AX342" s="212"/>
      <c r="AY342" s="212"/>
      <c r="AZ342" s="212"/>
      <c r="BA342" s="212"/>
      <c r="BB342" s="212"/>
      <c r="BC342" s="212"/>
      <c r="BD342" s="212"/>
      <c r="BE342" s="212"/>
      <c r="BF342" s="212"/>
      <c r="BG342" s="212"/>
      <c r="BH342" s="212"/>
      <c r="BI342" s="231" t="str">
        <f>HYPERLINK("#자재조서!A10","M07170A3 →")</f>
        <v>M07170A3 →</v>
      </c>
    </row>
    <row r="343" spans="1:61" ht="24" customHeight="1">
      <c r="A343" s="218" t="s">
        <v>2145</v>
      </c>
      <c r="B343" s="218" t="s">
        <v>1946</v>
      </c>
      <c r="C343" s="229">
        <v>1.4E-2</v>
      </c>
      <c r="D343" s="213" t="s">
        <v>1286</v>
      </c>
      <c r="E343" s="217">
        <v>0</v>
      </c>
      <c r="F343" s="217"/>
      <c r="G343" s="217">
        <f>노임!D15</f>
        <v>0</v>
      </c>
      <c r="H343" s="217">
        <f>TRUNC(G343*C343,0)</f>
        <v>0</v>
      </c>
      <c r="I343" s="217">
        <v>0</v>
      </c>
      <c r="J343" s="217"/>
      <c r="K343" s="217">
        <f>E343+G343+I343</f>
        <v>0</v>
      </c>
      <c r="L343" s="217">
        <f>F343+H343+J343</f>
        <v>0</v>
      </c>
      <c r="M343" s="215" t="s">
        <v>68</v>
      </c>
      <c r="N343" s="212" t="s">
        <v>68</v>
      </c>
      <c r="O343" s="212"/>
      <c r="P343" s="212" t="s">
        <v>1101</v>
      </c>
      <c r="Q343" s="212" t="s">
        <v>68</v>
      </c>
      <c r="R343" s="212" t="s">
        <v>2146</v>
      </c>
      <c r="S343" s="212"/>
      <c r="T343" s="212"/>
      <c r="U343" s="212"/>
      <c r="V343" s="212"/>
      <c r="W343" s="212"/>
      <c r="X343" s="212"/>
      <c r="Y343" s="212"/>
      <c r="Z343" s="212"/>
      <c r="AA343" s="212"/>
      <c r="AB343" s="212"/>
      <c r="AC343" s="212"/>
      <c r="AD343" s="212"/>
      <c r="AE343" s="212"/>
      <c r="AF343" s="212"/>
      <c r="AG343" s="212"/>
      <c r="AH343" s="212"/>
      <c r="AI343" s="212"/>
      <c r="AJ343" s="212"/>
      <c r="AK343" s="212"/>
      <c r="AL343" s="212"/>
      <c r="AM343" s="212"/>
      <c r="AN343" s="212"/>
      <c r="AO343" s="212"/>
      <c r="AP343" s="212"/>
      <c r="AQ343" s="212"/>
      <c r="AR343" s="212"/>
      <c r="AS343" s="212"/>
      <c r="AT343" s="212"/>
      <c r="AU343" s="212"/>
      <c r="AV343" s="212"/>
      <c r="AW343" s="212"/>
      <c r="AX343" s="212"/>
      <c r="AY343" s="212"/>
      <c r="AZ343" s="212"/>
      <c r="BA343" s="212"/>
      <c r="BB343" s="212"/>
      <c r="BC343" s="212"/>
      <c r="BD343" s="212"/>
      <c r="BE343" s="212"/>
      <c r="BF343" s="212"/>
      <c r="BG343" s="212"/>
      <c r="BH343" s="212"/>
      <c r="BI343" s="231" t="str">
        <f>HYPERLINK("#노임!A15","L001010101000027 →")</f>
        <v>L001010101000027 →</v>
      </c>
    </row>
    <row r="344" spans="1:61" ht="24" customHeight="1">
      <c r="A344" s="218" t="s">
        <v>1967</v>
      </c>
      <c r="B344" s="218" t="s">
        <v>1946</v>
      </c>
      <c r="C344" s="229">
        <v>4.0000000000000001E-3</v>
      </c>
      <c r="D344" s="213" t="s">
        <v>1286</v>
      </c>
      <c r="E344" s="217">
        <v>0</v>
      </c>
      <c r="F344" s="217"/>
      <c r="G344" s="217">
        <f>노임!D3</f>
        <v>0</v>
      </c>
      <c r="H344" s="217">
        <f>TRUNC(G344*C344,0)</f>
        <v>0</v>
      </c>
      <c r="I344" s="217">
        <v>0</v>
      </c>
      <c r="J344" s="217"/>
      <c r="K344" s="217">
        <f>E344+G344+I344</f>
        <v>0</v>
      </c>
      <c r="L344" s="217">
        <f>F344+H344+J344</f>
        <v>0</v>
      </c>
      <c r="M344" s="215" t="s">
        <v>68</v>
      </c>
      <c r="N344" s="212" t="s">
        <v>68</v>
      </c>
      <c r="O344" s="212"/>
      <c r="P344" s="212" t="s">
        <v>1104</v>
      </c>
      <c r="Q344" s="212" t="s">
        <v>68</v>
      </c>
      <c r="R344" s="212" t="s">
        <v>1968</v>
      </c>
      <c r="S344" s="212"/>
      <c r="T344" s="212"/>
      <c r="U344" s="212"/>
      <c r="V344" s="212"/>
      <c r="W344" s="212"/>
      <c r="X344" s="212"/>
      <c r="Y344" s="212"/>
      <c r="Z344" s="212"/>
      <c r="AA344" s="212"/>
      <c r="AB344" s="212"/>
      <c r="AC344" s="212"/>
      <c r="AD344" s="212"/>
      <c r="AE344" s="212"/>
      <c r="AF344" s="212"/>
      <c r="AG344" s="212"/>
      <c r="AH344" s="212"/>
      <c r="AI344" s="212"/>
      <c r="AJ344" s="212"/>
      <c r="AK344" s="212"/>
      <c r="AL344" s="212"/>
      <c r="AM344" s="212"/>
      <c r="AN344" s="212"/>
      <c r="AO344" s="212"/>
      <c r="AP344" s="212"/>
      <c r="AQ344" s="212"/>
      <c r="AR344" s="212"/>
      <c r="AS344" s="212"/>
      <c r="AT344" s="212"/>
      <c r="AU344" s="212"/>
      <c r="AV344" s="212"/>
      <c r="AW344" s="212"/>
      <c r="AX344" s="212"/>
      <c r="AY344" s="212"/>
      <c r="AZ344" s="212"/>
      <c r="BA344" s="212"/>
      <c r="BB344" s="212"/>
      <c r="BC344" s="212"/>
      <c r="BD344" s="212"/>
      <c r="BE344" s="212"/>
      <c r="BF344" s="212"/>
      <c r="BG344" s="212"/>
      <c r="BH344" s="212"/>
      <c r="BI344" s="231" t="str">
        <f>HYPERLINK("#노임!A3","L001010101000002 →")</f>
        <v>L001010101000002 →</v>
      </c>
    </row>
    <row r="345" spans="1:61" ht="24" customHeight="1">
      <c r="A345" s="215"/>
      <c r="B345" s="215"/>
      <c r="C345" s="229"/>
      <c r="D345" s="213"/>
      <c r="E345" s="213"/>
      <c r="F345" s="213"/>
      <c r="G345" s="213"/>
      <c r="H345" s="213"/>
      <c r="I345" s="213"/>
      <c r="J345" s="213"/>
      <c r="K345" s="213"/>
      <c r="L345" s="213"/>
      <c r="M345" s="215"/>
      <c r="N345" s="212"/>
      <c r="O345" s="212"/>
      <c r="P345" s="212"/>
      <c r="Q345" s="212"/>
      <c r="R345" s="212"/>
      <c r="S345" s="212"/>
      <c r="T345" s="212"/>
      <c r="U345" s="212"/>
      <c r="V345" s="212"/>
      <c r="W345" s="212"/>
      <c r="X345" s="212"/>
      <c r="Y345" s="212"/>
      <c r="Z345" s="212"/>
      <c r="AA345" s="212"/>
      <c r="AB345" s="212"/>
      <c r="AC345" s="212"/>
      <c r="AD345" s="212"/>
      <c r="AE345" s="212"/>
      <c r="AF345" s="212"/>
      <c r="AG345" s="212"/>
      <c r="AH345" s="212"/>
      <c r="AI345" s="212"/>
      <c r="AJ345" s="212"/>
      <c r="AK345" s="212"/>
      <c r="AL345" s="212"/>
      <c r="AM345" s="212"/>
      <c r="AN345" s="212"/>
      <c r="AO345" s="212"/>
      <c r="AP345" s="212"/>
      <c r="AQ345" s="212"/>
      <c r="AR345" s="212"/>
      <c r="AS345" s="212"/>
      <c r="AT345" s="212"/>
      <c r="AU345" s="212"/>
      <c r="AV345" s="212"/>
      <c r="AW345" s="212"/>
      <c r="AX345" s="212"/>
      <c r="AY345" s="212"/>
      <c r="AZ345" s="212"/>
      <c r="BA345" s="212"/>
      <c r="BB345" s="212"/>
      <c r="BC345" s="212"/>
      <c r="BD345" s="212"/>
      <c r="BE345" s="212"/>
      <c r="BF345" s="212"/>
      <c r="BG345" s="212"/>
      <c r="BH345" s="212"/>
      <c r="BI345" s="212"/>
    </row>
    <row r="346" spans="1:61" ht="24" customHeight="1">
      <c r="A346" s="218" t="s">
        <v>2147</v>
      </c>
      <c r="B346" s="218" t="s">
        <v>1727</v>
      </c>
      <c r="C346" s="228">
        <v>1</v>
      </c>
      <c r="D346" s="213" t="s">
        <v>378</v>
      </c>
      <c r="E346" s="212"/>
      <c r="F346" s="217">
        <f>TRUNC(F347+F348+F349,0)</f>
        <v>0</v>
      </c>
      <c r="G346" s="212"/>
      <c r="H346" s="217">
        <f>TRUNC(H347+H348+H349,0)</f>
        <v>0</v>
      </c>
      <c r="I346" s="212"/>
      <c r="J346" s="217">
        <f>TRUNC(J347+J348+J349,0)</f>
        <v>0</v>
      </c>
      <c r="K346" s="212"/>
      <c r="L346" s="217">
        <f>F346+H346+J346</f>
        <v>0</v>
      </c>
      <c r="M346" s="215" t="s">
        <v>1719</v>
      </c>
      <c r="N346" s="212" t="s">
        <v>68</v>
      </c>
      <c r="O346" s="212" t="s">
        <v>1752</v>
      </c>
      <c r="P346" s="212"/>
      <c r="Q346" s="212"/>
      <c r="R346" s="212"/>
      <c r="S346" s="212"/>
      <c r="T346" s="212"/>
      <c r="U346" s="212"/>
      <c r="V346" s="212"/>
      <c r="W346" s="212"/>
      <c r="X346" s="212"/>
      <c r="Y346" s="212"/>
      <c r="Z346" s="212"/>
      <c r="AA346" s="212"/>
      <c r="AB346" s="212"/>
      <c r="AC346" s="212"/>
      <c r="AD346" s="212"/>
      <c r="AE346" s="212"/>
      <c r="AF346" s="212"/>
      <c r="AG346" s="212"/>
      <c r="AH346" s="212"/>
      <c r="AI346" s="212"/>
      <c r="AJ346" s="212"/>
      <c r="AK346" s="212"/>
      <c r="AL346" s="212"/>
      <c r="AM346" s="212"/>
      <c r="AN346" s="212"/>
      <c r="AO346" s="212"/>
      <c r="AP346" s="212"/>
      <c r="AQ346" s="212"/>
      <c r="AR346" s="212"/>
      <c r="AS346" s="212"/>
      <c r="AT346" s="212"/>
      <c r="AU346" s="212"/>
      <c r="AV346" s="212"/>
      <c r="AW346" s="212"/>
      <c r="AX346" s="212"/>
      <c r="AY346" s="212"/>
      <c r="AZ346" s="212"/>
      <c r="BA346" s="212"/>
      <c r="BB346" s="212"/>
      <c r="BC346" s="212"/>
      <c r="BD346" s="212"/>
      <c r="BE346" s="212"/>
      <c r="BF346" s="212"/>
      <c r="BG346" s="212"/>
      <c r="BH346" s="212"/>
      <c r="BI346" s="212"/>
    </row>
    <row r="347" spans="1:61" ht="24" customHeight="1">
      <c r="A347" s="218" t="s">
        <v>2026</v>
      </c>
      <c r="B347" s="218" t="s">
        <v>1946</v>
      </c>
      <c r="C347" s="229">
        <v>0.28299999999999997</v>
      </c>
      <c r="D347" s="213" t="s">
        <v>1286</v>
      </c>
      <c r="E347" s="217">
        <v>0</v>
      </c>
      <c r="F347" s="217"/>
      <c r="G347" s="217">
        <f>노임!D13</f>
        <v>0</v>
      </c>
      <c r="H347" s="217">
        <f>TRUNC(G347*C347,0)</f>
        <v>0</v>
      </c>
      <c r="I347" s="217">
        <v>0</v>
      </c>
      <c r="J347" s="217"/>
      <c r="K347" s="217">
        <f>E347+G347+I347</f>
        <v>0</v>
      </c>
      <c r="L347" s="217">
        <f>F347+H347+J347</f>
        <v>0</v>
      </c>
      <c r="M347" s="215" t="s">
        <v>68</v>
      </c>
      <c r="N347" s="212" t="s">
        <v>68</v>
      </c>
      <c r="O347" s="212"/>
      <c r="P347" s="212" t="s">
        <v>1095</v>
      </c>
      <c r="Q347" s="212" t="s">
        <v>68</v>
      </c>
      <c r="R347" s="212" t="s">
        <v>2027</v>
      </c>
      <c r="S347" s="212"/>
      <c r="T347" s="212"/>
      <c r="U347" s="212"/>
      <c r="V347" s="212"/>
      <c r="W347" s="212"/>
      <c r="X347" s="212"/>
      <c r="Y347" s="212"/>
      <c r="Z347" s="212"/>
      <c r="AA347" s="212"/>
      <c r="AB347" s="212"/>
      <c r="AC347" s="212"/>
      <c r="AD347" s="212"/>
      <c r="AE347" s="212"/>
      <c r="AF347" s="212"/>
      <c r="AG347" s="212"/>
      <c r="AH347" s="212"/>
      <c r="AI347" s="212"/>
      <c r="AJ347" s="212"/>
      <c r="AK347" s="212"/>
      <c r="AL347" s="212"/>
      <c r="AM347" s="212"/>
      <c r="AN347" s="212"/>
      <c r="AO347" s="212"/>
      <c r="AP347" s="212"/>
      <c r="AQ347" s="212"/>
      <c r="AR347" s="212"/>
      <c r="AS347" s="212"/>
      <c r="AT347" s="212"/>
      <c r="AU347" s="212"/>
      <c r="AV347" s="212"/>
      <c r="AW347" s="212"/>
      <c r="AX347" s="212"/>
      <c r="AY347" s="212"/>
      <c r="AZ347" s="212"/>
      <c r="BA347" s="212"/>
      <c r="BB347" s="212"/>
      <c r="BC347" s="212"/>
      <c r="BD347" s="212"/>
      <c r="BE347" s="212"/>
      <c r="BF347" s="212"/>
      <c r="BG347" s="212"/>
      <c r="BH347" s="212"/>
      <c r="BI347" s="231" t="str">
        <f>HYPERLINK("#노임!A13","L001010101000024 →")</f>
        <v>L001010101000024 →</v>
      </c>
    </row>
    <row r="348" spans="1:61" ht="24" customHeight="1">
      <c r="A348" s="218" t="s">
        <v>1967</v>
      </c>
      <c r="B348" s="218" t="s">
        <v>1946</v>
      </c>
      <c r="C348" s="229">
        <v>6.3E-2</v>
      </c>
      <c r="D348" s="213" t="s">
        <v>1286</v>
      </c>
      <c r="E348" s="217">
        <v>0</v>
      </c>
      <c r="F348" s="217"/>
      <c r="G348" s="217">
        <f>노임!D3</f>
        <v>0</v>
      </c>
      <c r="H348" s="217">
        <f>TRUNC(G348*C348,0)</f>
        <v>0</v>
      </c>
      <c r="I348" s="217">
        <v>0</v>
      </c>
      <c r="J348" s="217"/>
      <c r="K348" s="217">
        <f>E348+G348+I348</f>
        <v>0</v>
      </c>
      <c r="L348" s="217">
        <f>F348+H348+J348</f>
        <v>0</v>
      </c>
      <c r="M348" s="215" t="s">
        <v>68</v>
      </c>
      <c r="N348" s="212" t="s">
        <v>68</v>
      </c>
      <c r="O348" s="212"/>
      <c r="P348" s="212" t="s">
        <v>1098</v>
      </c>
      <c r="Q348" s="212" t="s">
        <v>68</v>
      </c>
      <c r="R348" s="212" t="s">
        <v>1968</v>
      </c>
      <c r="S348" s="212"/>
      <c r="T348" s="212"/>
      <c r="U348" s="212"/>
      <c r="V348" s="212"/>
      <c r="W348" s="212"/>
      <c r="X348" s="212"/>
      <c r="Y348" s="212"/>
      <c r="Z348" s="212"/>
      <c r="AA348" s="220" t="s">
        <v>1955</v>
      </c>
      <c r="AB348" s="212">
        <f>(호표!H347+호표!H348)*0.02</f>
        <v>0</v>
      </c>
      <c r="AC348" s="220" t="s">
        <v>1956</v>
      </c>
      <c r="AD348" s="212">
        <f>$AB348</f>
        <v>0</v>
      </c>
      <c r="AE348" s="212"/>
      <c r="AF348" s="212"/>
      <c r="AG348" s="212"/>
      <c r="AH348" s="212"/>
      <c r="AI348" s="212"/>
      <c r="AJ348" s="212"/>
      <c r="AK348" s="212"/>
      <c r="AL348" s="212"/>
      <c r="AM348" s="212"/>
      <c r="AN348" s="212"/>
      <c r="AO348" s="212"/>
      <c r="AP348" s="212"/>
      <c r="AQ348" s="212"/>
      <c r="AR348" s="212"/>
      <c r="AS348" s="212"/>
      <c r="AT348" s="212"/>
      <c r="AU348" s="212"/>
      <c r="AV348" s="212"/>
      <c r="AW348" s="212"/>
      <c r="AX348" s="212"/>
      <c r="AY348" s="212"/>
      <c r="AZ348" s="212"/>
      <c r="BA348" s="212"/>
      <c r="BB348" s="212"/>
      <c r="BC348" s="212"/>
      <c r="BD348" s="212"/>
      <c r="BE348" s="212"/>
      <c r="BF348" s="212"/>
      <c r="BG348" s="212"/>
      <c r="BH348" s="212"/>
      <c r="BI348" s="231" t="str">
        <f>HYPERLINK("#노임!A3","L001010101000002 →")</f>
        <v>L001010101000002 →</v>
      </c>
    </row>
    <row r="349" spans="1:61" ht="24" customHeight="1">
      <c r="A349" s="218" t="s">
        <v>1948</v>
      </c>
      <c r="B349" s="218" t="s">
        <v>1958</v>
      </c>
      <c r="C349" s="228">
        <v>2</v>
      </c>
      <c r="D349" s="213" t="s">
        <v>1950</v>
      </c>
      <c r="E349" s="213"/>
      <c r="F349" s="217">
        <v>0</v>
      </c>
      <c r="G349" s="213"/>
      <c r="H349" s="217">
        <v>0</v>
      </c>
      <c r="I349" s="213"/>
      <c r="J349" s="217">
        <f>TRUNC(((H347+H348)*0.02),0)</f>
        <v>0</v>
      </c>
      <c r="K349" s="217">
        <f>E349+G349+I349</f>
        <v>0</v>
      </c>
      <c r="L349" s="217">
        <f>F349+H349+J349</f>
        <v>0</v>
      </c>
      <c r="M349" s="215" t="s">
        <v>68</v>
      </c>
      <c r="N349" s="212" t="s">
        <v>68</v>
      </c>
      <c r="O349" s="212"/>
      <c r="P349" s="212" t="s">
        <v>1101</v>
      </c>
      <c r="Q349" s="212" t="s">
        <v>68</v>
      </c>
      <c r="R349" s="212" t="s">
        <v>1121</v>
      </c>
      <c r="S349" s="212"/>
      <c r="T349" s="212"/>
      <c r="U349" s="212"/>
      <c r="V349" s="212"/>
      <c r="W349" s="212"/>
      <c r="X349" s="212" t="s">
        <v>1975</v>
      </c>
      <c r="Y349" s="212"/>
      <c r="Z349" s="212"/>
      <c r="AA349" s="212"/>
      <c r="AB349" s="212"/>
      <c r="AC349" s="212"/>
      <c r="AD349" s="212"/>
      <c r="AE349" s="212"/>
      <c r="AF349" s="212"/>
      <c r="AG349" s="212"/>
      <c r="AH349" s="212"/>
      <c r="AI349" s="212"/>
      <c r="AJ349" s="212"/>
      <c r="AK349" s="212"/>
      <c r="AL349" s="212"/>
      <c r="AM349" s="212"/>
      <c r="AN349" s="212"/>
      <c r="AO349" s="212"/>
      <c r="AP349" s="212"/>
      <c r="AQ349" s="212"/>
      <c r="AR349" s="212"/>
      <c r="AS349" s="212"/>
      <c r="AT349" s="212"/>
      <c r="AU349" s="212"/>
      <c r="AV349" s="212"/>
      <c r="AW349" s="212"/>
      <c r="AX349" s="212"/>
      <c r="AY349" s="212"/>
      <c r="AZ349" s="212"/>
      <c r="BA349" s="212"/>
      <c r="BB349" s="212"/>
      <c r="BC349" s="212"/>
      <c r="BD349" s="212"/>
      <c r="BE349" s="212"/>
      <c r="BF349" s="212"/>
      <c r="BG349" s="212"/>
      <c r="BH349" s="212"/>
      <c r="BI349" s="212"/>
    </row>
    <row r="350" spans="1:61" ht="24" customHeight="1">
      <c r="A350" s="215"/>
      <c r="B350" s="215"/>
      <c r="C350" s="229"/>
      <c r="D350" s="213"/>
      <c r="E350" s="213"/>
      <c r="F350" s="213"/>
      <c r="G350" s="213"/>
      <c r="H350" s="213"/>
      <c r="I350" s="213"/>
      <c r="J350" s="213"/>
      <c r="K350" s="213"/>
      <c r="L350" s="213"/>
      <c r="M350" s="215"/>
      <c r="N350" s="212"/>
      <c r="O350" s="212"/>
      <c r="P350" s="212"/>
      <c r="Q350" s="212"/>
      <c r="R350" s="212"/>
      <c r="S350" s="212"/>
      <c r="T350" s="212"/>
      <c r="U350" s="212"/>
      <c r="V350" s="212"/>
      <c r="W350" s="212"/>
      <c r="X350" s="212"/>
      <c r="Y350" s="212"/>
      <c r="Z350" s="212"/>
      <c r="AA350" s="212"/>
      <c r="AB350" s="212"/>
      <c r="AC350" s="212"/>
      <c r="AD350" s="212"/>
      <c r="AE350" s="212"/>
      <c r="AF350" s="212"/>
      <c r="AG350" s="212"/>
      <c r="AH350" s="212"/>
      <c r="AI350" s="212"/>
      <c r="AJ350" s="212"/>
      <c r="AK350" s="212"/>
      <c r="AL350" s="212"/>
      <c r="AM350" s="212"/>
      <c r="AN350" s="212"/>
      <c r="AO350" s="212"/>
      <c r="AP350" s="212"/>
      <c r="AQ350" s="212"/>
      <c r="AR350" s="212"/>
      <c r="AS350" s="212"/>
      <c r="AT350" s="212"/>
      <c r="AU350" s="212"/>
      <c r="AV350" s="212"/>
      <c r="AW350" s="212"/>
      <c r="AX350" s="212"/>
      <c r="AY350" s="212"/>
      <c r="AZ350" s="212"/>
      <c r="BA350" s="212"/>
      <c r="BB350" s="212"/>
      <c r="BC350" s="212"/>
      <c r="BD350" s="212"/>
      <c r="BE350" s="212"/>
      <c r="BF350" s="212"/>
      <c r="BG350" s="212"/>
      <c r="BH350" s="212"/>
      <c r="BI350" s="212"/>
    </row>
    <row r="351" spans="1:61" ht="24" customHeight="1">
      <c r="A351" s="218" t="s">
        <v>2148</v>
      </c>
      <c r="B351" s="218" t="s">
        <v>1754</v>
      </c>
      <c r="C351" s="228">
        <v>1</v>
      </c>
      <c r="D351" s="213" t="s">
        <v>16</v>
      </c>
      <c r="E351" s="212"/>
      <c r="F351" s="217">
        <f>TRUNC(F352+F353+F354+F355+F356+F357,0)</f>
        <v>0</v>
      </c>
      <c r="G351" s="212"/>
      <c r="H351" s="217">
        <f>TRUNC(H352+H353+H354+H355+H356+H357,0)</f>
        <v>0</v>
      </c>
      <c r="I351" s="212"/>
      <c r="J351" s="217">
        <f>TRUNC(J352+J353+J354+J355+J356+J357,0)</f>
        <v>0</v>
      </c>
      <c r="K351" s="212"/>
      <c r="L351" s="217">
        <f t="shared" ref="L351:L357" si="51">F351+H351+J351</f>
        <v>0</v>
      </c>
      <c r="M351" s="215" t="s">
        <v>1647</v>
      </c>
      <c r="N351" s="212" t="s">
        <v>68</v>
      </c>
      <c r="O351" s="212" t="s">
        <v>1755</v>
      </c>
      <c r="P351" s="212"/>
      <c r="Q351" s="212"/>
      <c r="R351" s="212"/>
      <c r="S351" s="212"/>
      <c r="T351" s="212"/>
      <c r="U351" s="212"/>
      <c r="V351" s="212"/>
      <c r="W351" s="212"/>
      <c r="X351" s="212"/>
      <c r="Y351" s="212"/>
      <c r="Z351" s="212"/>
      <c r="AA351" s="212"/>
      <c r="AB351" s="212"/>
      <c r="AC351" s="212"/>
      <c r="AD351" s="212"/>
      <c r="AE351" s="212"/>
      <c r="AF351" s="212"/>
      <c r="AG351" s="212"/>
      <c r="AH351" s="212"/>
      <c r="AI351" s="212"/>
      <c r="AJ351" s="212"/>
      <c r="AK351" s="212"/>
      <c r="AL351" s="212"/>
      <c r="AM351" s="212"/>
      <c r="AN351" s="212"/>
      <c r="AO351" s="212"/>
      <c r="AP351" s="212"/>
      <c r="AQ351" s="212"/>
      <c r="AR351" s="212"/>
      <c r="AS351" s="212"/>
      <c r="AT351" s="212"/>
      <c r="AU351" s="212"/>
      <c r="AV351" s="212"/>
      <c r="AW351" s="212"/>
      <c r="AX351" s="212"/>
      <c r="AY351" s="212"/>
      <c r="AZ351" s="212"/>
      <c r="BA351" s="212"/>
      <c r="BB351" s="212"/>
      <c r="BC351" s="212"/>
      <c r="BD351" s="212"/>
      <c r="BE351" s="212"/>
      <c r="BF351" s="212"/>
      <c r="BG351" s="212"/>
      <c r="BH351" s="212"/>
      <c r="BI351" s="212"/>
    </row>
    <row r="352" spans="1:61" ht="24" customHeight="1">
      <c r="A352" s="218" t="s">
        <v>1961</v>
      </c>
      <c r="B352" s="218" t="s">
        <v>1946</v>
      </c>
      <c r="C352" s="229">
        <v>16.09</v>
      </c>
      <c r="D352" s="213" t="s">
        <v>1286</v>
      </c>
      <c r="E352" s="217">
        <v>0</v>
      </c>
      <c r="F352" s="217"/>
      <c r="G352" s="217">
        <f>노임!D6</f>
        <v>0</v>
      </c>
      <c r="H352" s="217">
        <f>TRUNC(G352*C352,0)</f>
        <v>0</v>
      </c>
      <c r="I352" s="217">
        <v>0</v>
      </c>
      <c r="J352" s="217"/>
      <c r="K352" s="217">
        <f t="shared" ref="K352:K357" si="52">E352+G352+I352</f>
        <v>0</v>
      </c>
      <c r="L352" s="217">
        <f t="shared" si="51"/>
        <v>0</v>
      </c>
      <c r="M352" s="215" t="s">
        <v>68</v>
      </c>
      <c r="N352" s="212" t="s">
        <v>68</v>
      </c>
      <c r="O352" s="212"/>
      <c r="P352" s="212" t="s">
        <v>1095</v>
      </c>
      <c r="Q352" s="212" t="s">
        <v>68</v>
      </c>
      <c r="R352" s="212" t="s">
        <v>1962</v>
      </c>
      <c r="S352" s="212"/>
      <c r="T352" s="212"/>
      <c r="U352" s="212"/>
      <c r="V352" s="212"/>
      <c r="W352" s="212"/>
      <c r="X352" s="212"/>
      <c r="Y352" s="212"/>
      <c r="Z352" s="212"/>
      <c r="AA352" s="212"/>
      <c r="AB352" s="212"/>
      <c r="AC352" s="212"/>
      <c r="AD352" s="212"/>
      <c r="AE352" s="212"/>
      <c r="AF352" s="212"/>
      <c r="AG352" s="212"/>
      <c r="AH352" s="212"/>
      <c r="AI352" s="212"/>
      <c r="AJ352" s="212"/>
      <c r="AK352" s="212"/>
      <c r="AL352" s="212"/>
      <c r="AM352" s="212"/>
      <c r="AN352" s="212"/>
      <c r="AO352" s="212"/>
      <c r="AP352" s="212"/>
      <c r="AQ352" s="212"/>
      <c r="AR352" s="212"/>
      <c r="AS352" s="212"/>
      <c r="AT352" s="212"/>
      <c r="AU352" s="212"/>
      <c r="AV352" s="212"/>
      <c r="AW352" s="212"/>
      <c r="AX352" s="212"/>
      <c r="AY352" s="212"/>
      <c r="AZ352" s="212"/>
      <c r="BA352" s="212"/>
      <c r="BB352" s="212"/>
      <c r="BC352" s="212"/>
      <c r="BD352" s="212"/>
      <c r="BE352" s="212"/>
      <c r="BF352" s="212"/>
      <c r="BG352" s="212"/>
      <c r="BH352" s="212"/>
      <c r="BI352" s="231" t="str">
        <f>HYPERLINK("#노임!A6","L001010101000009 →")</f>
        <v>L001010101000009 →</v>
      </c>
    </row>
    <row r="353" spans="1:61" ht="24" customHeight="1">
      <c r="A353" s="218" t="s">
        <v>1963</v>
      </c>
      <c r="B353" s="218" t="s">
        <v>1946</v>
      </c>
      <c r="C353" s="229">
        <v>4.3899999999999997</v>
      </c>
      <c r="D353" s="213" t="s">
        <v>1286</v>
      </c>
      <c r="E353" s="217">
        <v>0</v>
      </c>
      <c r="F353" s="217"/>
      <c r="G353" s="217">
        <f>노임!D8</f>
        <v>0</v>
      </c>
      <c r="H353" s="217">
        <f>TRUNC(G353*C353,0)</f>
        <v>0</v>
      </c>
      <c r="I353" s="217">
        <v>0</v>
      </c>
      <c r="J353" s="217"/>
      <c r="K353" s="217">
        <f t="shared" si="52"/>
        <v>0</v>
      </c>
      <c r="L353" s="217">
        <f t="shared" si="51"/>
        <v>0</v>
      </c>
      <c r="M353" s="215" t="s">
        <v>68</v>
      </c>
      <c r="N353" s="212" t="s">
        <v>68</v>
      </c>
      <c r="O353" s="212"/>
      <c r="P353" s="212" t="s">
        <v>1098</v>
      </c>
      <c r="Q353" s="212" t="s">
        <v>68</v>
      </c>
      <c r="R353" s="212" t="s">
        <v>1964</v>
      </c>
      <c r="S353" s="212"/>
      <c r="T353" s="212"/>
      <c r="U353" s="212"/>
      <c r="V353" s="212"/>
      <c r="W353" s="212"/>
      <c r="X353" s="212"/>
      <c r="Y353" s="212"/>
      <c r="Z353" s="212"/>
      <c r="AA353" s="212"/>
      <c r="AB353" s="212"/>
      <c r="AC353" s="212"/>
      <c r="AD353" s="212"/>
      <c r="AE353" s="212"/>
      <c r="AF353" s="212"/>
      <c r="AG353" s="212"/>
      <c r="AH353" s="212"/>
      <c r="AI353" s="212"/>
      <c r="AJ353" s="212"/>
      <c r="AK353" s="212"/>
      <c r="AL353" s="212"/>
      <c r="AM353" s="212"/>
      <c r="AN353" s="212"/>
      <c r="AO353" s="212"/>
      <c r="AP353" s="212"/>
      <c r="AQ353" s="212"/>
      <c r="AR353" s="212"/>
      <c r="AS353" s="212"/>
      <c r="AT353" s="212"/>
      <c r="AU353" s="212"/>
      <c r="AV353" s="212"/>
      <c r="AW353" s="212"/>
      <c r="AX353" s="212"/>
      <c r="AY353" s="212"/>
      <c r="AZ353" s="212"/>
      <c r="BA353" s="212"/>
      <c r="BB353" s="212"/>
      <c r="BC353" s="212"/>
      <c r="BD353" s="212"/>
      <c r="BE353" s="212"/>
      <c r="BF353" s="212"/>
      <c r="BG353" s="212"/>
      <c r="BH353" s="212"/>
      <c r="BI353" s="231" t="str">
        <f>HYPERLINK("#노임!A8","L001010101000012 →")</f>
        <v>L001010101000012 →</v>
      </c>
    </row>
    <row r="354" spans="1:61" ht="24" customHeight="1">
      <c r="A354" s="218" t="s">
        <v>1965</v>
      </c>
      <c r="B354" s="218" t="s">
        <v>1946</v>
      </c>
      <c r="C354" s="229">
        <v>5.85</v>
      </c>
      <c r="D354" s="213" t="s">
        <v>1286</v>
      </c>
      <c r="E354" s="217">
        <v>0</v>
      </c>
      <c r="F354" s="217"/>
      <c r="G354" s="217">
        <f>노임!D4</f>
        <v>0</v>
      </c>
      <c r="H354" s="217">
        <f>TRUNC(G354*C354,0)</f>
        <v>0</v>
      </c>
      <c r="I354" s="217">
        <v>0</v>
      </c>
      <c r="J354" s="217"/>
      <c r="K354" s="217">
        <f t="shared" si="52"/>
        <v>0</v>
      </c>
      <c r="L354" s="217">
        <f t="shared" si="51"/>
        <v>0</v>
      </c>
      <c r="M354" s="215" t="s">
        <v>68</v>
      </c>
      <c r="N354" s="212" t="s">
        <v>68</v>
      </c>
      <c r="O354" s="212"/>
      <c r="P354" s="212" t="s">
        <v>1101</v>
      </c>
      <c r="Q354" s="212" t="s">
        <v>68</v>
      </c>
      <c r="R354" s="212" t="s">
        <v>1966</v>
      </c>
      <c r="S354" s="212"/>
      <c r="T354" s="212"/>
      <c r="U354" s="212"/>
      <c r="V354" s="212"/>
      <c r="W354" s="212"/>
      <c r="X354" s="212"/>
      <c r="Y354" s="212"/>
      <c r="Z354" s="212"/>
      <c r="AA354" s="212"/>
      <c r="AB354" s="212"/>
      <c r="AC354" s="212"/>
      <c r="AD354" s="212"/>
      <c r="AE354" s="212"/>
      <c r="AF354" s="212"/>
      <c r="AG354" s="212"/>
      <c r="AH354" s="212"/>
      <c r="AI354" s="212"/>
      <c r="AJ354" s="212"/>
      <c r="AK354" s="212"/>
      <c r="AL354" s="212"/>
      <c r="AM354" s="212"/>
      <c r="AN354" s="212"/>
      <c r="AO354" s="212"/>
      <c r="AP354" s="212"/>
      <c r="AQ354" s="212"/>
      <c r="AR354" s="212"/>
      <c r="AS354" s="212"/>
      <c r="AT354" s="212"/>
      <c r="AU354" s="212"/>
      <c r="AV354" s="212"/>
      <c r="AW354" s="212"/>
      <c r="AX354" s="212"/>
      <c r="AY354" s="212"/>
      <c r="AZ354" s="212"/>
      <c r="BA354" s="212"/>
      <c r="BB354" s="212"/>
      <c r="BC354" s="212"/>
      <c r="BD354" s="212"/>
      <c r="BE354" s="212"/>
      <c r="BF354" s="212"/>
      <c r="BG354" s="212"/>
      <c r="BH354" s="212"/>
      <c r="BI354" s="231" t="str">
        <f>HYPERLINK("#노임!A4","L001010101000003 →")</f>
        <v>L001010101000003 →</v>
      </c>
    </row>
    <row r="355" spans="1:61" ht="24" customHeight="1">
      <c r="A355" s="218" t="s">
        <v>1967</v>
      </c>
      <c r="B355" s="218" t="s">
        <v>1946</v>
      </c>
      <c r="C355" s="229">
        <v>2.93</v>
      </c>
      <c r="D355" s="213" t="s">
        <v>1286</v>
      </c>
      <c r="E355" s="217">
        <v>0</v>
      </c>
      <c r="F355" s="217"/>
      <c r="G355" s="217">
        <f>노임!D3</f>
        <v>0</v>
      </c>
      <c r="H355" s="217">
        <f>TRUNC(G355*C355,0)</f>
        <v>0</v>
      </c>
      <c r="I355" s="217">
        <v>0</v>
      </c>
      <c r="J355" s="217"/>
      <c r="K355" s="217">
        <f t="shared" si="52"/>
        <v>0</v>
      </c>
      <c r="L355" s="217">
        <f t="shared" si="51"/>
        <v>0</v>
      </c>
      <c r="M355" s="215" t="s">
        <v>68</v>
      </c>
      <c r="N355" s="212" t="s">
        <v>68</v>
      </c>
      <c r="O355" s="212"/>
      <c r="P355" s="212" t="s">
        <v>1104</v>
      </c>
      <c r="Q355" s="212" t="s">
        <v>68</v>
      </c>
      <c r="R355" s="212" t="s">
        <v>1968</v>
      </c>
      <c r="S355" s="212"/>
      <c r="T355" s="212"/>
      <c r="U355" s="212"/>
      <c r="V355" s="212"/>
      <c r="W355" s="212"/>
      <c r="X355" s="212"/>
      <c r="Y355" s="212"/>
      <c r="Z355" s="212"/>
      <c r="AA355" s="220" t="s">
        <v>1955</v>
      </c>
      <c r="AB355" s="212">
        <f>(호표!H352+호표!H353+호표!H354+호표!H355)*0.04</f>
        <v>0</v>
      </c>
      <c r="AC355" s="220" t="s">
        <v>1956</v>
      </c>
      <c r="AD355" s="212">
        <f>$AB355</f>
        <v>0</v>
      </c>
      <c r="AE355" s="212"/>
      <c r="AF355" s="212"/>
      <c r="AG355" s="212"/>
      <c r="AH355" s="212"/>
      <c r="AI355" s="212"/>
      <c r="AJ355" s="212"/>
      <c r="AK355" s="212"/>
      <c r="AL355" s="212"/>
      <c r="AM355" s="212"/>
      <c r="AN355" s="212"/>
      <c r="AO355" s="212"/>
      <c r="AP355" s="212"/>
      <c r="AQ355" s="212"/>
      <c r="AR355" s="212"/>
      <c r="AS355" s="212"/>
      <c r="AT355" s="212"/>
      <c r="AU355" s="212"/>
      <c r="AV355" s="212"/>
      <c r="AW355" s="212"/>
      <c r="AX355" s="212"/>
      <c r="AY355" s="212"/>
      <c r="AZ355" s="212"/>
      <c r="BA355" s="212"/>
      <c r="BB355" s="212"/>
      <c r="BC355" s="212"/>
      <c r="BD355" s="212"/>
      <c r="BE355" s="212"/>
      <c r="BF355" s="212"/>
      <c r="BG355" s="212"/>
      <c r="BH355" s="212"/>
      <c r="BI355" s="231" t="str">
        <f>HYPERLINK("#노임!A3","L001010101000002 →")</f>
        <v>L001010101000002 →</v>
      </c>
    </row>
    <row r="356" spans="1:61" ht="24" customHeight="1">
      <c r="A356" s="218" t="s">
        <v>1948</v>
      </c>
      <c r="B356" s="218" t="s">
        <v>2149</v>
      </c>
      <c r="C356" s="228">
        <v>4</v>
      </c>
      <c r="D356" s="213" t="s">
        <v>1950</v>
      </c>
      <c r="E356" s="213"/>
      <c r="F356" s="217">
        <v>0</v>
      </c>
      <c r="G356" s="213"/>
      <c r="H356" s="217">
        <v>0</v>
      </c>
      <c r="I356" s="213"/>
      <c r="J356" s="217">
        <f>TRUNC(((H352+H353+H354+H355)*0.04),0)</f>
        <v>0</v>
      </c>
      <c r="K356" s="217">
        <f t="shared" si="52"/>
        <v>0</v>
      </c>
      <c r="L356" s="217">
        <f t="shared" si="51"/>
        <v>0</v>
      </c>
      <c r="M356" s="215" t="s">
        <v>68</v>
      </c>
      <c r="N356" s="212" t="s">
        <v>68</v>
      </c>
      <c r="O356" s="212"/>
      <c r="P356" s="212" t="s">
        <v>1107</v>
      </c>
      <c r="Q356" s="212" t="s">
        <v>68</v>
      </c>
      <c r="R356" s="212" t="s">
        <v>1121</v>
      </c>
      <c r="S356" s="212"/>
      <c r="T356" s="212"/>
      <c r="U356" s="212"/>
      <c r="V356" s="212"/>
      <c r="W356" s="212"/>
      <c r="X356" s="212" t="s">
        <v>2150</v>
      </c>
      <c r="Y356" s="212"/>
      <c r="Z356" s="212"/>
      <c r="AA356" s="220" t="s">
        <v>1117</v>
      </c>
      <c r="AB356" s="212">
        <f>(호표!H352+호표!H353+호표!H354+호표!H355)*0.02</f>
        <v>0</v>
      </c>
      <c r="AC356" s="220" t="s">
        <v>1118</v>
      </c>
      <c r="AD356" s="212">
        <f>$AB356</f>
        <v>0</v>
      </c>
      <c r="AE356" s="212"/>
      <c r="AF356" s="212"/>
      <c r="AG356" s="212"/>
      <c r="AH356" s="212"/>
      <c r="AI356" s="212"/>
      <c r="AJ356" s="212"/>
      <c r="AK356" s="212"/>
      <c r="AL356" s="212"/>
      <c r="AM356" s="212"/>
      <c r="AN356" s="212"/>
      <c r="AO356" s="212"/>
      <c r="AP356" s="212"/>
      <c r="AQ356" s="212"/>
      <c r="AR356" s="212"/>
      <c r="AS356" s="212"/>
      <c r="AT356" s="212"/>
      <c r="AU356" s="212"/>
      <c r="AV356" s="212"/>
      <c r="AW356" s="212"/>
      <c r="AX356" s="212"/>
      <c r="AY356" s="212"/>
      <c r="AZ356" s="212"/>
      <c r="BA356" s="212"/>
      <c r="BB356" s="212"/>
      <c r="BC356" s="212"/>
      <c r="BD356" s="212"/>
      <c r="BE356" s="212"/>
      <c r="BF356" s="212"/>
      <c r="BG356" s="212"/>
      <c r="BH356" s="212"/>
      <c r="BI356" s="212"/>
    </row>
    <row r="357" spans="1:61" ht="24" customHeight="1">
      <c r="A357" s="218" t="s">
        <v>1971</v>
      </c>
      <c r="B357" s="218" t="s">
        <v>1958</v>
      </c>
      <c r="C357" s="228">
        <v>2</v>
      </c>
      <c r="D357" s="213" t="s">
        <v>1950</v>
      </c>
      <c r="E357" s="213"/>
      <c r="F357" s="217">
        <f>TRUNC(((H352+H353+H354+H355)*0.02),0)</f>
        <v>0</v>
      </c>
      <c r="G357" s="213"/>
      <c r="H357" s="217">
        <v>0</v>
      </c>
      <c r="I357" s="213"/>
      <c r="J357" s="217">
        <v>0</v>
      </c>
      <c r="K357" s="217">
        <f t="shared" si="52"/>
        <v>0</v>
      </c>
      <c r="L357" s="217">
        <f t="shared" si="51"/>
        <v>0</v>
      </c>
      <c r="M357" s="215" t="s">
        <v>68</v>
      </c>
      <c r="N357" s="212" t="s">
        <v>68</v>
      </c>
      <c r="O357" s="212"/>
      <c r="P357" s="212" t="s">
        <v>1108</v>
      </c>
      <c r="Q357" s="212" t="s">
        <v>68</v>
      </c>
      <c r="R357" s="212" t="s">
        <v>1121</v>
      </c>
      <c r="S357" s="212"/>
      <c r="T357" s="212"/>
      <c r="U357" s="212"/>
      <c r="V357" s="212"/>
      <c r="W357" s="212"/>
      <c r="X357" s="212" t="s">
        <v>2151</v>
      </c>
      <c r="Y357" s="212"/>
      <c r="Z357" s="212"/>
      <c r="AA357" s="212"/>
      <c r="AB357" s="212"/>
      <c r="AC357" s="212"/>
      <c r="AD357" s="212"/>
      <c r="AE357" s="212"/>
      <c r="AF357" s="212"/>
      <c r="AG357" s="212"/>
      <c r="AH357" s="212"/>
      <c r="AI357" s="212"/>
      <c r="AJ357" s="212"/>
      <c r="AK357" s="212"/>
      <c r="AL357" s="212"/>
      <c r="AM357" s="212"/>
      <c r="AN357" s="212"/>
      <c r="AO357" s="212"/>
      <c r="AP357" s="212"/>
      <c r="AQ357" s="212"/>
      <c r="AR357" s="212"/>
      <c r="AS357" s="212"/>
      <c r="AT357" s="212"/>
      <c r="AU357" s="212"/>
      <c r="AV357" s="212"/>
      <c r="AW357" s="212"/>
      <c r="AX357" s="212"/>
      <c r="AY357" s="212"/>
      <c r="AZ357" s="212"/>
      <c r="BA357" s="212"/>
      <c r="BB357" s="212"/>
      <c r="BC357" s="212"/>
      <c r="BD357" s="212"/>
      <c r="BE357" s="212"/>
      <c r="BF357" s="212"/>
      <c r="BG357" s="212"/>
      <c r="BH357" s="212"/>
      <c r="BI357" s="212"/>
    </row>
    <row r="358" spans="1:61" ht="24" customHeight="1">
      <c r="A358" s="215"/>
      <c r="B358" s="215"/>
      <c r="C358" s="229"/>
      <c r="D358" s="213"/>
      <c r="E358" s="213"/>
      <c r="F358" s="213"/>
      <c r="G358" s="213"/>
      <c r="H358" s="213"/>
      <c r="I358" s="213"/>
      <c r="J358" s="213"/>
      <c r="K358" s="213"/>
      <c r="L358" s="213"/>
      <c r="M358" s="215"/>
      <c r="N358" s="212"/>
      <c r="O358" s="212"/>
      <c r="P358" s="212"/>
      <c r="Q358" s="212"/>
      <c r="R358" s="212"/>
      <c r="S358" s="212"/>
      <c r="T358" s="212"/>
      <c r="U358" s="212"/>
      <c r="V358" s="212"/>
      <c r="W358" s="212"/>
      <c r="X358" s="212"/>
      <c r="Y358" s="212"/>
      <c r="Z358" s="212"/>
      <c r="AA358" s="212"/>
      <c r="AB358" s="212"/>
      <c r="AC358" s="212"/>
      <c r="AD358" s="212"/>
      <c r="AE358" s="212"/>
      <c r="AF358" s="212"/>
      <c r="AG358" s="212"/>
      <c r="AH358" s="212"/>
      <c r="AI358" s="212"/>
      <c r="AJ358" s="212"/>
      <c r="AK358" s="212"/>
      <c r="AL358" s="212"/>
      <c r="AM358" s="212"/>
      <c r="AN358" s="212"/>
      <c r="AO358" s="212"/>
      <c r="AP358" s="212"/>
      <c r="AQ358" s="212"/>
      <c r="AR358" s="212"/>
      <c r="AS358" s="212"/>
      <c r="AT358" s="212"/>
      <c r="AU358" s="212"/>
      <c r="AV358" s="212"/>
      <c r="AW358" s="212"/>
      <c r="AX358" s="212"/>
      <c r="AY358" s="212"/>
      <c r="AZ358" s="212"/>
      <c r="BA358" s="212"/>
      <c r="BB358" s="212"/>
      <c r="BC358" s="212"/>
      <c r="BD358" s="212"/>
      <c r="BE358" s="212"/>
      <c r="BF358" s="212"/>
      <c r="BG358" s="212"/>
      <c r="BH358" s="212"/>
      <c r="BI358" s="212"/>
    </row>
    <row r="359" spans="1:61" ht="24" customHeight="1">
      <c r="A359" s="218" t="s">
        <v>2152</v>
      </c>
      <c r="B359" s="218" t="s">
        <v>1757</v>
      </c>
      <c r="C359" s="228">
        <v>1</v>
      </c>
      <c r="D359" s="213" t="s">
        <v>1033</v>
      </c>
      <c r="E359" s="212"/>
      <c r="F359" s="217">
        <f>TRUNC(F360+F361+F362+F363,0)</f>
        <v>0</v>
      </c>
      <c r="G359" s="212"/>
      <c r="H359" s="217">
        <f>TRUNC(H360+H361+H362+H363,0)</f>
        <v>0</v>
      </c>
      <c r="I359" s="212"/>
      <c r="J359" s="217">
        <f>TRUNC(J360+J361+J362+J363,0)</f>
        <v>0</v>
      </c>
      <c r="K359" s="212"/>
      <c r="L359" s="217">
        <f>F359+H359+J359</f>
        <v>0</v>
      </c>
      <c r="M359" s="215" t="s">
        <v>1758</v>
      </c>
      <c r="N359" s="212" t="s">
        <v>68</v>
      </c>
      <c r="O359" s="212" t="s">
        <v>1759</v>
      </c>
      <c r="P359" s="212"/>
      <c r="Q359" s="212"/>
      <c r="R359" s="212"/>
      <c r="S359" s="212"/>
      <c r="T359" s="212"/>
      <c r="U359" s="212"/>
      <c r="V359" s="212"/>
      <c r="W359" s="212"/>
      <c r="X359" s="212"/>
      <c r="Y359" s="212"/>
      <c r="Z359" s="212"/>
      <c r="AA359" s="212"/>
      <c r="AB359" s="212"/>
      <c r="AC359" s="212"/>
      <c r="AD359" s="212"/>
      <c r="AE359" s="212"/>
      <c r="AF359" s="212"/>
      <c r="AG359" s="212"/>
      <c r="AH359" s="212"/>
      <c r="AI359" s="212"/>
      <c r="AJ359" s="212"/>
      <c r="AK359" s="212"/>
      <c r="AL359" s="212"/>
      <c r="AM359" s="212"/>
      <c r="AN359" s="212"/>
      <c r="AO359" s="212"/>
      <c r="AP359" s="212"/>
      <c r="AQ359" s="212"/>
      <c r="AR359" s="212"/>
      <c r="AS359" s="212"/>
      <c r="AT359" s="212"/>
      <c r="AU359" s="212"/>
      <c r="AV359" s="212"/>
      <c r="AW359" s="212"/>
      <c r="AX359" s="212"/>
      <c r="AY359" s="212"/>
      <c r="AZ359" s="212"/>
      <c r="BA359" s="212"/>
      <c r="BB359" s="212"/>
      <c r="BC359" s="212"/>
      <c r="BD359" s="212"/>
      <c r="BE359" s="212"/>
      <c r="BF359" s="212"/>
      <c r="BG359" s="212"/>
      <c r="BH359" s="212"/>
      <c r="BI359" s="212"/>
    </row>
    <row r="360" spans="1:61" ht="24" customHeight="1">
      <c r="A360" s="218" t="s">
        <v>2153</v>
      </c>
      <c r="B360" s="218" t="s">
        <v>2154</v>
      </c>
      <c r="C360" s="229">
        <v>0.4</v>
      </c>
      <c r="D360" s="213" t="s">
        <v>2155</v>
      </c>
      <c r="E360" s="217">
        <f>자재조서!E22</f>
        <v>0</v>
      </c>
      <c r="F360" s="217">
        <f>TRUNC(E360*C360,0)</f>
        <v>0</v>
      </c>
      <c r="G360" s="217">
        <v>0</v>
      </c>
      <c r="H360" s="217"/>
      <c r="I360" s="217">
        <v>0</v>
      </c>
      <c r="J360" s="217"/>
      <c r="K360" s="217">
        <f>E360+G360+I360</f>
        <v>0</v>
      </c>
      <c r="L360" s="217">
        <f>F360+H360+J360</f>
        <v>0</v>
      </c>
      <c r="M360" s="215" t="s">
        <v>68</v>
      </c>
      <c r="N360" s="212" t="s">
        <v>2156</v>
      </c>
      <c r="O360" s="212"/>
      <c r="P360" s="212" t="s">
        <v>1095</v>
      </c>
      <c r="Q360" s="212" t="s">
        <v>68</v>
      </c>
      <c r="R360" s="212" t="s">
        <v>2157</v>
      </c>
      <c r="S360" s="212"/>
      <c r="T360" s="212"/>
      <c r="U360" s="212"/>
      <c r="V360" s="212"/>
      <c r="W360" s="212"/>
      <c r="X360" s="212"/>
      <c r="Y360" s="212"/>
      <c r="Z360" s="212"/>
      <c r="AA360" s="212"/>
      <c r="AB360" s="212"/>
      <c r="AC360" s="212"/>
      <c r="AD360" s="212"/>
      <c r="AE360" s="212"/>
      <c r="AF360" s="212"/>
      <c r="AG360" s="212"/>
      <c r="AH360" s="212"/>
      <c r="AI360" s="212"/>
      <c r="AJ360" s="212"/>
      <c r="AK360" s="212"/>
      <c r="AL360" s="212"/>
      <c r="AM360" s="212"/>
      <c r="AN360" s="212"/>
      <c r="AO360" s="212"/>
      <c r="AP360" s="212"/>
      <c r="AQ360" s="212"/>
      <c r="AR360" s="212"/>
      <c r="AS360" s="212"/>
      <c r="AT360" s="212"/>
      <c r="AU360" s="212"/>
      <c r="AV360" s="212"/>
      <c r="AW360" s="212"/>
      <c r="AX360" s="212"/>
      <c r="AY360" s="212"/>
      <c r="AZ360" s="212"/>
      <c r="BA360" s="212"/>
      <c r="BB360" s="212"/>
      <c r="BC360" s="212"/>
      <c r="BD360" s="212"/>
      <c r="BE360" s="212"/>
      <c r="BF360" s="212"/>
      <c r="BG360" s="212"/>
      <c r="BH360" s="212"/>
      <c r="BI360" s="231" t="str">
        <f>HYPERLINK("#자재조서!A22","M4080003 →")</f>
        <v>M4080003 →</v>
      </c>
    </row>
    <row r="361" spans="1:61" ht="24" customHeight="1">
      <c r="A361" s="218" t="s">
        <v>2158</v>
      </c>
      <c r="B361" s="218" t="s">
        <v>1946</v>
      </c>
      <c r="C361" s="229">
        <v>8.0000000000000002E-3</v>
      </c>
      <c r="D361" s="213" t="s">
        <v>1286</v>
      </c>
      <c r="E361" s="217">
        <v>0</v>
      </c>
      <c r="F361" s="217"/>
      <c r="G361" s="217">
        <f>노임!D17</f>
        <v>0</v>
      </c>
      <c r="H361" s="217">
        <f>TRUNC(G361*C361,0)</f>
        <v>0</v>
      </c>
      <c r="I361" s="217">
        <v>0</v>
      </c>
      <c r="J361" s="217"/>
      <c r="K361" s="217">
        <f>E361+G361+I361</f>
        <v>0</v>
      </c>
      <c r="L361" s="217">
        <f>F361+H361+J361</f>
        <v>0</v>
      </c>
      <c r="M361" s="215" t="s">
        <v>68</v>
      </c>
      <c r="N361" s="212" t="s">
        <v>68</v>
      </c>
      <c r="O361" s="212"/>
      <c r="P361" s="212" t="s">
        <v>1098</v>
      </c>
      <c r="Q361" s="212" t="s">
        <v>68</v>
      </c>
      <c r="R361" s="212" t="s">
        <v>2159</v>
      </c>
      <c r="S361" s="212"/>
      <c r="T361" s="212"/>
      <c r="U361" s="212"/>
      <c r="V361" s="212"/>
      <c r="W361" s="212"/>
      <c r="X361" s="212"/>
      <c r="Y361" s="212"/>
      <c r="Z361" s="212"/>
      <c r="AA361" s="212"/>
      <c r="AB361" s="212"/>
      <c r="AC361" s="212"/>
      <c r="AD361" s="212"/>
      <c r="AE361" s="212"/>
      <c r="AF361" s="212"/>
      <c r="AG361" s="212"/>
      <c r="AH361" s="212"/>
      <c r="AI361" s="212"/>
      <c r="AJ361" s="212"/>
      <c r="AK361" s="212"/>
      <c r="AL361" s="212"/>
      <c r="AM361" s="212"/>
      <c r="AN361" s="212"/>
      <c r="AO361" s="212"/>
      <c r="AP361" s="212"/>
      <c r="AQ361" s="212"/>
      <c r="AR361" s="212"/>
      <c r="AS361" s="212"/>
      <c r="AT361" s="212"/>
      <c r="AU361" s="212"/>
      <c r="AV361" s="212"/>
      <c r="AW361" s="212"/>
      <c r="AX361" s="212"/>
      <c r="AY361" s="212"/>
      <c r="AZ361" s="212"/>
      <c r="BA361" s="212"/>
      <c r="BB361" s="212"/>
      <c r="BC361" s="212"/>
      <c r="BD361" s="212"/>
      <c r="BE361" s="212"/>
      <c r="BF361" s="212"/>
      <c r="BG361" s="212"/>
      <c r="BH361" s="212"/>
      <c r="BI361" s="231" t="str">
        <f>HYPERLINK("#노임!A17","L001010101000029 →")</f>
        <v>L001010101000029 →</v>
      </c>
    </row>
    <row r="362" spans="1:61" ht="24" customHeight="1">
      <c r="A362" s="218" t="s">
        <v>1967</v>
      </c>
      <c r="B362" s="218" t="s">
        <v>1946</v>
      </c>
      <c r="C362" s="229">
        <v>1E-3</v>
      </c>
      <c r="D362" s="213" t="s">
        <v>1286</v>
      </c>
      <c r="E362" s="217">
        <v>0</v>
      </c>
      <c r="F362" s="217"/>
      <c r="G362" s="217">
        <f>노임!D3</f>
        <v>0</v>
      </c>
      <c r="H362" s="217">
        <f>TRUNC(G362*C362,0)</f>
        <v>0</v>
      </c>
      <c r="I362" s="217">
        <v>0</v>
      </c>
      <c r="J362" s="217"/>
      <c r="K362" s="217">
        <f>E362+G362+I362</f>
        <v>0</v>
      </c>
      <c r="L362" s="217">
        <f>F362+H362+J362</f>
        <v>0</v>
      </c>
      <c r="M362" s="215" t="s">
        <v>68</v>
      </c>
      <c r="N362" s="212" t="s">
        <v>68</v>
      </c>
      <c r="O362" s="212"/>
      <c r="P362" s="212" t="s">
        <v>1101</v>
      </c>
      <c r="Q362" s="212" t="s">
        <v>68</v>
      </c>
      <c r="R362" s="212" t="s">
        <v>1968</v>
      </c>
      <c r="S362" s="212"/>
      <c r="T362" s="212"/>
      <c r="U362" s="212"/>
      <c r="V362" s="212"/>
      <c r="W362" s="212"/>
      <c r="X362" s="212"/>
      <c r="Y362" s="212"/>
      <c r="Z362" s="212"/>
      <c r="AA362" s="220" t="s">
        <v>1955</v>
      </c>
      <c r="AB362" s="212">
        <f>(호표!H361+호표!H362)*0.02</f>
        <v>0</v>
      </c>
      <c r="AC362" s="220" t="s">
        <v>1956</v>
      </c>
      <c r="AD362" s="212">
        <f>$AB362</f>
        <v>0</v>
      </c>
      <c r="AE362" s="212"/>
      <c r="AF362" s="212"/>
      <c r="AG362" s="212"/>
      <c r="AH362" s="212"/>
      <c r="AI362" s="212"/>
      <c r="AJ362" s="212"/>
      <c r="AK362" s="212"/>
      <c r="AL362" s="212"/>
      <c r="AM362" s="212"/>
      <c r="AN362" s="212"/>
      <c r="AO362" s="212"/>
      <c r="AP362" s="212"/>
      <c r="AQ362" s="212"/>
      <c r="AR362" s="212"/>
      <c r="AS362" s="212"/>
      <c r="AT362" s="212"/>
      <c r="AU362" s="212"/>
      <c r="AV362" s="212"/>
      <c r="AW362" s="212"/>
      <c r="AX362" s="212"/>
      <c r="AY362" s="212"/>
      <c r="AZ362" s="212"/>
      <c r="BA362" s="212"/>
      <c r="BB362" s="212"/>
      <c r="BC362" s="212"/>
      <c r="BD362" s="212"/>
      <c r="BE362" s="212"/>
      <c r="BF362" s="212"/>
      <c r="BG362" s="212"/>
      <c r="BH362" s="212"/>
      <c r="BI362" s="231" t="str">
        <f>HYPERLINK("#노임!A3","L001010101000002 →")</f>
        <v>L001010101000002 →</v>
      </c>
    </row>
    <row r="363" spans="1:61" ht="24" customHeight="1">
      <c r="A363" s="218" t="s">
        <v>1957</v>
      </c>
      <c r="B363" s="218" t="s">
        <v>1958</v>
      </c>
      <c r="C363" s="228">
        <v>2</v>
      </c>
      <c r="D363" s="213" t="s">
        <v>1950</v>
      </c>
      <c r="E363" s="213"/>
      <c r="F363" s="217">
        <v>0</v>
      </c>
      <c r="G363" s="213"/>
      <c r="H363" s="217">
        <v>0</v>
      </c>
      <c r="I363" s="213"/>
      <c r="J363" s="217">
        <f>TRUNC(((H361+H362)*0.02),0)</f>
        <v>0</v>
      </c>
      <c r="K363" s="217">
        <f>E363+G363+I363</f>
        <v>0</v>
      </c>
      <c r="L363" s="217">
        <f>F363+H363+J363</f>
        <v>0</v>
      </c>
      <c r="M363" s="215" t="s">
        <v>68</v>
      </c>
      <c r="N363" s="212" t="s">
        <v>68</v>
      </c>
      <c r="O363" s="212"/>
      <c r="P363" s="212" t="s">
        <v>1104</v>
      </c>
      <c r="Q363" s="212" t="s">
        <v>68</v>
      </c>
      <c r="R363" s="212" t="s">
        <v>1121</v>
      </c>
      <c r="S363" s="212"/>
      <c r="T363" s="212"/>
      <c r="U363" s="212"/>
      <c r="V363" s="212"/>
      <c r="W363" s="212"/>
      <c r="X363" s="212" t="s">
        <v>2160</v>
      </c>
      <c r="Y363" s="212"/>
      <c r="Z363" s="212"/>
      <c r="AA363" s="212"/>
      <c r="AB363" s="212"/>
      <c r="AC363" s="212"/>
      <c r="AD363" s="212"/>
      <c r="AE363" s="212"/>
      <c r="AF363" s="212"/>
      <c r="AG363" s="212"/>
      <c r="AH363" s="212"/>
      <c r="AI363" s="212"/>
      <c r="AJ363" s="212"/>
      <c r="AK363" s="212"/>
      <c r="AL363" s="212"/>
      <c r="AM363" s="212"/>
      <c r="AN363" s="212"/>
      <c r="AO363" s="212"/>
      <c r="AP363" s="212"/>
      <c r="AQ363" s="212"/>
      <c r="AR363" s="212"/>
      <c r="AS363" s="212"/>
      <c r="AT363" s="212"/>
      <c r="AU363" s="212"/>
      <c r="AV363" s="212"/>
      <c r="AW363" s="212"/>
      <c r="AX363" s="212"/>
      <c r="AY363" s="212"/>
      <c r="AZ363" s="212"/>
      <c r="BA363" s="212"/>
      <c r="BB363" s="212"/>
      <c r="BC363" s="212"/>
      <c r="BD363" s="212"/>
      <c r="BE363" s="212"/>
      <c r="BF363" s="212"/>
      <c r="BG363" s="212"/>
      <c r="BH363" s="212"/>
      <c r="BI363" s="212"/>
    </row>
    <row r="364" spans="1:61" ht="24" customHeight="1">
      <c r="A364" s="215"/>
      <c r="B364" s="215"/>
      <c r="C364" s="229"/>
      <c r="D364" s="213"/>
      <c r="E364" s="213"/>
      <c r="F364" s="213"/>
      <c r="G364" s="213"/>
      <c r="H364" s="213"/>
      <c r="I364" s="213"/>
      <c r="J364" s="213"/>
      <c r="K364" s="213"/>
      <c r="L364" s="213"/>
      <c r="M364" s="215"/>
      <c r="N364" s="212"/>
      <c r="O364" s="212"/>
      <c r="P364" s="212"/>
      <c r="Q364" s="212"/>
      <c r="R364" s="212"/>
      <c r="S364" s="212"/>
      <c r="T364" s="212"/>
      <c r="U364" s="212"/>
      <c r="V364" s="212"/>
      <c r="W364" s="212"/>
      <c r="X364" s="212"/>
      <c r="Y364" s="212"/>
      <c r="Z364" s="212"/>
      <c r="AA364" s="212"/>
      <c r="AB364" s="212"/>
      <c r="AC364" s="212"/>
      <c r="AD364" s="212"/>
      <c r="AE364" s="212"/>
      <c r="AF364" s="212"/>
      <c r="AG364" s="212"/>
      <c r="AH364" s="212"/>
      <c r="AI364" s="212"/>
      <c r="AJ364" s="212"/>
      <c r="AK364" s="212"/>
      <c r="AL364" s="212"/>
      <c r="AM364" s="212"/>
      <c r="AN364" s="212"/>
      <c r="AO364" s="212"/>
      <c r="AP364" s="212"/>
      <c r="AQ364" s="212"/>
      <c r="AR364" s="212"/>
      <c r="AS364" s="212"/>
      <c r="AT364" s="212"/>
      <c r="AU364" s="212"/>
      <c r="AV364" s="212"/>
      <c r="AW364" s="212"/>
      <c r="AX364" s="212"/>
      <c r="AY364" s="212"/>
      <c r="AZ364" s="212"/>
      <c r="BA364" s="212"/>
      <c r="BB364" s="212"/>
      <c r="BC364" s="212"/>
      <c r="BD364" s="212"/>
      <c r="BE364" s="212"/>
      <c r="BF364" s="212"/>
      <c r="BG364" s="212"/>
      <c r="BH364" s="212"/>
      <c r="BI364" s="212"/>
    </row>
    <row r="365" spans="1:61" ht="24" customHeight="1">
      <c r="A365" s="218" t="s">
        <v>2161</v>
      </c>
      <c r="B365" s="218" t="s">
        <v>993</v>
      </c>
      <c r="C365" s="228">
        <v>1</v>
      </c>
      <c r="D365" s="213" t="s">
        <v>378</v>
      </c>
      <c r="E365" s="212"/>
      <c r="F365" s="217">
        <f>TRUNC(F366+F367+F368,0)</f>
        <v>0</v>
      </c>
      <c r="G365" s="212"/>
      <c r="H365" s="217">
        <f>TRUNC(H366+H367+H368,0)</f>
        <v>0</v>
      </c>
      <c r="I365" s="212"/>
      <c r="J365" s="217">
        <f>TRUNC(J366+J367+J368,0)</f>
        <v>0</v>
      </c>
      <c r="K365" s="212"/>
      <c r="L365" s="217">
        <f>F365+H365+J365</f>
        <v>0</v>
      </c>
      <c r="M365" s="215" t="s">
        <v>1712</v>
      </c>
      <c r="N365" s="212" t="s">
        <v>68</v>
      </c>
      <c r="O365" s="212" t="s">
        <v>1761</v>
      </c>
      <c r="P365" s="212"/>
      <c r="Q365" s="212"/>
      <c r="R365" s="212"/>
      <c r="S365" s="212"/>
      <c r="T365" s="212"/>
      <c r="U365" s="212"/>
      <c r="V365" s="212"/>
      <c r="W365" s="212"/>
      <c r="X365" s="212"/>
      <c r="Y365" s="212"/>
      <c r="Z365" s="212"/>
      <c r="AA365" s="212"/>
      <c r="AB365" s="212"/>
      <c r="AC365" s="212"/>
      <c r="AD365" s="212"/>
      <c r="AE365" s="212"/>
      <c r="AF365" s="212"/>
      <c r="AG365" s="212"/>
      <c r="AH365" s="212"/>
      <c r="AI365" s="212"/>
      <c r="AJ365" s="212"/>
      <c r="AK365" s="212"/>
      <c r="AL365" s="212"/>
      <c r="AM365" s="212"/>
      <c r="AN365" s="212"/>
      <c r="AO365" s="212"/>
      <c r="AP365" s="212"/>
      <c r="AQ365" s="212"/>
      <c r="AR365" s="212"/>
      <c r="AS365" s="212"/>
      <c r="AT365" s="212"/>
      <c r="AU365" s="212"/>
      <c r="AV365" s="212"/>
      <c r="AW365" s="212"/>
      <c r="AX365" s="212"/>
      <c r="AY365" s="212"/>
      <c r="AZ365" s="212"/>
      <c r="BA365" s="212"/>
      <c r="BB365" s="212"/>
      <c r="BC365" s="212"/>
      <c r="BD365" s="212"/>
      <c r="BE365" s="212"/>
      <c r="BF365" s="212"/>
      <c r="BG365" s="212"/>
      <c r="BH365" s="212"/>
      <c r="BI365" s="212"/>
    </row>
    <row r="366" spans="1:61" ht="24" customHeight="1">
      <c r="A366" s="218" t="s">
        <v>2026</v>
      </c>
      <c r="B366" s="218" t="s">
        <v>1946</v>
      </c>
      <c r="C366" s="229">
        <v>0.65800000000000003</v>
      </c>
      <c r="D366" s="213" t="s">
        <v>1286</v>
      </c>
      <c r="E366" s="217">
        <v>0</v>
      </c>
      <c r="F366" s="217"/>
      <c r="G366" s="217">
        <f>노임!D13</f>
        <v>0</v>
      </c>
      <c r="H366" s="217">
        <f>TRUNC(G366*C366,0)</f>
        <v>0</v>
      </c>
      <c r="I366" s="217">
        <v>0</v>
      </c>
      <c r="J366" s="217"/>
      <c r="K366" s="217">
        <f>E366+G366+I366</f>
        <v>0</v>
      </c>
      <c r="L366" s="217">
        <f>F366+H366+J366</f>
        <v>0</v>
      </c>
      <c r="M366" s="215" t="s">
        <v>68</v>
      </c>
      <c r="N366" s="212" t="s">
        <v>68</v>
      </c>
      <c r="O366" s="212"/>
      <c r="P366" s="212" t="s">
        <v>1095</v>
      </c>
      <c r="Q366" s="212" t="s">
        <v>68</v>
      </c>
      <c r="R366" s="212" t="s">
        <v>2027</v>
      </c>
      <c r="S366" s="212"/>
      <c r="T366" s="212"/>
      <c r="U366" s="212"/>
      <c r="V366" s="212"/>
      <c r="W366" s="212"/>
      <c r="X366" s="212"/>
      <c r="Y366" s="212"/>
      <c r="Z366" s="212"/>
      <c r="AA366" s="212"/>
      <c r="AB366" s="212"/>
      <c r="AC366" s="212"/>
      <c r="AD366" s="212"/>
      <c r="AE366" s="212"/>
      <c r="AF366" s="212"/>
      <c r="AG366" s="212"/>
      <c r="AH366" s="212"/>
      <c r="AI366" s="212"/>
      <c r="AJ366" s="212"/>
      <c r="AK366" s="212"/>
      <c r="AL366" s="212"/>
      <c r="AM366" s="212"/>
      <c r="AN366" s="212"/>
      <c r="AO366" s="212"/>
      <c r="AP366" s="212"/>
      <c r="AQ366" s="212"/>
      <c r="AR366" s="212"/>
      <c r="AS366" s="212"/>
      <c r="AT366" s="212"/>
      <c r="AU366" s="212"/>
      <c r="AV366" s="212"/>
      <c r="AW366" s="212"/>
      <c r="AX366" s="212"/>
      <c r="AY366" s="212"/>
      <c r="AZ366" s="212"/>
      <c r="BA366" s="212"/>
      <c r="BB366" s="212"/>
      <c r="BC366" s="212"/>
      <c r="BD366" s="212"/>
      <c r="BE366" s="212"/>
      <c r="BF366" s="212"/>
      <c r="BG366" s="212"/>
      <c r="BH366" s="212"/>
      <c r="BI366" s="231" t="str">
        <f>HYPERLINK("#노임!A13","L001010101000024 →")</f>
        <v>L001010101000024 →</v>
      </c>
    </row>
    <row r="367" spans="1:61" ht="24" customHeight="1">
      <c r="A367" s="218" t="s">
        <v>1967</v>
      </c>
      <c r="B367" s="218" t="s">
        <v>1946</v>
      </c>
      <c r="C367" s="229">
        <v>0.157</v>
      </c>
      <c r="D367" s="213" t="s">
        <v>1286</v>
      </c>
      <c r="E367" s="217">
        <v>0</v>
      </c>
      <c r="F367" s="217"/>
      <c r="G367" s="217">
        <f>노임!D3</f>
        <v>0</v>
      </c>
      <c r="H367" s="217">
        <f>TRUNC(G367*C367,0)</f>
        <v>0</v>
      </c>
      <c r="I367" s="217">
        <v>0</v>
      </c>
      <c r="J367" s="217"/>
      <c r="K367" s="217">
        <f>E367+G367+I367</f>
        <v>0</v>
      </c>
      <c r="L367" s="217">
        <f>F367+H367+J367</f>
        <v>0</v>
      </c>
      <c r="M367" s="215" t="s">
        <v>68</v>
      </c>
      <c r="N367" s="212" t="s">
        <v>68</v>
      </c>
      <c r="O367" s="212"/>
      <c r="P367" s="212" t="s">
        <v>1098</v>
      </c>
      <c r="Q367" s="212" t="s">
        <v>68</v>
      </c>
      <c r="R367" s="212" t="s">
        <v>1968</v>
      </c>
      <c r="S367" s="212"/>
      <c r="T367" s="212"/>
      <c r="U367" s="212"/>
      <c r="V367" s="212"/>
      <c r="W367" s="212"/>
      <c r="X367" s="212"/>
      <c r="Y367" s="212"/>
      <c r="Z367" s="212"/>
      <c r="AA367" s="220" t="s">
        <v>1955</v>
      </c>
      <c r="AB367" s="212">
        <f>(호표!H366+호표!H367)*0.03</f>
        <v>0</v>
      </c>
      <c r="AC367" s="220" t="s">
        <v>1956</v>
      </c>
      <c r="AD367" s="212">
        <f>$AB367</f>
        <v>0</v>
      </c>
      <c r="AE367" s="212"/>
      <c r="AF367" s="212"/>
      <c r="AG367" s="212"/>
      <c r="AH367" s="212"/>
      <c r="AI367" s="212"/>
      <c r="AJ367" s="212"/>
      <c r="AK367" s="212"/>
      <c r="AL367" s="212"/>
      <c r="AM367" s="212"/>
      <c r="AN367" s="212"/>
      <c r="AO367" s="212"/>
      <c r="AP367" s="212"/>
      <c r="AQ367" s="212"/>
      <c r="AR367" s="212"/>
      <c r="AS367" s="212"/>
      <c r="AT367" s="212"/>
      <c r="AU367" s="212"/>
      <c r="AV367" s="212"/>
      <c r="AW367" s="212"/>
      <c r="AX367" s="212"/>
      <c r="AY367" s="212"/>
      <c r="AZ367" s="212"/>
      <c r="BA367" s="212"/>
      <c r="BB367" s="212"/>
      <c r="BC367" s="212"/>
      <c r="BD367" s="212"/>
      <c r="BE367" s="212"/>
      <c r="BF367" s="212"/>
      <c r="BG367" s="212"/>
      <c r="BH367" s="212"/>
      <c r="BI367" s="231" t="str">
        <f>HYPERLINK("#노임!A3","L001010101000002 →")</f>
        <v>L001010101000002 →</v>
      </c>
    </row>
    <row r="368" spans="1:61" ht="24" customHeight="1">
      <c r="A368" s="218" t="s">
        <v>1948</v>
      </c>
      <c r="B368" s="218" t="s">
        <v>1949</v>
      </c>
      <c r="C368" s="228">
        <v>3</v>
      </c>
      <c r="D368" s="213" t="s">
        <v>1950</v>
      </c>
      <c r="E368" s="213"/>
      <c r="F368" s="217">
        <v>0</v>
      </c>
      <c r="G368" s="213"/>
      <c r="H368" s="217">
        <v>0</v>
      </c>
      <c r="I368" s="213"/>
      <c r="J368" s="217">
        <f>TRUNC(((H366+H367)*0.03),0)</f>
        <v>0</v>
      </c>
      <c r="K368" s="217">
        <f>E368+G368+I368</f>
        <v>0</v>
      </c>
      <c r="L368" s="217">
        <f>F368+H368+J368</f>
        <v>0</v>
      </c>
      <c r="M368" s="215" t="s">
        <v>68</v>
      </c>
      <c r="N368" s="212" t="s">
        <v>68</v>
      </c>
      <c r="O368" s="212"/>
      <c r="P368" s="212" t="s">
        <v>1101</v>
      </c>
      <c r="Q368" s="212" t="s">
        <v>68</v>
      </c>
      <c r="R368" s="212" t="s">
        <v>1121</v>
      </c>
      <c r="S368" s="212"/>
      <c r="T368" s="212"/>
      <c r="U368" s="212"/>
      <c r="V368" s="212"/>
      <c r="W368" s="212"/>
      <c r="X368" s="212" t="s">
        <v>2130</v>
      </c>
      <c r="Y368" s="212"/>
      <c r="Z368" s="212"/>
      <c r="AA368" s="212"/>
      <c r="AB368" s="212"/>
      <c r="AC368" s="212"/>
      <c r="AD368" s="212"/>
      <c r="AE368" s="212"/>
      <c r="AF368" s="212"/>
      <c r="AG368" s="212"/>
      <c r="AH368" s="212"/>
      <c r="AI368" s="212"/>
      <c r="AJ368" s="212"/>
      <c r="AK368" s="212"/>
      <c r="AL368" s="212"/>
      <c r="AM368" s="212"/>
      <c r="AN368" s="212"/>
      <c r="AO368" s="212"/>
      <c r="AP368" s="212"/>
      <c r="AQ368" s="212"/>
      <c r="AR368" s="212"/>
      <c r="AS368" s="212"/>
      <c r="AT368" s="212"/>
      <c r="AU368" s="212"/>
      <c r="AV368" s="212"/>
      <c r="AW368" s="212"/>
      <c r="AX368" s="212"/>
      <c r="AY368" s="212"/>
      <c r="AZ368" s="212"/>
      <c r="BA368" s="212"/>
      <c r="BB368" s="212"/>
      <c r="BC368" s="212"/>
      <c r="BD368" s="212"/>
      <c r="BE368" s="212"/>
      <c r="BF368" s="212"/>
      <c r="BG368" s="212"/>
      <c r="BH368" s="212"/>
      <c r="BI368" s="212"/>
    </row>
    <row r="369" spans="1:61" ht="24" customHeight="1">
      <c r="A369" s="215"/>
      <c r="B369" s="215"/>
      <c r="C369" s="229"/>
      <c r="D369" s="213"/>
      <c r="E369" s="213"/>
      <c r="F369" s="213"/>
      <c r="G369" s="213"/>
      <c r="H369" s="213"/>
      <c r="I369" s="213"/>
      <c r="J369" s="213"/>
      <c r="K369" s="213"/>
      <c r="L369" s="213"/>
      <c r="M369" s="215"/>
      <c r="N369" s="212"/>
      <c r="O369" s="212"/>
      <c r="P369" s="212"/>
      <c r="Q369" s="212"/>
      <c r="R369" s="212"/>
      <c r="S369" s="212"/>
      <c r="T369" s="212"/>
      <c r="U369" s="212"/>
      <c r="V369" s="212"/>
      <c r="W369" s="212"/>
      <c r="X369" s="212"/>
      <c r="Y369" s="212"/>
      <c r="Z369" s="212"/>
      <c r="AA369" s="212"/>
      <c r="AB369" s="212"/>
      <c r="AC369" s="212"/>
      <c r="AD369" s="212"/>
      <c r="AE369" s="212"/>
      <c r="AF369" s="212"/>
      <c r="AG369" s="212"/>
      <c r="AH369" s="212"/>
      <c r="AI369" s="212"/>
      <c r="AJ369" s="212"/>
      <c r="AK369" s="212"/>
      <c r="AL369" s="212"/>
      <c r="AM369" s="212"/>
      <c r="AN369" s="212"/>
      <c r="AO369" s="212"/>
      <c r="AP369" s="212"/>
      <c r="AQ369" s="212"/>
      <c r="AR369" s="212"/>
      <c r="AS369" s="212"/>
      <c r="AT369" s="212"/>
      <c r="AU369" s="212"/>
      <c r="AV369" s="212"/>
      <c r="AW369" s="212"/>
      <c r="AX369" s="212"/>
      <c r="AY369" s="212"/>
      <c r="AZ369" s="212"/>
      <c r="BA369" s="212"/>
      <c r="BB369" s="212"/>
      <c r="BC369" s="212"/>
      <c r="BD369" s="212"/>
      <c r="BE369" s="212"/>
      <c r="BF369" s="212"/>
      <c r="BG369" s="212"/>
      <c r="BH369" s="212"/>
      <c r="BI369" s="212"/>
    </row>
    <row r="370" spans="1:61" ht="24" customHeight="1">
      <c r="A370" s="218" t="s">
        <v>2162</v>
      </c>
      <c r="B370" s="218" t="s">
        <v>1718</v>
      </c>
      <c r="C370" s="228">
        <v>1</v>
      </c>
      <c r="D370" s="213" t="s">
        <v>378</v>
      </c>
      <c r="E370" s="212"/>
      <c r="F370" s="217">
        <f>TRUNC(F371+F372+F373,0)</f>
        <v>0</v>
      </c>
      <c r="G370" s="212"/>
      <c r="H370" s="217">
        <f>TRUNC(H371+H372+H373,0)</f>
        <v>0</v>
      </c>
      <c r="I370" s="212"/>
      <c r="J370" s="217">
        <f>TRUNC(J371+J372+J373,0)</f>
        <v>0</v>
      </c>
      <c r="K370" s="212"/>
      <c r="L370" s="217">
        <f>F370+H370+J370</f>
        <v>0</v>
      </c>
      <c r="M370" s="215" t="s">
        <v>1712</v>
      </c>
      <c r="N370" s="212" t="s">
        <v>68</v>
      </c>
      <c r="O370" s="212" t="s">
        <v>1763</v>
      </c>
      <c r="P370" s="212"/>
      <c r="Q370" s="212"/>
      <c r="R370" s="212"/>
      <c r="S370" s="212"/>
      <c r="T370" s="212"/>
      <c r="U370" s="212"/>
      <c r="V370" s="212"/>
      <c r="W370" s="212"/>
      <c r="X370" s="212"/>
      <c r="Y370" s="212"/>
      <c r="Z370" s="212"/>
      <c r="AA370" s="212"/>
      <c r="AB370" s="212"/>
      <c r="AC370" s="212"/>
      <c r="AD370" s="212"/>
      <c r="AE370" s="212"/>
      <c r="AF370" s="212"/>
      <c r="AG370" s="212"/>
      <c r="AH370" s="212"/>
      <c r="AI370" s="212"/>
      <c r="AJ370" s="212"/>
      <c r="AK370" s="212"/>
      <c r="AL370" s="212"/>
      <c r="AM370" s="212"/>
      <c r="AN370" s="212"/>
      <c r="AO370" s="212"/>
      <c r="AP370" s="212"/>
      <c r="AQ370" s="212"/>
      <c r="AR370" s="212"/>
      <c r="AS370" s="212"/>
      <c r="AT370" s="212"/>
      <c r="AU370" s="212"/>
      <c r="AV370" s="212"/>
      <c r="AW370" s="212"/>
      <c r="AX370" s="212"/>
      <c r="AY370" s="212"/>
      <c r="AZ370" s="212"/>
      <c r="BA370" s="212"/>
      <c r="BB370" s="212"/>
      <c r="BC370" s="212"/>
      <c r="BD370" s="212"/>
      <c r="BE370" s="212"/>
      <c r="BF370" s="212"/>
      <c r="BG370" s="212"/>
      <c r="BH370" s="212"/>
      <c r="BI370" s="212"/>
    </row>
    <row r="371" spans="1:61" ht="24" customHeight="1">
      <c r="A371" s="218" t="s">
        <v>2026</v>
      </c>
      <c r="B371" s="218" t="s">
        <v>1946</v>
      </c>
      <c r="C371" s="229">
        <v>0.39300000000000002</v>
      </c>
      <c r="D371" s="213" t="s">
        <v>1286</v>
      </c>
      <c r="E371" s="217">
        <v>0</v>
      </c>
      <c r="F371" s="217"/>
      <c r="G371" s="217">
        <f>노임!D13</f>
        <v>0</v>
      </c>
      <c r="H371" s="217">
        <f>TRUNC(G371*C371,0)</f>
        <v>0</v>
      </c>
      <c r="I371" s="217">
        <v>0</v>
      </c>
      <c r="J371" s="217"/>
      <c r="K371" s="217">
        <f>E371+G371+I371</f>
        <v>0</v>
      </c>
      <c r="L371" s="217">
        <f>F371+H371+J371</f>
        <v>0</v>
      </c>
      <c r="M371" s="215" t="s">
        <v>68</v>
      </c>
      <c r="N371" s="212" t="s">
        <v>68</v>
      </c>
      <c r="O371" s="212"/>
      <c r="P371" s="212" t="s">
        <v>1095</v>
      </c>
      <c r="Q371" s="212" t="s">
        <v>68</v>
      </c>
      <c r="R371" s="212" t="s">
        <v>2027</v>
      </c>
      <c r="S371" s="212"/>
      <c r="T371" s="212"/>
      <c r="U371" s="212"/>
      <c r="V371" s="212"/>
      <c r="W371" s="212"/>
      <c r="X371" s="212"/>
      <c r="Y371" s="212"/>
      <c r="Z371" s="212"/>
      <c r="AA371" s="212"/>
      <c r="AB371" s="212"/>
      <c r="AC371" s="212"/>
      <c r="AD371" s="212"/>
      <c r="AE371" s="212"/>
      <c r="AF371" s="212"/>
      <c r="AG371" s="212"/>
      <c r="AH371" s="212"/>
      <c r="AI371" s="212"/>
      <c r="AJ371" s="212"/>
      <c r="AK371" s="212"/>
      <c r="AL371" s="212"/>
      <c r="AM371" s="212"/>
      <c r="AN371" s="212"/>
      <c r="AO371" s="212"/>
      <c r="AP371" s="212"/>
      <c r="AQ371" s="212"/>
      <c r="AR371" s="212"/>
      <c r="AS371" s="212"/>
      <c r="AT371" s="212"/>
      <c r="AU371" s="212"/>
      <c r="AV371" s="212"/>
      <c r="AW371" s="212"/>
      <c r="AX371" s="212"/>
      <c r="AY371" s="212"/>
      <c r="AZ371" s="212"/>
      <c r="BA371" s="212"/>
      <c r="BB371" s="212"/>
      <c r="BC371" s="212"/>
      <c r="BD371" s="212"/>
      <c r="BE371" s="212"/>
      <c r="BF371" s="212"/>
      <c r="BG371" s="212"/>
      <c r="BH371" s="212"/>
      <c r="BI371" s="231" t="str">
        <f>HYPERLINK("#노임!A13","L001010101000024 →")</f>
        <v>L001010101000024 →</v>
      </c>
    </row>
    <row r="372" spans="1:61" ht="24" customHeight="1">
      <c r="A372" s="218" t="s">
        <v>1967</v>
      </c>
      <c r="B372" s="218" t="s">
        <v>1946</v>
      </c>
      <c r="C372" s="229">
        <v>9.4E-2</v>
      </c>
      <c r="D372" s="213" t="s">
        <v>1286</v>
      </c>
      <c r="E372" s="217">
        <v>0</v>
      </c>
      <c r="F372" s="217"/>
      <c r="G372" s="217">
        <f>노임!D3</f>
        <v>0</v>
      </c>
      <c r="H372" s="217">
        <f>TRUNC(G372*C372,0)</f>
        <v>0</v>
      </c>
      <c r="I372" s="217">
        <v>0</v>
      </c>
      <c r="J372" s="217"/>
      <c r="K372" s="217">
        <f>E372+G372+I372</f>
        <v>0</v>
      </c>
      <c r="L372" s="217">
        <f>F372+H372+J372</f>
        <v>0</v>
      </c>
      <c r="M372" s="215" t="s">
        <v>68</v>
      </c>
      <c r="N372" s="212" t="s">
        <v>68</v>
      </c>
      <c r="O372" s="212"/>
      <c r="P372" s="212" t="s">
        <v>1098</v>
      </c>
      <c r="Q372" s="212" t="s">
        <v>68</v>
      </c>
      <c r="R372" s="212" t="s">
        <v>1968</v>
      </c>
      <c r="S372" s="212"/>
      <c r="T372" s="212"/>
      <c r="U372" s="212"/>
      <c r="V372" s="212"/>
      <c r="W372" s="212"/>
      <c r="X372" s="212"/>
      <c r="Y372" s="212"/>
      <c r="Z372" s="212"/>
      <c r="AA372" s="220" t="s">
        <v>1955</v>
      </c>
      <c r="AB372" s="212">
        <f>(호표!H371+호표!H372)*0.03</f>
        <v>0</v>
      </c>
      <c r="AC372" s="220" t="s">
        <v>1956</v>
      </c>
      <c r="AD372" s="212">
        <f>$AB372</f>
        <v>0</v>
      </c>
      <c r="AE372" s="212"/>
      <c r="AF372" s="212"/>
      <c r="AG372" s="212"/>
      <c r="AH372" s="212"/>
      <c r="AI372" s="212"/>
      <c r="AJ372" s="212"/>
      <c r="AK372" s="212"/>
      <c r="AL372" s="212"/>
      <c r="AM372" s="212"/>
      <c r="AN372" s="212"/>
      <c r="AO372" s="212"/>
      <c r="AP372" s="212"/>
      <c r="AQ372" s="212"/>
      <c r="AR372" s="212"/>
      <c r="AS372" s="212"/>
      <c r="AT372" s="212"/>
      <c r="AU372" s="212"/>
      <c r="AV372" s="212"/>
      <c r="AW372" s="212"/>
      <c r="AX372" s="212"/>
      <c r="AY372" s="212"/>
      <c r="AZ372" s="212"/>
      <c r="BA372" s="212"/>
      <c r="BB372" s="212"/>
      <c r="BC372" s="212"/>
      <c r="BD372" s="212"/>
      <c r="BE372" s="212"/>
      <c r="BF372" s="212"/>
      <c r="BG372" s="212"/>
      <c r="BH372" s="212"/>
      <c r="BI372" s="231" t="str">
        <f>HYPERLINK("#노임!A3","L001010101000002 →")</f>
        <v>L001010101000002 →</v>
      </c>
    </row>
    <row r="373" spans="1:61" ht="24" customHeight="1">
      <c r="A373" s="218" t="s">
        <v>1948</v>
      </c>
      <c r="B373" s="218" t="s">
        <v>1949</v>
      </c>
      <c r="C373" s="228">
        <v>3</v>
      </c>
      <c r="D373" s="213" t="s">
        <v>1950</v>
      </c>
      <c r="E373" s="213"/>
      <c r="F373" s="217">
        <v>0</v>
      </c>
      <c r="G373" s="213"/>
      <c r="H373" s="217">
        <v>0</v>
      </c>
      <c r="I373" s="213"/>
      <c r="J373" s="217">
        <f>TRUNC(((H371+H372)*0.03),0)</f>
        <v>0</v>
      </c>
      <c r="K373" s="217">
        <f>E373+G373+I373</f>
        <v>0</v>
      </c>
      <c r="L373" s="217">
        <f>F373+H373+J373</f>
        <v>0</v>
      </c>
      <c r="M373" s="215" t="s">
        <v>68</v>
      </c>
      <c r="N373" s="212" t="s">
        <v>68</v>
      </c>
      <c r="O373" s="212"/>
      <c r="P373" s="212" t="s">
        <v>1101</v>
      </c>
      <c r="Q373" s="212" t="s">
        <v>68</v>
      </c>
      <c r="R373" s="212" t="s">
        <v>1121</v>
      </c>
      <c r="S373" s="212"/>
      <c r="T373" s="212"/>
      <c r="U373" s="212"/>
      <c r="V373" s="212"/>
      <c r="W373" s="212"/>
      <c r="X373" s="212" t="s">
        <v>2130</v>
      </c>
      <c r="Y373" s="212"/>
      <c r="Z373" s="212"/>
      <c r="AA373" s="212"/>
      <c r="AB373" s="212"/>
      <c r="AC373" s="212"/>
      <c r="AD373" s="212"/>
      <c r="AE373" s="212"/>
      <c r="AF373" s="212"/>
      <c r="AG373" s="212"/>
      <c r="AH373" s="212"/>
      <c r="AI373" s="212"/>
      <c r="AJ373" s="212"/>
      <c r="AK373" s="212"/>
      <c r="AL373" s="212"/>
      <c r="AM373" s="212"/>
      <c r="AN373" s="212"/>
      <c r="AO373" s="212"/>
      <c r="AP373" s="212"/>
      <c r="AQ373" s="212"/>
      <c r="AR373" s="212"/>
      <c r="AS373" s="212"/>
      <c r="AT373" s="212"/>
      <c r="AU373" s="212"/>
      <c r="AV373" s="212"/>
      <c r="AW373" s="212"/>
      <c r="AX373" s="212"/>
      <c r="AY373" s="212"/>
      <c r="AZ373" s="212"/>
      <c r="BA373" s="212"/>
      <c r="BB373" s="212"/>
      <c r="BC373" s="212"/>
      <c r="BD373" s="212"/>
      <c r="BE373" s="212"/>
      <c r="BF373" s="212"/>
      <c r="BG373" s="212"/>
      <c r="BH373" s="212"/>
      <c r="BI373" s="212"/>
    </row>
    <row r="374" spans="1:61" ht="24" customHeight="1">
      <c r="A374" s="215"/>
      <c r="B374" s="215"/>
      <c r="C374" s="229"/>
      <c r="D374" s="213"/>
      <c r="E374" s="213"/>
      <c r="F374" s="213"/>
      <c r="G374" s="213"/>
      <c r="H374" s="213"/>
      <c r="I374" s="213"/>
      <c r="J374" s="213"/>
      <c r="K374" s="213"/>
      <c r="L374" s="213"/>
      <c r="M374" s="215"/>
      <c r="N374" s="212"/>
      <c r="O374" s="212"/>
      <c r="P374" s="212"/>
      <c r="Q374" s="212"/>
      <c r="R374" s="212"/>
      <c r="S374" s="212"/>
      <c r="T374" s="212"/>
      <c r="U374" s="212"/>
      <c r="V374" s="212"/>
      <c r="W374" s="212"/>
      <c r="X374" s="212"/>
      <c r="Y374" s="212"/>
      <c r="Z374" s="212"/>
      <c r="AA374" s="212"/>
      <c r="AB374" s="212"/>
      <c r="AC374" s="212"/>
      <c r="AD374" s="212"/>
      <c r="AE374" s="212"/>
      <c r="AF374" s="212"/>
      <c r="AG374" s="212"/>
      <c r="AH374" s="212"/>
      <c r="AI374" s="212"/>
      <c r="AJ374" s="212"/>
      <c r="AK374" s="212"/>
      <c r="AL374" s="212"/>
      <c r="AM374" s="212"/>
      <c r="AN374" s="212"/>
      <c r="AO374" s="212"/>
      <c r="AP374" s="212"/>
      <c r="AQ374" s="212"/>
      <c r="AR374" s="212"/>
      <c r="AS374" s="212"/>
      <c r="AT374" s="212"/>
      <c r="AU374" s="212"/>
      <c r="AV374" s="212"/>
      <c r="AW374" s="212"/>
      <c r="AX374" s="212"/>
      <c r="AY374" s="212"/>
      <c r="AZ374" s="212"/>
      <c r="BA374" s="212"/>
      <c r="BB374" s="212"/>
      <c r="BC374" s="212"/>
      <c r="BD374" s="212"/>
      <c r="BE374" s="212"/>
      <c r="BF374" s="212"/>
      <c r="BG374" s="212"/>
      <c r="BH374" s="212"/>
      <c r="BI374" s="212"/>
    </row>
    <row r="375" spans="1:61" ht="24" customHeight="1">
      <c r="A375" s="218" t="s">
        <v>2163</v>
      </c>
      <c r="B375" s="218" t="s">
        <v>1307</v>
      </c>
      <c r="C375" s="228">
        <v>1</v>
      </c>
      <c r="D375" s="213" t="s">
        <v>9</v>
      </c>
      <c r="E375" s="212"/>
      <c r="F375" s="217">
        <f>TRUNC(F376+F377+F378+F379,0)</f>
        <v>0</v>
      </c>
      <c r="G375" s="212"/>
      <c r="H375" s="217">
        <f>TRUNC(H376+H377+H378+H379,0)</f>
        <v>0</v>
      </c>
      <c r="I375" s="212"/>
      <c r="J375" s="217">
        <f>TRUNC(J376+J377+J378+J379,0)</f>
        <v>0</v>
      </c>
      <c r="K375" s="212"/>
      <c r="L375" s="217">
        <f>F375+H375+J375</f>
        <v>0</v>
      </c>
      <c r="M375" s="215" t="s">
        <v>1765</v>
      </c>
      <c r="N375" s="212" t="s">
        <v>68</v>
      </c>
      <c r="O375" s="212" t="s">
        <v>1308</v>
      </c>
      <c r="P375" s="212"/>
      <c r="Q375" s="212"/>
      <c r="R375" s="212"/>
      <c r="S375" s="212"/>
      <c r="T375" s="212"/>
      <c r="U375" s="212"/>
      <c r="V375" s="212"/>
      <c r="W375" s="212"/>
      <c r="X375" s="212"/>
      <c r="Y375" s="212"/>
      <c r="Z375" s="212"/>
      <c r="AA375" s="212"/>
      <c r="AB375" s="212"/>
      <c r="AC375" s="212"/>
      <c r="AD375" s="212"/>
      <c r="AE375" s="212"/>
      <c r="AF375" s="212"/>
      <c r="AG375" s="212"/>
      <c r="AH375" s="212"/>
      <c r="AI375" s="212"/>
      <c r="AJ375" s="212"/>
      <c r="AK375" s="212"/>
      <c r="AL375" s="212"/>
      <c r="AM375" s="212"/>
      <c r="AN375" s="212"/>
      <c r="AO375" s="212"/>
      <c r="AP375" s="212"/>
      <c r="AQ375" s="212"/>
      <c r="AR375" s="212"/>
      <c r="AS375" s="212"/>
      <c r="AT375" s="212"/>
      <c r="AU375" s="212"/>
      <c r="AV375" s="212"/>
      <c r="AW375" s="212"/>
      <c r="AX375" s="212"/>
      <c r="AY375" s="212"/>
      <c r="AZ375" s="212"/>
      <c r="BA375" s="212"/>
      <c r="BB375" s="212"/>
      <c r="BC375" s="212"/>
      <c r="BD375" s="212"/>
      <c r="BE375" s="212"/>
      <c r="BF375" s="212"/>
      <c r="BG375" s="212"/>
      <c r="BH375" s="212"/>
      <c r="BI375" s="212"/>
    </row>
    <row r="376" spans="1:61" ht="24" customHeight="1">
      <c r="A376" s="218" t="s">
        <v>2017</v>
      </c>
      <c r="B376" s="218" t="s">
        <v>2018</v>
      </c>
      <c r="C376" s="228">
        <v>1</v>
      </c>
      <c r="D376" s="213" t="s">
        <v>2019</v>
      </c>
      <c r="E376" s="217">
        <f>자재조서!E29</f>
        <v>0</v>
      </c>
      <c r="F376" s="217">
        <f>TRUNC(E376*C376,0)</f>
        <v>0</v>
      </c>
      <c r="G376" s="217">
        <v>0</v>
      </c>
      <c r="H376" s="217"/>
      <c r="I376" s="217">
        <v>0</v>
      </c>
      <c r="J376" s="217"/>
      <c r="K376" s="217">
        <f>E376+G376+I376</f>
        <v>0</v>
      </c>
      <c r="L376" s="217">
        <f>F376+H376+J376</f>
        <v>0</v>
      </c>
      <c r="M376" s="215" t="s">
        <v>68</v>
      </c>
      <c r="N376" s="212" t="s">
        <v>68</v>
      </c>
      <c r="O376" s="212"/>
      <c r="P376" s="212" t="s">
        <v>1095</v>
      </c>
      <c r="Q376" s="212" t="s">
        <v>68</v>
      </c>
      <c r="R376" s="212" t="s">
        <v>2020</v>
      </c>
      <c r="S376" s="212"/>
      <c r="T376" s="212"/>
      <c r="U376" s="212"/>
      <c r="V376" s="212"/>
      <c r="W376" s="212"/>
      <c r="X376" s="212"/>
      <c r="Y376" s="212"/>
      <c r="Z376" s="212"/>
      <c r="AA376" s="212"/>
      <c r="AB376" s="212"/>
      <c r="AC376" s="212"/>
      <c r="AD376" s="212"/>
      <c r="AE376" s="212"/>
      <c r="AF376" s="212"/>
      <c r="AG376" s="212"/>
      <c r="AH376" s="212"/>
      <c r="AI376" s="212"/>
      <c r="AJ376" s="212"/>
      <c r="AK376" s="212"/>
      <c r="AL376" s="212"/>
      <c r="AM376" s="212"/>
      <c r="AN376" s="212"/>
      <c r="AO376" s="212"/>
      <c r="AP376" s="212"/>
      <c r="AQ376" s="212"/>
      <c r="AR376" s="212"/>
      <c r="AS376" s="212"/>
      <c r="AT376" s="212"/>
      <c r="AU376" s="212"/>
      <c r="AV376" s="212"/>
      <c r="AW376" s="212"/>
      <c r="AX376" s="212"/>
      <c r="AY376" s="212"/>
      <c r="AZ376" s="212"/>
      <c r="BA376" s="212"/>
      <c r="BB376" s="212"/>
      <c r="BC376" s="212"/>
      <c r="BD376" s="212"/>
      <c r="BE376" s="212"/>
      <c r="BF376" s="212"/>
      <c r="BG376" s="212"/>
      <c r="BH376" s="212"/>
      <c r="BI376" s="231" t="str">
        <f>HYPERLINK("#자재조서!A29","M8916015 →")</f>
        <v>M8916015 →</v>
      </c>
    </row>
    <row r="377" spans="1:61" ht="24" customHeight="1">
      <c r="A377" s="218" t="s">
        <v>2158</v>
      </c>
      <c r="B377" s="218" t="s">
        <v>1946</v>
      </c>
      <c r="C377" s="229">
        <v>6.0000000000000001E-3</v>
      </c>
      <c r="D377" s="213" t="s">
        <v>1286</v>
      </c>
      <c r="E377" s="217">
        <v>0</v>
      </c>
      <c r="F377" s="217"/>
      <c r="G377" s="217">
        <f>노임!D17</f>
        <v>0</v>
      </c>
      <c r="H377" s="217">
        <f>TRUNC(G377*C377,0)</f>
        <v>0</v>
      </c>
      <c r="I377" s="217">
        <v>0</v>
      </c>
      <c r="J377" s="217"/>
      <c r="K377" s="217">
        <f>E377+G377+I377</f>
        <v>0</v>
      </c>
      <c r="L377" s="217">
        <f>F377+H377+J377</f>
        <v>0</v>
      </c>
      <c r="M377" s="215" t="s">
        <v>68</v>
      </c>
      <c r="N377" s="212" t="s">
        <v>68</v>
      </c>
      <c r="O377" s="212"/>
      <c r="P377" s="212" t="s">
        <v>1098</v>
      </c>
      <c r="Q377" s="212" t="s">
        <v>68</v>
      </c>
      <c r="R377" s="212" t="s">
        <v>2159</v>
      </c>
      <c r="S377" s="212"/>
      <c r="T377" s="212"/>
      <c r="U377" s="212"/>
      <c r="V377" s="212"/>
      <c r="W377" s="212"/>
      <c r="X377" s="212"/>
      <c r="Y377" s="212"/>
      <c r="Z377" s="212"/>
      <c r="AA377" s="212"/>
      <c r="AB377" s="212"/>
      <c r="AC377" s="212"/>
      <c r="AD377" s="212"/>
      <c r="AE377" s="212"/>
      <c r="AF377" s="212"/>
      <c r="AG377" s="212"/>
      <c r="AH377" s="212"/>
      <c r="AI377" s="212"/>
      <c r="AJ377" s="212"/>
      <c r="AK377" s="212"/>
      <c r="AL377" s="212"/>
      <c r="AM377" s="212"/>
      <c r="AN377" s="212"/>
      <c r="AO377" s="212"/>
      <c r="AP377" s="212"/>
      <c r="AQ377" s="212"/>
      <c r="AR377" s="212"/>
      <c r="AS377" s="212"/>
      <c r="AT377" s="212"/>
      <c r="AU377" s="212"/>
      <c r="AV377" s="212"/>
      <c r="AW377" s="212"/>
      <c r="AX377" s="212"/>
      <c r="AY377" s="212"/>
      <c r="AZ377" s="212"/>
      <c r="BA377" s="212"/>
      <c r="BB377" s="212"/>
      <c r="BC377" s="212"/>
      <c r="BD377" s="212"/>
      <c r="BE377" s="212"/>
      <c r="BF377" s="212"/>
      <c r="BG377" s="212"/>
      <c r="BH377" s="212"/>
      <c r="BI377" s="231" t="str">
        <f>HYPERLINK("#노임!A17","L001010101000029 →")</f>
        <v>L001010101000029 →</v>
      </c>
    </row>
    <row r="378" spans="1:61" ht="24" customHeight="1">
      <c r="A378" s="218" t="s">
        <v>1967</v>
      </c>
      <c r="B378" s="218" t="s">
        <v>1946</v>
      </c>
      <c r="C378" s="229">
        <v>1E-3</v>
      </c>
      <c r="D378" s="213" t="s">
        <v>1286</v>
      </c>
      <c r="E378" s="217">
        <v>0</v>
      </c>
      <c r="F378" s="217"/>
      <c r="G378" s="217">
        <f>노임!D3</f>
        <v>0</v>
      </c>
      <c r="H378" s="217">
        <f>TRUNC(G378*C378,0)</f>
        <v>0</v>
      </c>
      <c r="I378" s="217">
        <v>0</v>
      </c>
      <c r="J378" s="217"/>
      <c r="K378" s="217">
        <f>E378+G378+I378</f>
        <v>0</v>
      </c>
      <c r="L378" s="217">
        <f>F378+H378+J378</f>
        <v>0</v>
      </c>
      <c r="M378" s="215" t="s">
        <v>68</v>
      </c>
      <c r="N378" s="212" t="s">
        <v>68</v>
      </c>
      <c r="O378" s="212"/>
      <c r="P378" s="212" t="s">
        <v>1101</v>
      </c>
      <c r="Q378" s="212" t="s">
        <v>68</v>
      </c>
      <c r="R378" s="212" t="s">
        <v>1968</v>
      </c>
      <c r="S378" s="212"/>
      <c r="T378" s="212"/>
      <c r="U378" s="212"/>
      <c r="V378" s="212"/>
      <c r="W378" s="212"/>
      <c r="X378" s="212"/>
      <c r="Y378" s="212"/>
      <c r="Z378" s="212"/>
      <c r="AA378" s="220" t="s">
        <v>1955</v>
      </c>
      <c r="AB378" s="212">
        <f>(호표!H377+호표!H378)*0.03</f>
        <v>0</v>
      </c>
      <c r="AC378" s="220" t="s">
        <v>1956</v>
      </c>
      <c r="AD378" s="212">
        <f>$AB378</f>
        <v>0</v>
      </c>
      <c r="AE378" s="212"/>
      <c r="AF378" s="212"/>
      <c r="AG378" s="212"/>
      <c r="AH378" s="212"/>
      <c r="AI378" s="212"/>
      <c r="AJ378" s="212"/>
      <c r="AK378" s="212"/>
      <c r="AL378" s="212"/>
      <c r="AM378" s="212"/>
      <c r="AN378" s="212"/>
      <c r="AO378" s="212"/>
      <c r="AP378" s="212"/>
      <c r="AQ378" s="212"/>
      <c r="AR378" s="212"/>
      <c r="AS378" s="212"/>
      <c r="AT378" s="212"/>
      <c r="AU378" s="212"/>
      <c r="AV378" s="212"/>
      <c r="AW378" s="212"/>
      <c r="AX378" s="212"/>
      <c r="AY378" s="212"/>
      <c r="AZ378" s="212"/>
      <c r="BA378" s="212"/>
      <c r="BB378" s="212"/>
      <c r="BC378" s="212"/>
      <c r="BD378" s="212"/>
      <c r="BE378" s="212"/>
      <c r="BF378" s="212"/>
      <c r="BG378" s="212"/>
      <c r="BH378" s="212"/>
      <c r="BI378" s="231" t="str">
        <f>HYPERLINK("#노임!A3","L001010101000002 →")</f>
        <v>L001010101000002 →</v>
      </c>
    </row>
    <row r="379" spans="1:61" ht="24" customHeight="1">
      <c r="A379" s="218" t="s">
        <v>1948</v>
      </c>
      <c r="B379" s="218" t="s">
        <v>1949</v>
      </c>
      <c r="C379" s="228">
        <v>3</v>
      </c>
      <c r="D379" s="213" t="s">
        <v>1950</v>
      </c>
      <c r="E379" s="213"/>
      <c r="F379" s="217">
        <v>0</v>
      </c>
      <c r="G379" s="213"/>
      <c r="H379" s="217">
        <v>0</v>
      </c>
      <c r="I379" s="213"/>
      <c r="J379" s="217">
        <f>TRUNC(((H377+H378)*0.03),0)</f>
        <v>0</v>
      </c>
      <c r="K379" s="217">
        <f>E379+G379+I379</f>
        <v>0</v>
      </c>
      <c r="L379" s="217">
        <f>F379+H379+J379</f>
        <v>0</v>
      </c>
      <c r="M379" s="215" t="s">
        <v>68</v>
      </c>
      <c r="N379" s="212" t="s">
        <v>68</v>
      </c>
      <c r="O379" s="212"/>
      <c r="P379" s="212" t="s">
        <v>1104</v>
      </c>
      <c r="Q379" s="212" t="s">
        <v>68</v>
      </c>
      <c r="R379" s="212" t="s">
        <v>1121</v>
      </c>
      <c r="S379" s="212"/>
      <c r="T379" s="212"/>
      <c r="U379" s="212"/>
      <c r="V379" s="212"/>
      <c r="W379" s="212"/>
      <c r="X379" s="212" t="s">
        <v>2164</v>
      </c>
      <c r="Y379" s="212"/>
      <c r="Z379" s="212"/>
      <c r="AA379" s="212"/>
      <c r="AB379" s="212"/>
      <c r="AC379" s="212"/>
      <c r="AD379" s="212"/>
      <c r="AE379" s="212"/>
      <c r="AF379" s="212"/>
      <c r="AG379" s="212"/>
      <c r="AH379" s="212"/>
      <c r="AI379" s="212"/>
      <c r="AJ379" s="212"/>
      <c r="AK379" s="212"/>
      <c r="AL379" s="212"/>
      <c r="AM379" s="212"/>
      <c r="AN379" s="212"/>
      <c r="AO379" s="212"/>
      <c r="AP379" s="212"/>
      <c r="AQ379" s="212"/>
      <c r="AR379" s="212"/>
      <c r="AS379" s="212"/>
      <c r="AT379" s="212"/>
      <c r="AU379" s="212"/>
      <c r="AV379" s="212"/>
      <c r="AW379" s="212"/>
      <c r="AX379" s="212"/>
      <c r="AY379" s="212"/>
      <c r="AZ379" s="212"/>
      <c r="BA379" s="212"/>
      <c r="BB379" s="212"/>
      <c r="BC379" s="212"/>
      <c r="BD379" s="212"/>
      <c r="BE379" s="212"/>
      <c r="BF379" s="212"/>
      <c r="BG379" s="212"/>
      <c r="BH379" s="212"/>
      <c r="BI379" s="212"/>
    </row>
    <row r="380" spans="1:61" ht="24" customHeight="1">
      <c r="A380" s="215"/>
      <c r="B380" s="215"/>
      <c r="C380" s="229"/>
      <c r="D380" s="213"/>
      <c r="E380" s="213"/>
      <c r="F380" s="213"/>
      <c r="G380" s="213"/>
      <c r="H380" s="213"/>
      <c r="I380" s="213"/>
      <c r="J380" s="213"/>
      <c r="K380" s="213"/>
      <c r="L380" s="213"/>
      <c r="M380" s="215"/>
      <c r="N380" s="212"/>
      <c r="O380" s="212"/>
      <c r="P380" s="212"/>
      <c r="Q380" s="212"/>
      <c r="R380" s="212"/>
      <c r="S380" s="212"/>
      <c r="T380" s="212"/>
      <c r="U380" s="212"/>
      <c r="V380" s="212"/>
      <c r="W380" s="212"/>
      <c r="X380" s="212"/>
      <c r="Y380" s="212"/>
      <c r="Z380" s="212"/>
      <c r="AA380" s="212"/>
      <c r="AB380" s="212"/>
      <c r="AC380" s="212"/>
      <c r="AD380" s="212"/>
      <c r="AE380" s="212"/>
      <c r="AF380" s="212"/>
      <c r="AG380" s="212"/>
      <c r="AH380" s="212"/>
      <c r="AI380" s="212"/>
      <c r="AJ380" s="212"/>
      <c r="AK380" s="212"/>
      <c r="AL380" s="212"/>
      <c r="AM380" s="212"/>
      <c r="AN380" s="212"/>
      <c r="AO380" s="212"/>
      <c r="AP380" s="212"/>
      <c r="AQ380" s="212"/>
      <c r="AR380" s="212"/>
      <c r="AS380" s="212"/>
      <c r="AT380" s="212"/>
      <c r="AU380" s="212"/>
      <c r="AV380" s="212"/>
      <c r="AW380" s="212"/>
      <c r="AX380" s="212"/>
      <c r="AY380" s="212"/>
      <c r="AZ380" s="212"/>
      <c r="BA380" s="212"/>
      <c r="BB380" s="212"/>
      <c r="BC380" s="212"/>
      <c r="BD380" s="212"/>
      <c r="BE380" s="212"/>
      <c r="BF380" s="212"/>
      <c r="BG380" s="212"/>
      <c r="BH380" s="212"/>
      <c r="BI380" s="212"/>
    </row>
    <row r="381" spans="1:61" ht="24" customHeight="1">
      <c r="A381" s="218" t="s">
        <v>2165</v>
      </c>
      <c r="B381" s="218" t="s">
        <v>1310</v>
      </c>
      <c r="C381" s="228">
        <v>1</v>
      </c>
      <c r="D381" s="213" t="s">
        <v>9</v>
      </c>
      <c r="E381" s="212"/>
      <c r="F381" s="217">
        <f>TRUNC(F382+F383+F384+F385,0)</f>
        <v>0</v>
      </c>
      <c r="G381" s="212"/>
      <c r="H381" s="217">
        <f>TRUNC(H382+H383+H384+H385,0)</f>
        <v>0</v>
      </c>
      <c r="I381" s="212"/>
      <c r="J381" s="217">
        <f>TRUNC(J382+J383+J384+J385,0)</f>
        <v>0</v>
      </c>
      <c r="K381" s="212"/>
      <c r="L381" s="217">
        <f>F381+H381+J381</f>
        <v>0</v>
      </c>
      <c r="M381" s="215" t="s">
        <v>1767</v>
      </c>
      <c r="N381" s="212" t="s">
        <v>68</v>
      </c>
      <c r="O381" s="212" t="s">
        <v>1311</v>
      </c>
      <c r="P381" s="212"/>
      <c r="Q381" s="212"/>
      <c r="R381" s="212"/>
      <c r="S381" s="212"/>
      <c r="T381" s="212"/>
      <c r="U381" s="212"/>
      <c r="V381" s="212"/>
      <c r="W381" s="212"/>
      <c r="X381" s="212"/>
      <c r="Y381" s="212"/>
      <c r="Z381" s="212"/>
      <c r="AA381" s="212"/>
      <c r="AB381" s="212"/>
      <c r="AC381" s="212"/>
      <c r="AD381" s="212"/>
      <c r="AE381" s="212"/>
      <c r="AF381" s="212"/>
      <c r="AG381" s="212"/>
      <c r="AH381" s="212"/>
      <c r="AI381" s="212"/>
      <c r="AJ381" s="212"/>
      <c r="AK381" s="212"/>
      <c r="AL381" s="212"/>
      <c r="AM381" s="212"/>
      <c r="AN381" s="212"/>
      <c r="AO381" s="212"/>
      <c r="AP381" s="212"/>
      <c r="AQ381" s="212"/>
      <c r="AR381" s="212"/>
      <c r="AS381" s="212"/>
      <c r="AT381" s="212"/>
      <c r="AU381" s="212"/>
      <c r="AV381" s="212"/>
      <c r="AW381" s="212"/>
      <c r="AX381" s="212"/>
      <c r="AY381" s="212"/>
      <c r="AZ381" s="212"/>
      <c r="BA381" s="212"/>
      <c r="BB381" s="212"/>
      <c r="BC381" s="212"/>
      <c r="BD381" s="212"/>
      <c r="BE381" s="212"/>
      <c r="BF381" s="212"/>
      <c r="BG381" s="212"/>
      <c r="BH381" s="212"/>
      <c r="BI381" s="212"/>
    </row>
    <row r="382" spans="1:61" ht="24" customHeight="1">
      <c r="A382" s="218" t="s">
        <v>2153</v>
      </c>
      <c r="B382" s="218" t="s">
        <v>2154</v>
      </c>
      <c r="C382" s="229">
        <v>0.6</v>
      </c>
      <c r="D382" s="213" t="s">
        <v>2155</v>
      </c>
      <c r="E382" s="217">
        <f>자재조서!E22</f>
        <v>0</v>
      </c>
      <c r="F382" s="217">
        <f>TRUNC(E382*C382,0)</f>
        <v>0</v>
      </c>
      <c r="G382" s="217">
        <v>0</v>
      </c>
      <c r="H382" s="217"/>
      <c r="I382" s="217">
        <v>0</v>
      </c>
      <c r="J382" s="217"/>
      <c r="K382" s="217">
        <f>E382+G382+I382</f>
        <v>0</v>
      </c>
      <c r="L382" s="217">
        <f>F382+H382+J382</f>
        <v>0</v>
      </c>
      <c r="M382" s="215" t="s">
        <v>68</v>
      </c>
      <c r="N382" s="212" t="s">
        <v>2156</v>
      </c>
      <c r="O382" s="212"/>
      <c r="P382" s="212" t="s">
        <v>1098</v>
      </c>
      <c r="Q382" s="212" t="s">
        <v>68</v>
      </c>
      <c r="R382" s="212" t="s">
        <v>2157</v>
      </c>
      <c r="S382" s="212"/>
      <c r="T382" s="212"/>
      <c r="U382" s="212"/>
      <c r="V382" s="212"/>
      <c r="W382" s="212"/>
      <c r="X382" s="212"/>
      <c r="Y382" s="212"/>
      <c r="Z382" s="212"/>
      <c r="AA382" s="212"/>
      <c r="AB382" s="212"/>
      <c r="AC382" s="212"/>
      <c r="AD382" s="212"/>
      <c r="AE382" s="212"/>
      <c r="AF382" s="212"/>
      <c r="AG382" s="212"/>
      <c r="AH382" s="212"/>
      <c r="AI382" s="212"/>
      <c r="AJ382" s="212"/>
      <c r="AK382" s="212"/>
      <c r="AL382" s="212"/>
      <c r="AM382" s="212"/>
      <c r="AN382" s="212"/>
      <c r="AO382" s="212"/>
      <c r="AP382" s="212"/>
      <c r="AQ382" s="212"/>
      <c r="AR382" s="212"/>
      <c r="AS382" s="212"/>
      <c r="AT382" s="212"/>
      <c r="AU382" s="212"/>
      <c r="AV382" s="212"/>
      <c r="AW382" s="212"/>
      <c r="AX382" s="212"/>
      <c r="AY382" s="212"/>
      <c r="AZ382" s="212"/>
      <c r="BA382" s="212"/>
      <c r="BB382" s="212"/>
      <c r="BC382" s="212"/>
      <c r="BD382" s="212"/>
      <c r="BE382" s="212"/>
      <c r="BF382" s="212"/>
      <c r="BG382" s="212"/>
      <c r="BH382" s="212"/>
      <c r="BI382" s="231" t="str">
        <f>HYPERLINK("#자재조서!A22","M4080003 →")</f>
        <v>M4080003 →</v>
      </c>
    </row>
    <row r="383" spans="1:61" ht="24" customHeight="1">
      <c r="A383" s="218" t="s">
        <v>2158</v>
      </c>
      <c r="B383" s="218" t="s">
        <v>1946</v>
      </c>
      <c r="C383" s="229">
        <v>0.06</v>
      </c>
      <c r="D383" s="213" t="s">
        <v>1286</v>
      </c>
      <c r="E383" s="217">
        <v>0</v>
      </c>
      <c r="F383" s="217"/>
      <c r="G383" s="217">
        <f>노임!D17</f>
        <v>0</v>
      </c>
      <c r="H383" s="217">
        <f>TRUNC(G383*C383,0)</f>
        <v>0</v>
      </c>
      <c r="I383" s="217">
        <v>0</v>
      </c>
      <c r="J383" s="217"/>
      <c r="K383" s="217">
        <f>E383+G383+I383</f>
        <v>0</v>
      </c>
      <c r="L383" s="217">
        <f>F383+H383+J383</f>
        <v>0</v>
      </c>
      <c r="M383" s="215" t="s">
        <v>68</v>
      </c>
      <c r="N383" s="212" t="s">
        <v>68</v>
      </c>
      <c r="O383" s="212"/>
      <c r="P383" s="212" t="s">
        <v>1101</v>
      </c>
      <c r="Q383" s="212" t="s">
        <v>68</v>
      </c>
      <c r="R383" s="212" t="s">
        <v>2159</v>
      </c>
      <c r="S383" s="212"/>
      <c r="T383" s="212"/>
      <c r="U383" s="212"/>
      <c r="V383" s="212"/>
      <c r="W383" s="212"/>
      <c r="X383" s="212"/>
      <c r="Y383" s="212"/>
      <c r="Z383" s="212"/>
      <c r="AA383" s="212"/>
      <c r="AB383" s="212"/>
      <c r="AC383" s="212"/>
      <c r="AD383" s="212"/>
      <c r="AE383" s="212"/>
      <c r="AF383" s="212"/>
      <c r="AG383" s="212"/>
      <c r="AH383" s="212"/>
      <c r="AI383" s="212"/>
      <c r="AJ383" s="212"/>
      <c r="AK383" s="212"/>
      <c r="AL383" s="212"/>
      <c r="AM383" s="212"/>
      <c r="AN383" s="212"/>
      <c r="AO383" s="212"/>
      <c r="AP383" s="212"/>
      <c r="AQ383" s="212"/>
      <c r="AR383" s="212"/>
      <c r="AS383" s="212"/>
      <c r="AT383" s="212"/>
      <c r="AU383" s="212"/>
      <c r="AV383" s="212"/>
      <c r="AW383" s="212"/>
      <c r="AX383" s="212"/>
      <c r="AY383" s="212"/>
      <c r="AZ383" s="212"/>
      <c r="BA383" s="212"/>
      <c r="BB383" s="212"/>
      <c r="BC383" s="212"/>
      <c r="BD383" s="212"/>
      <c r="BE383" s="212"/>
      <c r="BF383" s="212"/>
      <c r="BG383" s="212"/>
      <c r="BH383" s="212"/>
      <c r="BI383" s="231" t="str">
        <f>HYPERLINK("#노임!A17","L001010101000029 →")</f>
        <v>L001010101000029 →</v>
      </c>
    </row>
    <row r="384" spans="1:61" ht="24" customHeight="1">
      <c r="A384" s="218" t="s">
        <v>1967</v>
      </c>
      <c r="B384" s="218" t="s">
        <v>1946</v>
      </c>
      <c r="C384" s="229">
        <v>1.2E-2</v>
      </c>
      <c r="D384" s="213" t="s">
        <v>1286</v>
      </c>
      <c r="E384" s="217">
        <v>0</v>
      </c>
      <c r="F384" s="217"/>
      <c r="G384" s="217">
        <f>노임!D3</f>
        <v>0</v>
      </c>
      <c r="H384" s="217">
        <f>TRUNC(G384*C384,0)</f>
        <v>0</v>
      </c>
      <c r="I384" s="217">
        <v>0</v>
      </c>
      <c r="J384" s="217"/>
      <c r="K384" s="217">
        <f>E384+G384+I384</f>
        <v>0</v>
      </c>
      <c r="L384" s="217">
        <f>F384+H384+J384</f>
        <v>0</v>
      </c>
      <c r="M384" s="215" t="s">
        <v>68</v>
      </c>
      <c r="N384" s="212" t="s">
        <v>68</v>
      </c>
      <c r="O384" s="212"/>
      <c r="P384" s="212" t="s">
        <v>1104</v>
      </c>
      <c r="Q384" s="212" t="s">
        <v>68</v>
      </c>
      <c r="R384" s="212" t="s">
        <v>1968</v>
      </c>
      <c r="S384" s="212"/>
      <c r="T384" s="212"/>
      <c r="U384" s="212"/>
      <c r="V384" s="212"/>
      <c r="W384" s="212"/>
      <c r="X384" s="212"/>
      <c r="Y384" s="212"/>
      <c r="Z384" s="212"/>
      <c r="AA384" s="220" t="s">
        <v>1955</v>
      </c>
      <c r="AB384" s="212">
        <f>(호표!H383+호표!H384)*0.02</f>
        <v>0</v>
      </c>
      <c r="AC384" s="220" t="s">
        <v>1956</v>
      </c>
      <c r="AD384" s="212">
        <f>$AB384</f>
        <v>0</v>
      </c>
      <c r="AE384" s="212"/>
      <c r="AF384" s="212"/>
      <c r="AG384" s="212"/>
      <c r="AH384" s="212"/>
      <c r="AI384" s="212"/>
      <c r="AJ384" s="212"/>
      <c r="AK384" s="212"/>
      <c r="AL384" s="212"/>
      <c r="AM384" s="212"/>
      <c r="AN384" s="212"/>
      <c r="AO384" s="212"/>
      <c r="AP384" s="212"/>
      <c r="AQ384" s="212"/>
      <c r="AR384" s="212"/>
      <c r="AS384" s="212"/>
      <c r="AT384" s="212"/>
      <c r="AU384" s="212"/>
      <c r="AV384" s="212"/>
      <c r="AW384" s="212"/>
      <c r="AX384" s="212"/>
      <c r="AY384" s="212"/>
      <c r="AZ384" s="212"/>
      <c r="BA384" s="212"/>
      <c r="BB384" s="212"/>
      <c r="BC384" s="212"/>
      <c r="BD384" s="212"/>
      <c r="BE384" s="212"/>
      <c r="BF384" s="212"/>
      <c r="BG384" s="212"/>
      <c r="BH384" s="212"/>
      <c r="BI384" s="231" t="str">
        <f>HYPERLINK("#노임!A3","L001010101000002 →")</f>
        <v>L001010101000002 →</v>
      </c>
    </row>
    <row r="385" spans="1:61" ht="24" customHeight="1">
      <c r="A385" s="218" t="s">
        <v>1948</v>
      </c>
      <c r="B385" s="218" t="s">
        <v>1958</v>
      </c>
      <c r="C385" s="228">
        <v>2</v>
      </c>
      <c r="D385" s="213" t="s">
        <v>1950</v>
      </c>
      <c r="E385" s="213"/>
      <c r="F385" s="217">
        <v>0</v>
      </c>
      <c r="G385" s="213"/>
      <c r="H385" s="217">
        <v>0</v>
      </c>
      <c r="I385" s="213"/>
      <c r="J385" s="217">
        <f>TRUNC(((H383+H384)*0.02),0)</f>
        <v>0</v>
      </c>
      <c r="K385" s="217">
        <f>E385+G385+I385</f>
        <v>0</v>
      </c>
      <c r="L385" s="217">
        <f>F385+H385+J385</f>
        <v>0</v>
      </c>
      <c r="M385" s="215" t="s">
        <v>68</v>
      </c>
      <c r="N385" s="212" t="s">
        <v>68</v>
      </c>
      <c r="O385" s="212"/>
      <c r="P385" s="212" t="s">
        <v>1107</v>
      </c>
      <c r="Q385" s="212" t="s">
        <v>68</v>
      </c>
      <c r="R385" s="212" t="s">
        <v>1121</v>
      </c>
      <c r="S385" s="212"/>
      <c r="T385" s="212"/>
      <c r="U385" s="212"/>
      <c r="V385" s="212"/>
      <c r="W385" s="212"/>
      <c r="X385" s="212" t="s">
        <v>2166</v>
      </c>
      <c r="Y385" s="212"/>
      <c r="Z385" s="212"/>
      <c r="AA385" s="212"/>
      <c r="AB385" s="212"/>
      <c r="AC385" s="212"/>
      <c r="AD385" s="212"/>
      <c r="AE385" s="212"/>
      <c r="AF385" s="212"/>
      <c r="AG385" s="212"/>
      <c r="AH385" s="212"/>
      <c r="AI385" s="212"/>
      <c r="AJ385" s="212"/>
      <c r="AK385" s="212"/>
      <c r="AL385" s="212"/>
      <c r="AM385" s="212"/>
      <c r="AN385" s="212"/>
      <c r="AO385" s="212"/>
      <c r="AP385" s="212"/>
      <c r="AQ385" s="212"/>
      <c r="AR385" s="212"/>
      <c r="AS385" s="212"/>
      <c r="AT385" s="212"/>
      <c r="AU385" s="212"/>
      <c r="AV385" s="212"/>
      <c r="AW385" s="212"/>
      <c r="AX385" s="212"/>
      <c r="AY385" s="212"/>
      <c r="AZ385" s="212"/>
      <c r="BA385" s="212"/>
      <c r="BB385" s="212"/>
      <c r="BC385" s="212"/>
      <c r="BD385" s="212"/>
      <c r="BE385" s="212"/>
      <c r="BF385" s="212"/>
      <c r="BG385" s="212"/>
      <c r="BH385" s="212"/>
      <c r="BI385" s="212"/>
    </row>
    <row r="386" spans="1:61" ht="24" customHeight="1">
      <c r="A386" s="215"/>
      <c r="B386" s="215"/>
      <c r="C386" s="229"/>
      <c r="D386" s="213"/>
      <c r="E386" s="213"/>
      <c r="F386" s="213"/>
      <c r="G386" s="213"/>
      <c r="H386" s="213"/>
      <c r="I386" s="213"/>
      <c r="J386" s="213"/>
      <c r="K386" s="213"/>
      <c r="L386" s="213"/>
      <c r="M386" s="215"/>
      <c r="N386" s="212"/>
      <c r="O386" s="212"/>
      <c r="P386" s="212"/>
      <c r="Q386" s="212"/>
      <c r="R386" s="212"/>
      <c r="S386" s="212"/>
      <c r="T386" s="212"/>
      <c r="U386" s="212"/>
      <c r="V386" s="212"/>
      <c r="W386" s="212"/>
      <c r="X386" s="212"/>
      <c r="Y386" s="212"/>
      <c r="Z386" s="212"/>
      <c r="AA386" s="212"/>
      <c r="AB386" s="212"/>
      <c r="AC386" s="212"/>
      <c r="AD386" s="212"/>
      <c r="AE386" s="212"/>
      <c r="AF386" s="212"/>
      <c r="AG386" s="212"/>
      <c r="AH386" s="212"/>
      <c r="AI386" s="212"/>
      <c r="AJ386" s="212"/>
      <c r="AK386" s="212"/>
      <c r="AL386" s="212"/>
      <c r="AM386" s="212"/>
      <c r="AN386" s="212"/>
      <c r="AO386" s="212"/>
      <c r="AP386" s="212"/>
      <c r="AQ386" s="212"/>
      <c r="AR386" s="212"/>
      <c r="AS386" s="212"/>
      <c r="AT386" s="212"/>
      <c r="AU386" s="212"/>
      <c r="AV386" s="212"/>
      <c r="AW386" s="212"/>
      <c r="AX386" s="212"/>
      <c r="AY386" s="212"/>
      <c r="AZ386" s="212"/>
      <c r="BA386" s="212"/>
      <c r="BB386" s="212"/>
      <c r="BC386" s="212"/>
      <c r="BD386" s="212"/>
      <c r="BE386" s="212"/>
      <c r="BF386" s="212"/>
      <c r="BG386" s="212"/>
      <c r="BH386" s="212"/>
      <c r="BI386" s="212"/>
    </row>
    <row r="387" spans="1:61" ht="24" customHeight="1">
      <c r="A387" s="218" t="s">
        <v>2167</v>
      </c>
      <c r="B387" s="218" t="s">
        <v>1769</v>
      </c>
      <c r="C387" s="228">
        <v>1</v>
      </c>
      <c r="D387" s="213" t="s">
        <v>378</v>
      </c>
      <c r="E387" s="212"/>
      <c r="F387" s="217">
        <f>TRUNC(F388+F389,0)</f>
        <v>0</v>
      </c>
      <c r="G387" s="212"/>
      <c r="H387" s="217">
        <f>TRUNC(H388+H389,0)</f>
        <v>0</v>
      </c>
      <c r="I387" s="212"/>
      <c r="J387" s="217">
        <f>TRUNC(J388+J389,0)</f>
        <v>0</v>
      </c>
      <c r="K387" s="212"/>
      <c r="L387" s="217">
        <f>F387+H387+J387</f>
        <v>0</v>
      </c>
      <c r="M387" s="215" t="s">
        <v>1770</v>
      </c>
      <c r="N387" s="212" t="s">
        <v>68</v>
      </c>
      <c r="O387" s="212" t="s">
        <v>1771</v>
      </c>
      <c r="P387" s="212"/>
      <c r="Q387" s="212"/>
      <c r="R387" s="212"/>
      <c r="S387" s="212"/>
      <c r="T387" s="212"/>
      <c r="U387" s="212"/>
      <c r="V387" s="212"/>
      <c r="W387" s="212"/>
      <c r="X387" s="212"/>
      <c r="Y387" s="212"/>
      <c r="Z387" s="212"/>
      <c r="AA387" s="212"/>
      <c r="AB387" s="212"/>
      <c r="AC387" s="212"/>
      <c r="AD387" s="212"/>
      <c r="AE387" s="212"/>
      <c r="AF387" s="212"/>
      <c r="AG387" s="212"/>
      <c r="AH387" s="212"/>
      <c r="AI387" s="212"/>
      <c r="AJ387" s="212"/>
      <c r="AK387" s="212"/>
      <c r="AL387" s="212"/>
      <c r="AM387" s="212"/>
      <c r="AN387" s="212"/>
      <c r="AO387" s="212"/>
      <c r="AP387" s="212"/>
      <c r="AQ387" s="212"/>
      <c r="AR387" s="212"/>
      <c r="AS387" s="212"/>
      <c r="AT387" s="212"/>
      <c r="AU387" s="212"/>
      <c r="AV387" s="212"/>
      <c r="AW387" s="212"/>
      <c r="AX387" s="212"/>
      <c r="AY387" s="212"/>
      <c r="AZ387" s="212"/>
      <c r="BA387" s="212"/>
      <c r="BB387" s="212"/>
      <c r="BC387" s="212"/>
      <c r="BD387" s="212"/>
      <c r="BE387" s="212"/>
      <c r="BF387" s="212"/>
      <c r="BG387" s="212"/>
      <c r="BH387" s="212"/>
      <c r="BI387" s="212"/>
    </row>
    <row r="388" spans="1:61" ht="24" customHeight="1">
      <c r="A388" s="218" t="s">
        <v>2026</v>
      </c>
      <c r="B388" s="218" t="s">
        <v>1946</v>
      </c>
      <c r="C388" s="229">
        <v>2.4E-2</v>
      </c>
      <c r="D388" s="213" t="s">
        <v>1286</v>
      </c>
      <c r="E388" s="217">
        <v>0</v>
      </c>
      <c r="F388" s="217"/>
      <c r="G388" s="217">
        <f>노임!D13</f>
        <v>0</v>
      </c>
      <c r="H388" s="217">
        <f>TRUNC(G388*C388,0)</f>
        <v>0</v>
      </c>
      <c r="I388" s="217">
        <v>0</v>
      </c>
      <c r="J388" s="217"/>
      <c r="K388" s="217">
        <f>E388+G388+I388</f>
        <v>0</v>
      </c>
      <c r="L388" s="217">
        <f>F388+H388+J388</f>
        <v>0</v>
      </c>
      <c r="M388" s="215" t="s">
        <v>68</v>
      </c>
      <c r="N388" s="212" t="s">
        <v>68</v>
      </c>
      <c r="O388" s="212"/>
      <c r="P388" s="212" t="s">
        <v>1095</v>
      </c>
      <c r="Q388" s="212" t="s">
        <v>68</v>
      </c>
      <c r="R388" s="212" t="s">
        <v>2027</v>
      </c>
      <c r="S388" s="212"/>
      <c r="T388" s="212"/>
      <c r="U388" s="212"/>
      <c r="V388" s="212"/>
      <c r="W388" s="212"/>
      <c r="X388" s="212"/>
      <c r="Y388" s="212"/>
      <c r="Z388" s="212"/>
      <c r="AA388" s="220" t="s">
        <v>1955</v>
      </c>
      <c r="AB388" s="212">
        <f>호표!H388*0.02</f>
        <v>0</v>
      </c>
      <c r="AC388" s="220" t="s">
        <v>1956</v>
      </c>
      <c r="AD388" s="212">
        <f>$AB388</f>
        <v>0</v>
      </c>
      <c r="AE388" s="212"/>
      <c r="AF388" s="212"/>
      <c r="AG388" s="212"/>
      <c r="AH388" s="212"/>
      <c r="AI388" s="212"/>
      <c r="AJ388" s="212"/>
      <c r="AK388" s="212"/>
      <c r="AL388" s="212"/>
      <c r="AM388" s="212"/>
      <c r="AN388" s="212"/>
      <c r="AO388" s="212"/>
      <c r="AP388" s="212"/>
      <c r="AQ388" s="212"/>
      <c r="AR388" s="212"/>
      <c r="AS388" s="212"/>
      <c r="AT388" s="212"/>
      <c r="AU388" s="212"/>
      <c r="AV388" s="212"/>
      <c r="AW388" s="212"/>
      <c r="AX388" s="212"/>
      <c r="AY388" s="212"/>
      <c r="AZ388" s="212"/>
      <c r="BA388" s="212"/>
      <c r="BB388" s="212"/>
      <c r="BC388" s="212"/>
      <c r="BD388" s="212"/>
      <c r="BE388" s="212"/>
      <c r="BF388" s="212"/>
      <c r="BG388" s="212"/>
      <c r="BH388" s="212"/>
      <c r="BI388" s="231" t="str">
        <f>HYPERLINK("#노임!A13","L001010101000024 →")</f>
        <v>L001010101000024 →</v>
      </c>
    </row>
    <row r="389" spans="1:61" ht="24" customHeight="1">
      <c r="A389" s="218" t="s">
        <v>1948</v>
      </c>
      <c r="B389" s="218" t="s">
        <v>1958</v>
      </c>
      <c r="C389" s="228">
        <v>2</v>
      </c>
      <c r="D389" s="213" t="s">
        <v>1950</v>
      </c>
      <c r="E389" s="213"/>
      <c r="F389" s="217">
        <v>0</v>
      </c>
      <c r="G389" s="213"/>
      <c r="H389" s="217">
        <v>0</v>
      </c>
      <c r="I389" s="213"/>
      <c r="J389" s="217">
        <f>TRUNC((H388*0.02),0)</f>
        <v>0</v>
      </c>
      <c r="K389" s="217">
        <f>E389+G389+I389</f>
        <v>0</v>
      </c>
      <c r="L389" s="217">
        <f>F389+H389+J389</f>
        <v>0</v>
      </c>
      <c r="M389" s="215" t="s">
        <v>68</v>
      </c>
      <c r="N389" s="212" t="s">
        <v>68</v>
      </c>
      <c r="O389" s="212"/>
      <c r="P389" s="212" t="s">
        <v>1098</v>
      </c>
      <c r="Q389" s="212" t="s">
        <v>68</v>
      </c>
      <c r="R389" s="212" t="s">
        <v>1121</v>
      </c>
      <c r="S389" s="212"/>
      <c r="T389" s="212"/>
      <c r="U389" s="212"/>
      <c r="V389" s="212"/>
      <c r="W389" s="212"/>
      <c r="X389" s="212" t="s">
        <v>1959</v>
      </c>
      <c r="Y389" s="212"/>
      <c r="Z389" s="212"/>
      <c r="AA389" s="212"/>
      <c r="AB389" s="212"/>
      <c r="AC389" s="212"/>
      <c r="AD389" s="212"/>
      <c r="AE389" s="212"/>
      <c r="AF389" s="212"/>
      <c r="AG389" s="212"/>
      <c r="AH389" s="212"/>
      <c r="AI389" s="212"/>
      <c r="AJ389" s="212"/>
      <c r="AK389" s="212"/>
      <c r="AL389" s="212"/>
      <c r="AM389" s="212"/>
      <c r="AN389" s="212"/>
      <c r="AO389" s="212"/>
      <c r="AP389" s="212"/>
      <c r="AQ389" s="212"/>
      <c r="AR389" s="212"/>
      <c r="AS389" s="212"/>
      <c r="AT389" s="212"/>
      <c r="AU389" s="212"/>
      <c r="AV389" s="212"/>
      <c r="AW389" s="212"/>
      <c r="AX389" s="212"/>
      <c r="AY389" s="212"/>
      <c r="AZ389" s="212"/>
      <c r="BA389" s="212"/>
      <c r="BB389" s="212"/>
      <c r="BC389" s="212"/>
      <c r="BD389" s="212"/>
      <c r="BE389" s="212"/>
      <c r="BF389" s="212"/>
      <c r="BG389" s="212"/>
      <c r="BH389" s="212"/>
      <c r="BI389" s="212"/>
    </row>
    <row r="390" spans="1:61" ht="24" customHeight="1">
      <c r="A390" s="215"/>
      <c r="B390" s="215"/>
      <c r="C390" s="229"/>
      <c r="D390" s="213"/>
      <c r="E390" s="213"/>
      <c r="F390" s="213"/>
      <c r="G390" s="213"/>
      <c r="H390" s="213"/>
      <c r="I390" s="213"/>
      <c r="J390" s="213"/>
      <c r="K390" s="213"/>
      <c r="L390" s="213"/>
      <c r="M390" s="215"/>
      <c r="N390" s="212"/>
      <c r="O390" s="212"/>
      <c r="P390" s="212"/>
      <c r="Q390" s="212"/>
      <c r="R390" s="212"/>
      <c r="S390" s="212"/>
      <c r="T390" s="212"/>
      <c r="U390" s="212"/>
      <c r="V390" s="212"/>
      <c r="W390" s="212"/>
      <c r="X390" s="212"/>
      <c r="Y390" s="212"/>
      <c r="Z390" s="212"/>
      <c r="AA390" s="212"/>
      <c r="AB390" s="212"/>
      <c r="AC390" s="212"/>
      <c r="AD390" s="212"/>
      <c r="AE390" s="212"/>
      <c r="AF390" s="212"/>
      <c r="AG390" s="212"/>
      <c r="AH390" s="212"/>
      <c r="AI390" s="212"/>
      <c r="AJ390" s="212"/>
      <c r="AK390" s="212"/>
      <c r="AL390" s="212"/>
      <c r="AM390" s="212"/>
      <c r="AN390" s="212"/>
      <c r="AO390" s="212"/>
      <c r="AP390" s="212"/>
      <c r="AQ390" s="212"/>
      <c r="AR390" s="212"/>
      <c r="AS390" s="212"/>
      <c r="AT390" s="212"/>
      <c r="AU390" s="212"/>
      <c r="AV390" s="212"/>
      <c r="AW390" s="212"/>
      <c r="AX390" s="212"/>
      <c r="AY390" s="212"/>
      <c r="AZ390" s="212"/>
      <c r="BA390" s="212"/>
      <c r="BB390" s="212"/>
      <c r="BC390" s="212"/>
      <c r="BD390" s="212"/>
      <c r="BE390" s="212"/>
      <c r="BF390" s="212"/>
      <c r="BG390" s="212"/>
      <c r="BH390" s="212"/>
      <c r="BI390" s="212"/>
    </row>
    <row r="391" spans="1:61" ht="24" customHeight="1">
      <c r="A391" s="218" t="s">
        <v>2168</v>
      </c>
      <c r="B391" s="218" t="s">
        <v>68</v>
      </c>
      <c r="C391" s="228">
        <v>1</v>
      </c>
      <c r="D391" s="213" t="s">
        <v>378</v>
      </c>
      <c r="E391" s="212"/>
      <c r="F391" s="217">
        <f>TRUNC(F392+F393+F394,0)</f>
        <v>0</v>
      </c>
      <c r="G391" s="212"/>
      <c r="H391" s="217">
        <f>TRUNC(H392+H393+H394,0)</f>
        <v>0</v>
      </c>
      <c r="I391" s="212"/>
      <c r="J391" s="217">
        <f>TRUNC(J392+J393+J394,0)</f>
        <v>0</v>
      </c>
      <c r="K391" s="212"/>
      <c r="L391" s="217">
        <f>F391+H391+J391</f>
        <v>0</v>
      </c>
      <c r="M391" s="215" t="s">
        <v>1773</v>
      </c>
      <c r="N391" s="212" t="s">
        <v>68</v>
      </c>
      <c r="O391" s="212" t="s">
        <v>1774</v>
      </c>
      <c r="P391" s="212"/>
      <c r="Q391" s="212"/>
      <c r="R391" s="212"/>
      <c r="S391" s="212"/>
      <c r="T391" s="212"/>
      <c r="U391" s="212"/>
      <c r="V391" s="212"/>
      <c r="W391" s="212"/>
      <c r="X391" s="212"/>
      <c r="Y391" s="212"/>
      <c r="Z391" s="212"/>
      <c r="AA391" s="212"/>
      <c r="AB391" s="212"/>
      <c r="AC391" s="212"/>
      <c r="AD391" s="212"/>
      <c r="AE391" s="212"/>
      <c r="AF391" s="212"/>
      <c r="AG391" s="212"/>
      <c r="AH391" s="212"/>
      <c r="AI391" s="212"/>
      <c r="AJ391" s="212"/>
      <c r="AK391" s="212"/>
      <c r="AL391" s="212"/>
      <c r="AM391" s="212"/>
      <c r="AN391" s="212"/>
      <c r="AO391" s="212"/>
      <c r="AP391" s="212"/>
      <c r="AQ391" s="212"/>
      <c r="AR391" s="212"/>
      <c r="AS391" s="212"/>
      <c r="AT391" s="212"/>
      <c r="AU391" s="212"/>
      <c r="AV391" s="212"/>
      <c r="AW391" s="212"/>
      <c r="AX391" s="212"/>
      <c r="AY391" s="212"/>
      <c r="AZ391" s="212"/>
      <c r="BA391" s="212"/>
      <c r="BB391" s="212"/>
      <c r="BC391" s="212"/>
      <c r="BD391" s="212"/>
      <c r="BE391" s="212"/>
      <c r="BF391" s="212"/>
      <c r="BG391" s="212"/>
      <c r="BH391" s="212"/>
      <c r="BI391" s="212"/>
    </row>
    <row r="392" spans="1:61" ht="24" customHeight="1">
      <c r="A392" s="218" t="s">
        <v>2026</v>
      </c>
      <c r="B392" s="218" t="s">
        <v>1946</v>
      </c>
      <c r="C392" s="229">
        <v>9.6000000000000002E-2</v>
      </c>
      <c r="D392" s="213" t="s">
        <v>1286</v>
      </c>
      <c r="E392" s="217">
        <v>0</v>
      </c>
      <c r="F392" s="217"/>
      <c r="G392" s="217">
        <f>노임!D13</f>
        <v>0</v>
      </c>
      <c r="H392" s="217">
        <f>TRUNC(G392*C392,0)</f>
        <v>0</v>
      </c>
      <c r="I392" s="217">
        <v>0</v>
      </c>
      <c r="J392" s="217"/>
      <c r="K392" s="217">
        <f>E392+G392+I392</f>
        <v>0</v>
      </c>
      <c r="L392" s="217">
        <f>F392+H392+J392</f>
        <v>0</v>
      </c>
      <c r="M392" s="215" t="s">
        <v>68</v>
      </c>
      <c r="N392" s="212" t="s">
        <v>68</v>
      </c>
      <c r="O392" s="212"/>
      <c r="P392" s="212" t="s">
        <v>1095</v>
      </c>
      <c r="Q392" s="212" t="s">
        <v>68</v>
      </c>
      <c r="R392" s="212" t="s">
        <v>2027</v>
      </c>
      <c r="S392" s="212"/>
      <c r="T392" s="212"/>
      <c r="U392" s="212"/>
      <c r="V392" s="212"/>
      <c r="W392" s="212"/>
      <c r="X392" s="212"/>
      <c r="Y392" s="212"/>
      <c r="Z392" s="212"/>
      <c r="AA392" s="212"/>
      <c r="AB392" s="212"/>
      <c r="AC392" s="212"/>
      <c r="AD392" s="212"/>
      <c r="AE392" s="212"/>
      <c r="AF392" s="212"/>
      <c r="AG392" s="212"/>
      <c r="AH392" s="212"/>
      <c r="AI392" s="212"/>
      <c r="AJ392" s="212"/>
      <c r="AK392" s="212"/>
      <c r="AL392" s="212"/>
      <c r="AM392" s="212"/>
      <c r="AN392" s="212"/>
      <c r="AO392" s="212"/>
      <c r="AP392" s="212"/>
      <c r="AQ392" s="212"/>
      <c r="AR392" s="212"/>
      <c r="AS392" s="212"/>
      <c r="AT392" s="212"/>
      <c r="AU392" s="212"/>
      <c r="AV392" s="212"/>
      <c r="AW392" s="212"/>
      <c r="AX392" s="212"/>
      <c r="AY392" s="212"/>
      <c r="AZ392" s="212"/>
      <c r="BA392" s="212"/>
      <c r="BB392" s="212"/>
      <c r="BC392" s="212"/>
      <c r="BD392" s="212"/>
      <c r="BE392" s="212"/>
      <c r="BF392" s="212"/>
      <c r="BG392" s="212"/>
      <c r="BH392" s="212"/>
      <c r="BI392" s="231" t="str">
        <f>HYPERLINK("#노임!A13","L001010101000024 →")</f>
        <v>L001010101000024 →</v>
      </c>
    </row>
    <row r="393" spans="1:61" ht="24" customHeight="1">
      <c r="A393" s="218" t="s">
        <v>1967</v>
      </c>
      <c r="B393" s="218" t="s">
        <v>1946</v>
      </c>
      <c r="C393" s="229">
        <v>4.8000000000000001E-2</v>
      </c>
      <c r="D393" s="213" t="s">
        <v>1286</v>
      </c>
      <c r="E393" s="217">
        <v>0</v>
      </c>
      <c r="F393" s="217"/>
      <c r="G393" s="217">
        <f>노임!D3</f>
        <v>0</v>
      </c>
      <c r="H393" s="217">
        <f>TRUNC(G393*C393,0)</f>
        <v>0</v>
      </c>
      <c r="I393" s="217">
        <v>0</v>
      </c>
      <c r="J393" s="217"/>
      <c r="K393" s="217">
        <f>E393+G393+I393</f>
        <v>0</v>
      </c>
      <c r="L393" s="217">
        <f>F393+H393+J393</f>
        <v>0</v>
      </c>
      <c r="M393" s="215" t="s">
        <v>68</v>
      </c>
      <c r="N393" s="212" t="s">
        <v>68</v>
      </c>
      <c r="O393" s="212"/>
      <c r="P393" s="212" t="s">
        <v>1098</v>
      </c>
      <c r="Q393" s="212" t="s">
        <v>68</v>
      </c>
      <c r="R393" s="212" t="s">
        <v>1968</v>
      </c>
      <c r="S393" s="212"/>
      <c r="T393" s="212"/>
      <c r="U393" s="212"/>
      <c r="V393" s="212"/>
      <c r="W393" s="212"/>
      <c r="X393" s="212"/>
      <c r="Y393" s="212"/>
      <c r="Z393" s="212"/>
      <c r="AA393" s="220" t="s">
        <v>1955</v>
      </c>
      <c r="AB393" s="212">
        <f>(호표!H392+호표!H393)*0.02</f>
        <v>0</v>
      </c>
      <c r="AC393" s="220" t="s">
        <v>1956</v>
      </c>
      <c r="AD393" s="212">
        <f>$AB393</f>
        <v>0</v>
      </c>
      <c r="AE393" s="212"/>
      <c r="AF393" s="212"/>
      <c r="AG393" s="212"/>
      <c r="AH393" s="212"/>
      <c r="AI393" s="212"/>
      <c r="AJ393" s="212"/>
      <c r="AK393" s="212"/>
      <c r="AL393" s="212"/>
      <c r="AM393" s="212"/>
      <c r="AN393" s="212"/>
      <c r="AO393" s="212"/>
      <c r="AP393" s="212"/>
      <c r="AQ393" s="212"/>
      <c r="AR393" s="212"/>
      <c r="AS393" s="212"/>
      <c r="AT393" s="212"/>
      <c r="AU393" s="212"/>
      <c r="AV393" s="212"/>
      <c r="AW393" s="212"/>
      <c r="AX393" s="212"/>
      <c r="AY393" s="212"/>
      <c r="AZ393" s="212"/>
      <c r="BA393" s="212"/>
      <c r="BB393" s="212"/>
      <c r="BC393" s="212"/>
      <c r="BD393" s="212"/>
      <c r="BE393" s="212"/>
      <c r="BF393" s="212"/>
      <c r="BG393" s="212"/>
      <c r="BH393" s="212"/>
      <c r="BI393" s="231" t="str">
        <f>HYPERLINK("#노임!A3","L001010101000002 →")</f>
        <v>L001010101000002 →</v>
      </c>
    </row>
    <row r="394" spans="1:61" ht="24" customHeight="1">
      <c r="A394" s="218" t="s">
        <v>1948</v>
      </c>
      <c r="B394" s="218" t="s">
        <v>1958</v>
      </c>
      <c r="C394" s="228">
        <v>2</v>
      </c>
      <c r="D394" s="213" t="s">
        <v>1950</v>
      </c>
      <c r="E394" s="213"/>
      <c r="F394" s="217">
        <v>0</v>
      </c>
      <c r="G394" s="213"/>
      <c r="H394" s="217">
        <v>0</v>
      </c>
      <c r="I394" s="213"/>
      <c r="J394" s="217">
        <f>TRUNC(((H392+H393)*0.02),0)</f>
        <v>0</v>
      </c>
      <c r="K394" s="217">
        <f>E394+G394+I394</f>
        <v>0</v>
      </c>
      <c r="L394" s="217">
        <f>F394+H394+J394</f>
        <v>0</v>
      </c>
      <c r="M394" s="215" t="s">
        <v>68</v>
      </c>
      <c r="N394" s="212" t="s">
        <v>68</v>
      </c>
      <c r="O394" s="212"/>
      <c r="P394" s="212" t="s">
        <v>1101</v>
      </c>
      <c r="Q394" s="212" t="s">
        <v>68</v>
      </c>
      <c r="R394" s="212" t="s">
        <v>1121</v>
      </c>
      <c r="S394" s="212"/>
      <c r="T394" s="212"/>
      <c r="U394" s="212"/>
      <c r="V394" s="212"/>
      <c r="W394" s="212"/>
      <c r="X394" s="212" t="s">
        <v>1975</v>
      </c>
      <c r="Y394" s="212"/>
      <c r="Z394" s="212"/>
      <c r="AA394" s="212"/>
      <c r="AB394" s="212"/>
      <c r="AC394" s="212"/>
      <c r="AD394" s="212"/>
      <c r="AE394" s="212"/>
      <c r="AF394" s="212"/>
      <c r="AG394" s="212"/>
      <c r="AH394" s="212"/>
      <c r="AI394" s="212"/>
      <c r="AJ394" s="212"/>
      <c r="AK394" s="212"/>
      <c r="AL394" s="212"/>
      <c r="AM394" s="212"/>
      <c r="AN394" s="212"/>
      <c r="AO394" s="212"/>
      <c r="AP394" s="212"/>
      <c r="AQ394" s="212"/>
      <c r="AR394" s="212"/>
      <c r="AS394" s="212"/>
      <c r="AT394" s="212"/>
      <c r="AU394" s="212"/>
      <c r="AV394" s="212"/>
      <c r="AW394" s="212"/>
      <c r="AX394" s="212"/>
      <c r="AY394" s="212"/>
      <c r="AZ394" s="212"/>
      <c r="BA394" s="212"/>
      <c r="BB394" s="212"/>
      <c r="BC394" s="212"/>
      <c r="BD394" s="212"/>
      <c r="BE394" s="212"/>
      <c r="BF394" s="212"/>
      <c r="BG394" s="212"/>
      <c r="BH394" s="212"/>
      <c r="BI394" s="212"/>
    </row>
    <row r="395" spans="1:61" ht="24" customHeight="1">
      <c r="A395" s="215"/>
      <c r="B395" s="215"/>
      <c r="C395" s="229"/>
      <c r="D395" s="213"/>
      <c r="E395" s="213"/>
      <c r="F395" s="213"/>
      <c r="G395" s="213"/>
      <c r="H395" s="213"/>
      <c r="I395" s="213"/>
      <c r="J395" s="213"/>
      <c r="K395" s="213"/>
      <c r="L395" s="213"/>
      <c r="M395" s="215"/>
      <c r="N395" s="212"/>
      <c r="O395" s="212"/>
      <c r="P395" s="212"/>
      <c r="Q395" s="212"/>
      <c r="R395" s="212"/>
      <c r="S395" s="212"/>
      <c r="T395" s="212"/>
      <c r="U395" s="212"/>
      <c r="V395" s="212"/>
      <c r="W395" s="212"/>
      <c r="X395" s="212"/>
      <c r="Y395" s="212"/>
      <c r="Z395" s="212"/>
      <c r="AA395" s="212"/>
      <c r="AB395" s="212"/>
      <c r="AC395" s="212"/>
      <c r="AD395" s="212"/>
      <c r="AE395" s="212"/>
      <c r="AF395" s="212"/>
      <c r="AG395" s="212"/>
      <c r="AH395" s="212"/>
      <c r="AI395" s="212"/>
      <c r="AJ395" s="212"/>
      <c r="AK395" s="212"/>
      <c r="AL395" s="212"/>
      <c r="AM395" s="212"/>
      <c r="AN395" s="212"/>
      <c r="AO395" s="212"/>
      <c r="AP395" s="212"/>
      <c r="AQ395" s="212"/>
      <c r="AR395" s="212"/>
      <c r="AS395" s="212"/>
      <c r="AT395" s="212"/>
      <c r="AU395" s="212"/>
      <c r="AV395" s="212"/>
      <c r="AW395" s="212"/>
      <c r="AX395" s="212"/>
      <c r="AY395" s="212"/>
      <c r="AZ395" s="212"/>
      <c r="BA395" s="212"/>
      <c r="BB395" s="212"/>
      <c r="BC395" s="212"/>
      <c r="BD395" s="212"/>
      <c r="BE395" s="212"/>
      <c r="BF395" s="212"/>
      <c r="BG395" s="212"/>
      <c r="BH395" s="212"/>
      <c r="BI395" s="212"/>
    </row>
    <row r="396" spans="1:61" ht="24" customHeight="1">
      <c r="A396" s="218" t="s">
        <v>2169</v>
      </c>
      <c r="B396" s="218" t="s">
        <v>1523</v>
      </c>
      <c r="C396" s="228">
        <v>1</v>
      </c>
      <c r="D396" s="213" t="s">
        <v>378</v>
      </c>
      <c r="E396" s="212"/>
      <c r="F396" s="217">
        <f>TRUNC(F397+F398+F399,0)</f>
        <v>0</v>
      </c>
      <c r="G396" s="212"/>
      <c r="H396" s="217">
        <f>TRUNC(H397+H398+H399,0)</f>
        <v>0</v>
      </c>
      <c r="I396" s="212"/>
      <c r="J396" s="217">
        <f>TRUNC(J397+J398+J399,0)</f>
        <v>0</v>
      </c>
      <c r="K396" s="212"/>
      <c r="L396" s="217">
        <f>F396+H396+J396</f>
        <v>0</v>
      </c>
      <c r="M396" s="215" t="s">
        <v>1682</v>
      </c>
      <c r="N396" s="212" t="s">
        <v>68</v>
      </c>
      <c r="O396" s="212" t="s">
        <v>1776</v>
      </c>
      <c r="P396" s="212"/>
      <c r="Q396" s="212"/>
      <c r="R396" s="212"/>
      <c r="S396" s="212"/>
      <c r="T396" s="212"/>
      <c r="U396" s="212"/>
      <c r="V396" s="212"/>
      <c r="W396" s="212"/>
      <c r="X396" s="212"/>
      <c r="Y396" s="212"/>
      <c r="Z396" s="212"/>
      <c r="AA396" s="212"/>
      <c r="AB396" s="212"/>
      <c r="AC396" s="212"/>
      <c r="AD396" s="212"/>
      <c r="AE396" s="212"/>
      <c r="AF396" s="212"/>
      <c r="AG396" s="212"/>
      <c r="AH396" s="212"/>
      <c r="AI396" s="212"/>
      <c r="AJ396" s="212"/>
      <c r="AK396" s="212"/>
      <c r="AL396" s="212"/>
      <c r="AM396" s="212"/>
      <c r="AN396" s="212"/>
      <c r="AO396" s="212"/>
      <c r="AP396" s="212"/>
      <c r="AQ396" s="212"/>
      <c r="AR396" s="212"/>
      <c r="AS396" s="212"/>
      <c r="AT396" s="212"/>
      <c r="AU396" s="212"/>
      <c r="AV396" s="212"/>
      <c r="AW396" s="212"/>
      <c r="AX396" s="212"/>
      <c r="AY396" s="212"/>
      <c r="AZ396" s="212"/>
      <c r="BA396" s="212"/>
      <c r="BB396" s="212"/>
      <c r="BC396" s="212"/>
      <c r="BD396" s="212"/>
      <c r="BE396" s="212"/>
      <c r="BF396" s="212"/>
      <c r="BG396" s="212"/>
      <c r="BH396" s="212"/>
      <c r="BI396" s="212"/>
    </row>
    <row r="397" spans="1:61" ht="24" customHeight="1">
      <c r="A397" s="218" t="s">
        <v>2026</v>
      </c>
      <c r="B397" s="218" t="s">
        <v>1946</v>
      </c>
      <c r="C397" s="229">
        <v>0.313</v>
      </c>
      <c r="D397" s="213" t="s">
        <v>1286</v>
      </c>
      <c r="E397" s="217">
        <v>0</v>
      </c>
      <c r="F397" s="217"/>
      <c r="G397" s="217">
        <f>노임!D13</f>
        <v>0</v>
      </c>
      <c r="H397" s="217">
        <f>TRUNC(G397*C397,0)</f>
        <v>0</v>
      </c>
      <c r="I397" s="217">
        <v>0</v>
      </c>
      <c r="J397" s="217"/>
      <c r="K397" s="217">
        <f>E397+G397+I397</f>
        <v>0</v>
      </c>
      <c r="L397" s="217">
        <f>F397+H397+J397</f>
        <v>0</v>
      </c>
      <c r="M397" s="215" t="s">
        <v>68</v>
      </c>
      <c r="N397" s="212" t="s">
        <v>68</v>
      </c>
      <c r="O397" s="212"/>
      <c r="P397" s="212" t="s">
        <v>1101</v>
      </c>
      <c r="Q397" s="212" t="s">
        <v>68</v>
      </c>
      <c r="R397" s="212" t="s">
        <v>2027</v>
      </c>
      <c r="S397" s="212"/>
      <c r="T397" s="212"/>
      <c r="U397" s="212"/>
      <c r="V397" s="212"/>
      <c r="W397" s="212"/>
      <c r="X397" s="212"/>
      <c r="Y397" s="212"/>
      <c r="Z397" s="212"/>
      <c r="AA397" s="212"/>
      <c r="AB397" s="212"/>
      <c r="AC397" s="212"/>
      <c r="AD397" s="212"/>
      <c r="AE397" s="212"/>
      <c r="AF397" s="212"/>
      <c r="AG397" s="212"/>
      <c r="AH397" s="212"/>
      <c r="AI397" s="212"/>
      <c r="AJ397" s="212"/>
      <c r="AK397" s="212"/>
      <c r="AL397" s="212"/>
      <c r="AM397" s="212"/>
      <c r="AN397" s="212"/>
      <c r="AO397" s="212"/>
      <c r="AP397" s="212"/>
      <c r="AQ397" s="212"/>
      <c r="AR397" s="212"/>
      <c r="AS397" s="212"/>
      <c r="AT397" s="212"/>
      <c r="AU397" s="212"/>
      <c r="AV397" s="212"/>
      <c r="AW397" s="212"/>
      <c r="AX397" s="212"/>
      <c r="AY397" s="212"/>
      <c r="AZ397" s="212"/>
      <c r="BA397" s="212"/>
      <c r="BB397" s="212"/>
      <c r="BC397" s="212"/>
      <c r="BD397" s="212"/>
      <c r="BE397" s="212"/>
      <c r="BF397" s="212"/>
      <c r="BG397" s="212"/>
      <c r="BH397" s="212"/>
      <c r="BI397" s="231" t="str">
        <f>HYPERLINK("#노임!A13","L001010101000024 →")</f>
        <v>L001010101000024 →</v>
      </c>
    </row>
    <row r="398" spans="1:61" ht="24" customHeight="1">
      <c r="A398" s="218" t="s">
        <v>1967</v>
      </c>
      <c r="B398" s="218" t="s">
        <v>1946</v>
      </c>
      <c r="C398" s="229">
        <v>6.4000000000000001E-2</v>
      </c>
      <c r="D398" s="213" t="s">
        <v>1286</v>
      </c>
      <c r="E398" s="217">
        <v>0</v>
      </c>
      <c r="F398" s="217"/>
      <c r="G398" s="217">
        <f>노임!D3</f>
        <v>0</v>
      </c>
      <c r="H398" s="217">
        <f>TRUNC(G398*C398,0)</f>
        <v>0</v>
      </c>
      <c r="I398" s="217">
        <v>0</v>
      </c>
      <c r="J398" s="217"/>
      <c r="K398" s="217">
        <f>E398+G398+I398</f>
        <v>0</v>
      </c>
      <c r="L398" s="217">
        <f>F398+H398+J398</f>
        <v>0</v>
      </c>
      <c r="M398" s="215" t="s">
        <v>68</v>
      </c>
      <c r="N398" s="212" t="s">
        <v>68</v>
      </c>
      <c r="O398" s="212"/>
      <c r="P398" s="212" t="s">
        <v>1104</v>
      </c>
      <c r="Q398" s="212" t="s">
        <v>68</v>
      </c>
      <c r="R398" s="212" t="s">
        <v>1968</v>
      </c>
      <c r="S398" s="212"/>
      <c r="T398" s="212"/>
      <c r="U398" s="212"/>
      <c r="V398" s="212"/>
      <c r="W398" s="212"/>
      <c r="X398" s="212"/>
      <c r="Y398" s="212"/>
      <c r="Z398" s="212"/>
      <c r="AA398" s="220" t="s">
        <v>1955</v>
      </c>
      <c r="AB398" s="212">
        <f>(호표!H397+호표!H398)*0.03</f>
        <v>0</v>
      </c>
      <c r="AC398" s="220" t="s">
        <v>1956</v>
      </c>
      <c r="AD398" s="212">
        <f>$AB398</f>
        <v>0</v>
      </c>
      <c r="AE398" s="212"/>
      <c r="AF398" s="212"/>
      <c r="AG398" s="212"/>
      <c r="AH398" s="212"/>
      <c r="AI398" s="212"/>
      <c r="AJ398" s="212"/>
      <c r="AK398" s="212"/>
      <c r="AL398" s="212"/>
      <c r="AM398" s="212"/>
      <c r="AN398" s="212"/>
      <c r="AO398" s="212"/>
      <c r="AP398" s="212"/>
      <c r="AQ398" s="212"/>
      <c r="AR398" s="212"/>
      <c r="AS398" s="212"/>
      <c r="AT398" s="212"/>
      <c r="AU398" s="212"/>
      <c r="AV398" s="212"/>
      <c r="AW398" s="212"/>
      <c r="AX398" s="212"/>
      <c r="AY398" s="212"/>
      <c r="AZ398" s="212"/>
      <c r="BA398" s="212"/>
      <c r="BB398" s="212"/>
      <c r="BC398" s="212"/>
      <c r="BD398" s="212"/>
      <c r="BE398" s="212"/>
      <c r="BF398" s="212"/>
      <c r="BG398" s="212"/>
      <c r="BH398" s="212"/>
      <c r="BI398" s="231" t="str">
        <f>HYPERLINK("#노임!A3","L001010101000002 →")</f>
        <v>L001010101000002 →</v>
      </c>
    </row>
    <row r="399" spans="1:61" ht="24" customHeight="1">
      <c r="A399" s="218" t="s">
        <v>1948</v>
      </c>
      <c r="B399" s="218" t="s">
        <v>1949</v>
      </c>
      <c r="C399" s="228">
        <v>3</v>
      </c>
      <c r="D399" s="213" t="s">
        <v>1950</v>
      </c>
      <c r="E399" s="213"/>
      <c r="F399" s="217">
        <v>0</v>
      </c>
      <c r="G399" s="213"/>
      <c r="H399" s="217">
        <v>0</v>
      </c>
      <c r="I399" s="213"/>
      <c r="J399" s="217">
        <f>TRUNC(((H397+H398)*0.03),0)</f>
        <v>0</v>
      </c>
      <c r="K399" s="217">
        <f>E399+G399+I399</f>
        <v>0</v>
      </c>
      <c r="L399" s="217">
        <f>F399+H399+J399</f>
        <v>0</v>
      </c>
      <c r="M399" s="215" t="s">
        <v>68</v>
      </c>
      <c r="N399" s="212" t="s">
        <v>68</v>
      </c>
      <c r="O399" s="212"/>
      <c r="P399" s="212" t="s">
        <v>1107</v>
      </c>
      <c r="Q399" s="212" t="s">
        <v>68</v>
      </c>
      <c r="R399" s="212" t="s">
        <v>1121</v>
      </c>
      <c r="S399" s="212"/>
      <c r="T399" s="212"/>
      <c r="U399" s="212"/>
      <c r="V399" s="212"/>
      <c r="W399" s="212"/>
      <c r="X399" s="212" t="s">
        <v>2170</v>
      </c>
      <c r="Y399" s="212"/>
      <c r="Z399" s="212"/>
      <c r="AA399" s="212"/>
      <c r="AB399" s="212"/>
      <c r="AC399" s="212"/>
      <c r="AD399" s="212"/>
      <c r="AE399" s="212"/>
      <c r="AF399" s="212"/>
      <c r="AG399" s="212"/>
      <c r="AH399" s="212"/>
      <c r="AI399" s="212"/>
      <c r="AJ399" s="212"/>
      <c r="AK399" s="212"/>
      <c r="AL399" s="212"/>
      <c r="AM399" s="212"/>
      <c r="AN399" s="212"/>
      <c r="AO399" s="212"/>
      <c r="AP399" s="212"/>
      <c r="AQ399" s="212"/>
      <c r="AR399" s="212"/>
      <c r="AS399" s="212"/>
      <c r="AT399" s="212"/>
      <c r="AU399" s="212"/>
      <c r="AV399" s="212"/>
      <c r="AW399" s="212"/>
      <c r="AX399" s="212"/>
      <c r="AY399" s="212"/>
      <c r="AZ399" s="212"/>
      <c r="BA399" s="212"/>
      <c r="BB399" s="212"/>
      <c r="BC399" s="212"/>
      <c r="BD399" s="212"/>
      <c r="BE399" s="212"/>
      <c r="BF399" s="212"/>
      <c r="BG399" s="212"/>
      <c r="BH399" s="212"/>
      <c r="BI399" s="212"/>
    </row>
    <row r="400" spans="1:61" ht="24" customHeight="1">
      <c r="A400" s="215"/>
      <c r="B400" s="215"/>
      <c r="C400" s="229"/>
      <c r="D400" s="213"/>
      <c r="E400" s="213"/>
      <c r="F400" s="213"/>
      <c r="G400" s="213"/>
      <c r="H400" s="213"/>
      <c r="I400" s="213"/>
      <c r="J400" s="213"/>
      <c r="K400" s="213"/>
      <c r="L400" s="213"/>
      <c r="M400" s="215"/>
      <c r="N400" s="212"/>
      <c r="O400" s="212"/>
      <c r="P400" s="212"/>
      <c r="Q400" s="212"/>
      <c r="R400" s="212"/>
      <c r="S400" s="212"/>
      <c r="T400" s="212"/>
      <c r="U400" s="212"/>
      <c r="V400" s="212"/>
      <c r="W400" s="212"/>
      <c r="X400" s="212"/>
      <c r="Y400" s="212"/>
      <c r="Z400" s="212"/>
      <c r="AA400" s="212"/>
      <c r="AB400" s="212"/>
      <c r="AC400" s="212"/>
      <c r="AD400" s="212"/>
      <c r="AE400" s="212"/>
      <c r="AF400" s="212"/>
      <c r="AG400" s="212"/>
      <c r="AH400" s="212"/>
      <c r="AI400" s="212"/>
      <c r="AJ400" s="212"/>
      <c r="AK400" s="212"/>
      <c r="AL400" s="212"/>
      <c r="AM400" s="212"/>
      <c r="AN400" s="212"/>
      <c r="AO400" s="212"/>
      <c r="AP400" s="212"/>
      <c r="AQ400" s="212"/>
      <c r="AR400" s="212"/>
      <c r="AS400" s="212"/>
      <c r="AT400" s="212"/>
      <c r="AU400" s="212"/>
      <c r="AV400" s="212"/>
      <c r="AW400" s="212"/>
      <c r="AX400" s="212"/>
      <c r="AY400" s="212"/>
      <c r="AZ400" s="212"/>
      <c r="BA400" s="212"/>
      <c r="BB400" s="212"/>
      <c r="BC400" s="212"/>
      <c r="BD400" s="212"/>
      <c r="BE400" s="212"/>
      <c r="BF400" s="212"/>
      <c r="BG400" s="212"/>
      <c r="BH400" s="212"/>
      <c r="BI400" s="212"/>
    </row>
    <row r="401" spans="1:61" ht="24" customHeight="1">
      <c r="A401" s="218" t="s">
        <v>2171</v>
      </c>
      <c r="B401" s="218" t="s">
        <v>1264</v>
      </c>
      <c r="C401" s="228">
        <v>1</v>
      </c>
      <c r="D401" s="213" t="s">
        <v>9</v>
      </c>
      <c r="E401" s="212"/>
      <c r="F401" s="217">
        <f>TRUNC(F402,0)</f>
        <v>0</v>
      </c>
      <c r="G401" s="212"/>
      <c r="H401" s="217">
        <f>TRUNC(H402,0)</f>
        <v>0</v>
      </c>
      <c r="I401" s="212"/>
      <c r="J401" s="217">
        <f>TRUNC(J402,0)</f>
        <v>0</v>
      </c>
      <c r="K401" s="212"/>
      <c r="L401" s="217">
        <f>F401+H401+J401</f>
        <v>0</v>
      </c>
      <c r="M401" s="215" t="s">
        <v>1778</v>
      </c>
      <c r="N401" s="212" t="s">
        <v>68</v>
      </c>
      <c r="O401" s="212" t="s">
        <v>1265</v>
      </c>
      <c r="P401" s="212"/>
      <c r="Q401" s="212"/>
      <c r="R401" s="212"/>
      <c r="S401" s="212"/>
      <c r="T401" s="212"/>
      <c r="U401" s="212"/>
      <c r="V401" s="212"/>
      <c r="W401" s="212"/>
      <c r="X401" s="212"/>
      <c r="Y401" s="212"/>
      <c r="Z401" s="212"/>
      <c r="AA401" s="212"/>
      <c r="AB401" s="212"/>
      <c r="AC401" s="212"/>
      <c r="AD401" s="212"/>
      <c r="AE401" s="212"/>
      <c r="AF401" s="212"/>
      <c r="AG401" s="212"/>
      <c r="AH401" s="212"/>
      <c r="AI401" s="212"/>
      <c r="AJ401" s="212"/>
      <c r="AK401" s="212"/>
      <c r="AL401" s="212"/>
      <c r="AM401" s="212"/>
      <c r="AN401" s="212"/>
      <c r="AO401" s="212"/>
      <c r="AP401" s="212"/>
      <c r="AQ401" s="212"/>
      <c r="AR401" s="212"/>
      <c r="AS401" s="212"/>
      <c r="AT401" s="212"/>
      <c r="AU401" s="212"/>
      <c r="AV401" s="212"/>
      <c r="AW401" s="212"/>
      <c r="AX401" s="212"/>
      <c r="AY401" s="212"/>
      <c r="AZ401" s="212"/>
      <c r="BA401" s="212"/>
      <c r="BB401" s="212"/>
      <c r="BC401" s="212"/>
      <c r="BD401" s="212"/>
      <c r="BE401" s="212"/>
      <c r="BF401" s="212"/>
      <c r="BG401" s="212"/>
      <c r="BH401" s="212"/>
      <c r="BI401" s="212"/>
    </row>
    <row r="402" spans="1:61" ht="24" customHeight="1">
      <c r="A402" s="218" t="s">
        <v>2121</v>
      </c>
      <c r="B402" s="218" t="s">
        <v>1946</v>
      </c>
      <c r="C402" s="229">
        <v>5.0000000000000001E-3</v>
      </c>
      <c r="D402" s="213" t="s">
        <v>1286</v>
      </c>
      <c r="E402" s="217">
        <v>0</v>
      </c>
      <c r="F402" s="217"/>
      <c r="G402" s="217">
        <f>노임!D12</f>
        <v>0</v>
      </c>
      <c r="H402" s="217">
        <f>TRUNC(G402*C402,0)</f>
        <v>0</v>
      </c>
      <c r="I402" s="217">
        <v>0</v>
      </c>
      <c r="J402" s="217"/>
      <c r="K402" s="217">
        <f>E402+G402+I402</f>
        <v>0</v>
      </c>
      <c r="L402" s="217">
        <f>F402+H402+J402</f>
        <v>0</v>
      </c>
      <c r="M402" s="215" t="s">
        <v>68</v>
      </c>
      <c r="N402" s="212" t="s">
        <v>68</v>
      </c>
      <c r="O402" s="212"/>
      <c r="P402" s="212" t="s">
        <v>1095</v>
      </c>
      <c r="Q402" s="212" t="s">
        <v>68</v>
      </c>
      <c r="R402" s="212" t="s">
        <v>2122</v>
      </c>
      <c r="S402" s="212"/>
      <c r="T402" s="212"/>
      <c r="U402" s="212"/>
      <c r="V402" s="212"/>
      <c r="W402" s="212"/>
      <c r="X402" s="212"/>
      <c r="Y402" s="212"/>
      <c r="Z402" s="212"/>
      <c r="AA402" s="212"/>
      <c r="AB402" s="212"/>
      <c r="AC402" s="212"/>
      <c r="AD402" s="212"/>
      <c r="AE402" s="212"/>
      <c r="AF402" s="212"/>
      <c r="AG402" s="212"/>
      <c r="AH402" s="212"/>
      <c r="AI402" s="212"/>
      <c r="AJ402" s="212"/>
      <c r="AK402" s="212"/>
      <c r="AL402" s="212"/>
      <c r="AM402" s="212"/>
      <c r="AN402" s="212"/>
      <c r="AO402" s="212"/>
      <c r="AP402" s="212"/>
      <c r="AQ402" s="212"/>
      <c r="AR402" s="212"/>
      <c r="AS402" s="212"/>
      <c r="AT402" s="212"/>
      <c r="AU402" s="212"/>
      <c r="AV402" s="212"/>
      <c r="AW402" s="212"/>
      <c r="AX402" s="212"/>
      <c r="AY402" s="212"/>
      <c r="AZ402" s="212"/>
      <c r="BA402" s="212"/>
      <c r="BB402" s="212"/>
      <c r="BC402" s="212"/>
      <c r="BD402" s="212"/>
      <c r="BE402" s="212"/>
      <c r="BF402" s="212"/>
      <c r="BG402" s="212"/>
      <c r="BH402" s="212"/>
      <c r="BI402" s="231" t="str">
        <f>HYPERLINK("#노임!A12","L001010101000023 →")</f>
        <v>L001010101000023 →</v>
      </c>
    </row>
    <row r="403" spans="1:61" ht="24" customHeight="1">
      <c r="A403" s="215"/>
      <c r="B403" s="215"/>
      <c r="C403" s="229"/>
      <c r="D403" s="213"/>
      <c r="E403" s="213"/>
      <c r="F403" s="213"/>
      <c r="G403" s="213"/>
      <c r="H403" s="213"/>
      <c r="I403" s="213"/>
      <c r="J403" s="213"/>
      <c r="K403" s="213"/>
      <c r="L403" s="213"/>
      <c r="M403" s="215"/>
      <c r="N403" s="212"/>
      <c r="O403" s="212"/>
      <c r="P403" s="212"/>
      <c r="Q403" s="212"/>
      <c r="R403" s="212"/>
      <c r="S403" s="212"/>
      <c r="T403" s="212"/>
      <c r="U403" s="212"/>
      <c r="V403" s="212"/>
      <c r="W403" s="212"/>
      <c r="X403" s="212"/>
      <c r="Y403" s="212"/>
      <c r="Z403" s="212"/>
      <c r="AA403" s="212"/>
      <c r="AB403" s="212"/>
      <c r="AC403" s="212"/>
      <c r="AD403" s="212"/>
      <c r="AE403" s="212"/>
      <c r="AF403" s="212"/>
      <c r="AG403" s="212"/>
      <c r="AH403" s="212"/>
      <c r="AI403" s="212"/>
      <c r="AJ403" s="212"/>
      <c r="AK403" s="212"/>
      <c r="AL403" s="212"/>
      <c r="AM403" s="212"/>
      <c r="AN403" s="212"/>
      <c r="AO403" s="212"/>
      <c r="AP403" s="212"/>
      <c r="AQ403" s="212"/>
      <c r="AR403" s="212"/>
      <c r="AS403" s="212"/>
      <c r="AT403" s="212"/>
      <c r="AU403" s="212"/>
      <c r="AV403" s="212"/>
      <c r="AW403" s="212"/>
      <c r="AX403" s="212"/>
      <c r="AY403" s="212"/>
      <c r="AZ403" s="212"/>
      <c r="BA403" s="212"/>
      <c r="BB403" s="212"/>
      <c r="BC403" s="212"/>
      <c r="BD403" s="212"/>
      <c r="BE403" s="212"/>
      <c r="BF403" s="212"/>
      <c r="BG403" s="212"/>
      <c r="BH403" s="212"/>
      <c r="BI403" s="212"/>
    </row>
    <row r="404" spans="1:61" ht="24" customHeight="1">
      <c r="A404" s="218" t="s">
        <v>2172</v>
      </c>
      <c r="B404" s="218" t="s">
        <v>1266</v>
      </c>
      <c r="C404" s="228">
        <v>1</v>
      </c>
      <c r="D404" s="213" t="s">
        <v>9</v>
      </c>
      <c r="E404" s="212"/>
      <c r="F404" s="217">
        <f>TRUNC(F405,0)</f>
        <v>0</v>
      </c>
      <c r="G404" s="212"/>
      <c r="H404" s="217">
        <f>TRUNC(H405,0)</f>
        <v>0</v>
      </c>
      <c r="I404" s="212"/>
      <c r="J404" s="217">
        <f>TRUNC(J405,0)</f>
        <v>0</v>
      </c>
      <c r="K404" s="212"/>
      <c r="L404" s="217">
        <f>F404+H404+J404</f>
        <v>0</v>
      </c>
      <c r="M404" s="215" t="s">
        <v>1780</v>
      </c>
      <c r="N404" s="212" t="s">
        <v>68</v>
      </c>
      <c r="O404" s="212" t="s">
        <v>1267</v>
      </c>
      <c r="P404" s="212"/>
      <c r="Q404" s="212"/>
      <c r="R404" s="212"/>
      <c r="S404" s="212"/>
      <c r="T404" s="212"/>
      <c r="U404" s="212"/>
      <c r="V404" s="212"/>
      <c r="W404" s="212"/>
      <c r="X404" s="212"/>
      <c r="Y404" s="212"/>
      <c r="Z404" s="212"/>
      <c r="AA404" s="212"/>
      <c r="AB404" s="212"/>
      <c r="AC404" s="212"/>
      <c r="AD404" s="212"/>
      <c r="AE404" s="212"/>
      <c r="AF404" s="212"/>
      <c r="AG404" s="212"/>
      <c r="AH404" s="212"/>
      <c r="AI404" s="212"/>
      <c r="AJ404" s="212"/>
      <c r="AK404" s="212"/>
      <c r="AL404" s="212"/>
      <c r="AM404" s="212"/>
      <c r="AN404" s="212"/>
      <c r="AO404" s="212"/>
      <c r="AP404" s="212"/>
      <c r="AQ404" s="212"/>
      <c r="AR404" s="212"/>
      <c r="AS404" s="212"/>
      <c r="AT404" s="212"/>
      <c r="AU404" s="212"/>
      <c r="AV404" s="212"/>
      <c r="AW404" s="212"/>
      <c r="AX404" s="212"/>
      <c r="AY404" s="212"/>
      <c r="AZ404" s="212"/>
      <c r="BA404" s="212"/>
      <c r="BB404" s="212"/>
      <c r="BC404" s="212"/>
      <c r="BD404" s="212"/>
      <c r="BE404" s="212"/>
      <c r="BF404" s="212"/>
      <c r="BG404" s="212"/>
      <c r="BH404" s="212"/>
      <c r="BI404" s="212"/>
    </row>
    <row r="405" spans="1:61" ht="24" customHeight="1">
      <c r="A405" s="218" t="s">
        <v>1967</v>
      </c>
      <c r="B405" s="218" t="s">
        <v>1946</v>
      </c>
      <c r="C405" s="229">
        <v>0.04</v>
      </c>
      <c r="D405" s="213" t="s">
        <v>1286</v>
      </c>
      <c r="E405" s="217">
        <v>0</v>
      </c>
      <c r="F405" s="217"/>
      <c r="G405" s="217">
        <f>노임!D3</f>
        <v>0</v>
      </c>
      <c r="H405" s="217">
        <f>TRUNC(G405*C405,0)</f>
        <v>0</v>
      </c>
      <c r="I405" s="217">
        <v>0</v>
      </c>
      <c r="J405" s="217"/>
      <c r="K405" s="217">
        <f>E405+G405+I405</f>
        <v>0</v>
      </c>
      <c r="L405" s="217">
        <f>F405+H405+J405</f>
        <v>0</v>
      </c>
      <c r="M405" s="215" t="s">
        <v>68</v>
      </c>
      <c r="N405" s="212" t="s">
        <v>68</v>
      </c>
      <c r="O405" s="212"/>
      <c r="P405" s="212" t="s">
        <v>1095</v>
      </c>
      <c r="Q405" s="212" t="s">
        <v>68</v>
      </c>
      <c r="R405" s="212" t="s">
        <v>1968</v>
      </c>
      <c r="S405" s="212"/>
      <c r="T405" s="212"/>
      <c r="U405" s="212"/>
      <c r="V405" s="212"/>
      <c r="W405" s="212"/>
      <c r="X405" s="212"/>
      <c r="Y405" s="212"/>
      <c r="Z405" s="212"/>
      <c r="AA405" s="212"/>
      <c r="AB405" s="212"/>
      <c r="AC405" s="212"/>
      <c r="AD405" s="212"/>
      <c r="AE405" s="212"/>
      <c r="AF405" s="212"/>
      <c r="AG405" s="212"/>
      <c r="AH405" s="212"/>
      <c r="AI405" s="212"/>
      <c r="AJ405" s="212"/>
      <c r="AK405" s="212"/>
      <c r="AL405" s="212"/>
      <c r="AM405" s="212"/>
      <c r="AN405" s="212"/>
      <c r="AO405" s="212"/>
      <c r="AP405" s="212"/>
      <c r="AQ405" s="212"/>
      <c r="AR405" s="212"/>
      <c r="AS405" s="212"/>
      <c r="AT405" s="212"/>
      <c r="AU405" s="212"/>
      <c r="AV405" s="212"/>
      <c r="AW405" s="212"/>
      <c r="AX405" s="212"/>
      <c r="AY405" s="212"/>
      <c r="AZ405" s="212"/>
      <c r="BA405" s="212"/>
      <c r="BB405" s="212"/>
      <c r="BC405" s="212"/>
      <c r="BD405" s="212"/>
      <c r="BE405" s="212"/>
      <c r="BF405" s="212"/>
      <c r="BG405" s="212"/>
      <c r="BH405" s="212"/>
      <c r="BI405" s="231" t="str">
        <f>HYPERLINK("#노임!A3","L001010101000002 →")</f>
        <v>L001010101000002 →</v>
      </c>
    </row>
    <row r="406" spans="1:61" ht="24" customHeight="1">
      <c r="A406" s="215"/>
      <c r="B406" s="215"/>
      <c r="C406" s="229"/>
      <c r="D406" s="213"/>
      <c r="E406" s="213"/>
      <c r="F406" s="213"/>
      <c r="G406" s="213"/>
      <c r="H406" s="213"/>
      <c r="I406" s="213"/>
      <c r="J406" s="213"/>
      <c r="K406" s="213"/>
      <c r="L406" s="213"/>
      <c r="M406" s="215"/>
      <c r="N406" s="212"/>
      <c r="O406" s="212"/>
      <c r="P406" s="212"/>
      <c r="Q406" s="212"/>
      <c r="R406" s="212"/>
      <c r="S406" s="212"/>
      <c r="T406" s="212"/>
      <c r="U406" s="212"/>
      <c r="V406" s="212"/>
      <c r="W406" s="212"/>
      <c r="X406" s="212"/>
      <c r="Y406" s="212"/>
      <c r="Z406" s="212"/>
      <c r="AA406" s="212"/>
      <c r="AB406" s="212"/>
      <c r="AC406" s="212"/>
      <c r="AD406" s="212"/>
      <c r="AE406" s="212"/>
      <c r="AF406" s="212"/>
      <c r="AG406" s="212"/>
      <c r="AH406" s="212"/>
      <c r="AI406" s="212"/>
      <c r="AJ406" s="212"/>
      <c r="AK406" s="212"/>
      <c r="AL406" s="212"/>
      <c r="AM406" s="212"/>
      <c r="AN406" s="212"/>
      <c r="AO406" s="212"/>
      <c r="AP406" s="212"/>
      <c r="AQ406" s="212"/>
      <c r="AR406" s="212"/>
      <c r="AS406" s="212"/>
      <c r="AT406" s="212"/>
      <c r="AU406" s="212"/>
      <c r="AV406" s="212"/>
      <c r="AW406" s="212"/>
      <c r="AX406" s="212"/>
      <c r="AY406" s="212"/>
      <c r="AZ406" s="212"/>
      <c r="BA406" s="212"/>
      <c r="BB406" s="212"/>
      <c r="BC406" s="212"/>
      <c r="BD406" s="212"/>
      <c r="BE406" s="212"/>
      <c r="BF406" s="212"/>
      <c r="BG406" s="212"/>
      <c r="BH406" s="212"/>
      <c r="BI406" s="212"/>
    </row>
    <row r="407" spans="1:61" ht="24" customHeight="1">
      <c r="A407" s="218" t="s">
        <v>2173</v>
      </c>
      <c r="B407" s="218" t="s">
        <v>1268</v>
      </c>
      <c r="C407" s="228">
        <v>1</v>
      </c>
      <c r="D407" s="213" t="s">
        <v>9</v>
      </c>
      <c r="E407" s="212"/>
      <c r="F407" s="217">
        <f>TRUNC(F408+F409,0)</f>
        <v>0</v>
      </c>
      <c r="G407" s="212"/>
      <c r="H407" s="217">
        <f>TRUNC(H408+H409,0)</f>
        <v>0</v>
      </c>
      <c r="I407" s="212"/>
      <c r="J407" s="217">
        <f>TRUNC(J408+J409,0)</f>
        <v>0</v>
      </c>
      <c r="K407" s="212"/>
      <c r="L407" s="217">
        <f>F407+H407+J407</f>
        <v>0</v>
      </c>
      <c r="M407" s="215" t="s">
        <v>1782</v>
      </c>
      <c r="N407" s="212" t="s">
        <v>68</v>
      </c>
      <c r="O407" s="212" t="s">
        <v>1269</v>
      </c>
      <c r="P407" s="212"/>
      <c r="Q407" s="212"/>
      <c r="R407" s="212"/>
      <c r="S407" s="212"/>
      <c r="T407" s="212"/>
      <c r="U407" s="212"/>
      <c r="V407" s="212"/>
      <c r="W407" s="212"/>
      <c r="X407" s="212"/>
      <c r="Y407" s="212"/>
      <c r="Z407" s="212"/>
      <c r="AA407" s="212"/>
      <c r="AB407" s="212"/>
      <c r="AC407" s="212"/>
      <c r="AD407" s="212"/>
      <c r="AE407" s="212"/>
      <c r="AF407" s="212"/>
      <c r="AG407" s="212"/>
      <c r="AH407" s="212"/>
      <c r="AI407" s="212"/>
      <c r="AJ407" s="212"/>
      <c r="AK407" s="212"/>
      <c r="AL407" s="212"/>
      <c r="AM407" s="212"/>
      <c r="AN407" s="212"/>
      <c r="AO407" s="212"/>
      <c r="AP407" s="212"/>
      <c r="AQ407" s="212"/>
      <c r="AR407" s="212"/>
      <c r="AS407" s="212"/>
      <c r="AT407" s="212"/>
      <c r="AU407" s="212"/>
      <c r="AV407" s="212"/>
      <c r="AW407" s="212"/>
      <c r="AX407" s="212"/>
      <c r="AY407" s="212"/>
      <c r="AZ407" s="212"/>
      <c r="BA407" s="212"/>
      <c r="BB407" s="212"/>
      <c r="BC407" s="212"/>
      <c r="BD407" s="212"/>
      <c r="BE407" s="212"/>
      <c r="BF407" s="212"/>
      <c r="BG407" s="212"/>
      <c r="BH407" s="212"/>
      <c r="BI407" s="212"/>
    </row>
    <row r="408" spans="1:61" ht="24" customHeight="1">
      <c r="A408" s="218" t="s">
        <v>2174</v>
      </c>
      <c r="B408" s="218" t="s">
        <v>2175</v>
      </c>
      <c r="C408" s="229">
        <v>1.2</v>
      </c>
      <c r="D408" s="213" t="s">
        <v>2055</v>
      </c>
      <c r="E408" s="217">
        <f>자재조서!E30</f>
        <v>0</v>
      </c>
      <c r="F408" s="217">
        <f>TRUNC(E408*C408,0)</f>
        <v>0</v>
      </c>
      <c r="G408" s="217">
        <v>0</v>
      </c>
      <c r="H408" s="217"/>
      <c r="I408" s="217">
        <v>0</v>
      </c>
      <c r="J408" s="217"/>
      <c r="K408" s="217">
        <f>E408+G408+I408</f>
        <v>0</v>
      </c>
      <c r="L408" s="217">
        <f>F408+H408+J408</f>
        <v>0</v>
      </c>
      <c r="M408" s="215" t="s">
        <v>68</v>
      </c>
      <c r="N408" s="212" t="s">
        <v>68</v>
      </c>
      <c r="O408" s="212"/>
      <c r="P408" s="212" t="s">
        <v>1095</v>
      </c>
      <c r="Q408" s="212" t="s">
        <v>68</v>
      </c>
      <c r="R408" s="212" t="s">
        <v>2176</v>
      </c>
      <c r="S408" s="212"/>
      <c r="T408" s="212"/>
      <c r="U408" s="212"/>
      <c r="V408" s="212"/>
      <c r="W408" s="212"/>
      <c r="X408" s="212"/>
      <c r="Y408" s="212"/>
      <c r="Z408" s="212"/>
      <c r="AA408" s="212"/>
      <c r="AB408" s="212"/>
      <c r="AC408" s="212"/>
      <c r="AD408" s="212"/>
      <c r="AE408" s="212"/>
      <c r="AF408" s="212"/>
      <c r="AG408" s="212"/>
      <c r="AH408" s="212"/>
      <c r="AI408" s="212"/>
      <c r="AJ408" s="212"/>
      <c r="AK408" s="212"/>
      <c r="AL408" s="212"/>
      <c r="AM408" s="212"/>
      <c r="AN408" s="212"/>
      <c r="AO408" s="212"/>
      <c r="AP408" s="212"/>
      <c r="AQ408" s="212"/>
      <c r="AR408" s="212"/>
      <c r="AS408" s="212"/>
      <c r="AT408" s="212"/>
      <c r="AU408" s="212"/>
      <c r="AV408" s="212"/>
      <c r="AW408" s="212"/>
      <c r="AX408" s="212"/>
      <c r="AY408" s="212"/>
      <c r="AZ408" s="212"/>
      <c r="BA408" s="212"/>
      <c r="BB408" s="212"/>
      <c r="BC408" s="212"/>
      <c r="BD408" s="212"/>
      <c r="BE408" s="212"/>
      <c r="BF408" s="212"/>
      <c r="BG408" s="212"/>
      <c r="BH408" s="212"/>
      <c r="BI408" s="231" t="str">
        <f>HYPERLINK("#자재조서!A30","M9247008 →")</f>
        <v>M9247008 →</v>
      </c>
    </row>
    <row r="409" spans="1:61" ht="24" customHeight="1">
      <c r="A409" s="218" t="s">
        <v>1967</v>
      </c>
      <c r="B409" s="218" t="s">
        <v>1946</v>
      </c>
      <c r="C409" s="229">
        <v>3.0000000000000001E-3</v>
      </c>
      <c r="D409" s="213" t="s">
        <v>1286</v>
      </c>
      <c r="E409" s="217">
        <v>0</v>
      </c>
      <c r="F409" s="217"/>
      <c r="G409" s="217">
        <f>노임!D3</f>
        <v>0</v>
      </c>
      <c r="H409" s="217">
        <f>TRUNC(G409*C409,0)</f>
        <v>0</v>
      </c>
      <c r="I409" s="217">
        <v>0</v>
      </c>
      <c r="J409" s="217"/>
      <c r="K409" s="217">
        <f>E409+G409+I409</f>
        <v>0</v>
      </c>
      <c r="L409" s="217">
        <f>F409+H409+J409</f>
        <v>0</v>
      </c>
      <c r="M409" s="215" t="s">
        <v>68</v>
      </c>
      <c r="N409" s="212" t="s">
        <v>68</v>
      </c>
      <c r="O409" s="212"/>
      <c r="P409" s="212" t="s">
        <v>1098</v>
      </c>
      <c r="Q409" s="212" t="s">
        <v>68</v>
      </c>
      <c r="R409" s="212" t="s">
        <v>1968</v>
      </c>
      <c r="S409" s="212"/>
      <c r="T409" s="212"/>
      <c r="U409" s="212"/>
      <c r="V409" s="212"/>
      <c r="W409" s="212"/>
      <c r="X409" s="212"/>
      <c r="Y409" s="212"/>
      <c r="Z409" s="212"/>
      <c r="AA409" s="212"/>
      <c r="AB409" s="212"/>
      <c r="AC409" s="212"/>
      <c r="AD409" s="212"/>
      <c r="AE409" s="212"/>
      <c r="AF409" s="212"/>
      <c r="AG409" s="212"/>
      <c r="AH409" s="212"/>
      <c r="AI409" s="212"/>
      <c r="AJ409" s="212"/>
      <c r="AK409" s="212"/>
      <c r="AL409" s="212"/>
      <c r="AM409" s="212"/>
      <c r="AN409" s="212"/>
      <c r="AO409" s="212"/>
      <c r="AP409" s="212"/>
      <c r="AQ409" s="212"/>
      <c r="AR409" s="212"/>
      <c r="AS409" s="212"/>
      <c r="AT409" s="212"/>
      <c r="AU409" s="212"/>
      <c r="AV409" s="212"/>
      <c r="AW409" s="212"/>
      <c r="AX409" s="212"/>
      <c r="AY409" s="212"/>
      <c r="AZ409" s="212"/>
      <c r="BA409" s="212"/>
      <c r="BB409" s="212"/>
      <c r="BC409" s="212"/>
      <c r="BD409" s="212"/>
      <c r="BE409" s="212"/>
      <c r="BF409" s="212"/>
      <c r="BG409" s="212"/>
      <c r="BH409" s="212"/>
      <c r="BI409" s="231" t="str">
        <f>HYPERLINK("#노임!A3","L001010101000002 →")</f>
        <v>L001010101000002 →</v>
      </c>
    </row>
    <row r="410" spans="1:61" ht="24" customHeight="1">
      <c r="A410" s="215"/>
      <c r="B410" s="215"/>
      <c r="C410" s="229"/>
      <c r="D410" s="213"/>
      <c r="E410" s="213"/>
      <c r="F410" s="213"/>
      <c r="G410" s="213"/>
      <c r="H410" s="213"/>
      <c r="I410" s="213"/>
      <c r="J410" s="213"/>
      <c r="K410" s="213"/>
      <c r="L410" s="213"/>
      <c r="M410" s="215"/>
      <c r="N410" s="212"/>
      <c r="O410" s="212"/>
      <c r="P410" s="212"/>
      <c r="Q410" s="212"/>
      <c r="R410" s="212"/>
      <c r="S410" s="212"/>
      <c r="T410" s="212"/>
      <c r="U410" s="212"/>
      <c r="V410" s="212"/>
      <c r="W410" s="212"/>
      <c r="X410" s="212"/>
      <c r="Y410" s="212"/>
      <c r="Z410" s="212"/>
      <c r="AA410" s="212"/>
      <c r="AB410" s="212"/>
      <c r="AC410" s="212"/>
      <c r="AD410" s="212"/>
      <c r="AE410" s="212"/>
      <c r="AF410" s="212"/>
      <c r="AG410" s="212"/>
      <c r="AH410" s="212"/>
      <c r="AI410" s="212"/>
      <c r="AJ410" s="212"/>
      <c r="AK410" s="212"/>
      <c r="AL410" s="212"/>
      <c r="AM410" s="212"/>
      <c r="AN410" s="212"/>
      <c r="AO410" s="212"/>
      <c r="AP410" s="212"/>
      <c r="AQ410" s="212"/>
      <c r="AR410" s="212"/>
      <c r="AS410" s="212"/>
      <c r="AT410" s="212"/>
      <c r="AU410" s="212"/>
      <c r="AV410" s="212"/>
      <c r="AW410" s="212"/>
      <c r="AX410" s="212"/>
      <c r="AY410" s="212"/>
      <c r="AZ410" s="212"/>
      <c r="BA410" s="212"/>
      <c r="BB410" s="212"/>
      <c r="BC410" s="212"/>
      <c r="BD410" s="212"/>
      <c r="BE410" s="212"/>
      <c r="BF410" s="212"/>
      <c r="BG410" s="212"/>
      <c r="BH410" s="212"/>
      <c r="BI410" s="212"/>
    </row>
    <row r="411" spans="1:61" ht="24" customHeight="1">
      <c r="A411" s="218" t="s">
        <v>2177</v>
      </c>
      <c r="B411" s="218" t="s">
        <v>1270</v>
      </c>
      <c r="C411" s="228">
        <v>1</v>
      </c>
      <c r="D411" s="213" t="s">
        <v>9</v>
      </c>
      <c r="E411" s="212"/>
      <c r="F411" s="217">
        <f>TRUNC(F412,0)</f>
        <v>0</v>
      </c>
      <c r="G411" s="212"/>
      <c r="H411" s="217">
        <f>TRUNC(H412,0)</f>
        <v>0</v>
      </c>
      <c r="I411" s="212"/>
      <c r="J411" s="217">
        <f>TRUNC(J412,0)</f>
        <v>0</v>
      </c>
      <c r="K411" s="212"/>
      <c r="L411" s="217">
        <f>F411+H411+J411</f>
        <v>0</v>
      </c>
      <c r="M411" s="215" t="s">
        <v>1784</v>
      </c>
      <c r="N411" s="212" t="s">
        <v>68</v>
      </c>
      <c r="O411" s="212" t="s">
        <v>1271</v>
      </c>
      <c r="P411" s="212"/>
      <c r="Q411" s="212"/>
      <c r="R411" s="212"/>
      <c r="S411" s="212"/>
      <c r="T411" s="212"/>
      <c r="U411" s="212"/>
      <c r="V411" s="212"/>
      <c r="W411" s="212"/>
      <c r="X411" s="212"/>
      <c r="Y411" s="212"/>
      <c r="Z411" s="212"/>
      <c r="AA411" s="212"/>
      <c r="AB411" s="212"/>
      <c r="AC411" s="212"/>
      <c r="AD411" s="212"/>
      <c r="AE411" s="212"/>
      <c r="AF411" s="212"/>
      <c r="AG411" s="212"/>
      <c r="AH411" s="212"/>
      <c r="AI411" s="212"/>
      <c r="AJ411" s="212"/>
      <c r="AK411" s="212"/>
      <c r="AL411" s="212"/>
      <c r="AM411" s="212"/>
      <c r="AN411" s="212"/>
      <c r="AO411" s="212"/>
      <c r="AP411" s="212"/>
      <c r="AQ411" s="212"/>
      <c r="AR411" s="212"/>
      <c r="AS411" s="212"/>
      <c r="AT411" s="212"/>
      <c r="AU411" s="212"/>
      <c r="AV411" s="212"/>
      <c r="AW411" s="212"/>
      <c r="AX411" s="212"/>
      <c r="AY411" s="212"/>
      <c r="AZ411" s="212"/>
      <c r="BA411" s="212"/>
      <c r="BB411" s="212"/>
      <c r="BC411" s="212"/>
      <c r="BD411" s="212"/>
      <c r="BE411" s="212"/>
      <c r="BF411" s="212"/>
      <c r="BG411" s="212"/>
      <c r="BH411" s="212"/>
      <c r="BI411" s="212"/>
    </row>
    <row r="412" spans="1:61" ht="24" customHeight="1">
      <c r="A412" s="218" t="s">
        <v>1967</v>
      </c>
      <c r="B412" s="218" t="s">
        <v>1946</v>
      </c>
      <c r="C412" s="229">
        <v>0.02</v>
      </c>
      <c r="D412" s="213" t="s">
        <v>1286</v>
      </c>
      <c r="E412" s="217">
        <v>0</v>
      </c>
      <c r="F412" s="217"/>
      <c r="G412" s="217">
        <f>노임!D3</f>
        <v>0</v>
      </c>
      <c r="H412" s="217">
        <f>TRUNC(G412*C412,0)</f>
        <v>0</v>
      </c>
      <c r="I412" s="217">
        <v>0</v>
      </c>
      <c r="J412" s="217"/>
      <c r="K412" s="217">
        <f>E412+G412+I412</f>
        <v>0</v>
      </c>
      <c r="L412" s="217">
        <f>F412+H412+J412</f>
        <v>0</v>
      </c>
      <c r="M412" s="215" t="s">
        <v>68</v>
      </c>
      <c r="N412" s="212" t="s">
        <v>68</v>
      </c>
      <c r="O412" s="212"/>
      <c r="P412" s="212" t="s">
        <v>1095</v>
      </c>
      <c r="Q412" s="212" t="s">
        <v>68</v>
      </c>
      <c r="R412" s="212" t="s">
        <v>1968</v>
      </c>
      <c r="S412" s="212"/>
      <c r="T412" s="212"/>
      <c r="U412" s="212"/>
      <c r="V412" s="212"/>
      <c r="W412" s="212"/>
      <c r="X412" s="212"/>
      <c r="Y412" s="212"/>
      <c r="Z412" s="212"/>
      <c r="AA412" s="212"/>
      <c r="AB412" s="212"/>
      <c r="AC412" s="212"/>
      <c r="AD412" s="212"/>
      <c r="AE412" s="212"/>
      <c r="AF412" s="212"/>
      <c r="AG412" s="212"/>
      <c r="AH412" s="212"/>
      <c r="AI412" s="212"/>
      <c r="AJ412" s="212"/>
      <c r="AK412" s="212"/>
      <c r="AL412" s="212"/>
      <c r="AM412" s="212"/>
      <c r="AN412" s="212"/>
      <c r="AO412" s="212"/>
      <c r="AP412" s="212"/>
      <c r="AQ412" s="212"/>
      <c r="AR412" s="212"/>
      <c r="AS412" s="212"/>
      <c r="AT412" s="212"/>
      <c r="AU412" s="212"/>
      <c r="AV412" s="212"/>
      <c r="AW412" s="212"/>
      <c r="AX412" s="212"/>
      <c r="AY412" s="212"/>
      <c r="AZ412" s="212"/>
      <c r="BA412" s="212"/>
      <c r="BB412" s="212"/>
      <c r="BC412" s="212"/>
      <c r="BD412" s="212"/>
      <c r="BE412" s="212"/>
      <c r="BF412" s="212"/>
      <c r="BG412" s="212"/>
      <c r="BH412" s="212"/>
      <c r="BI412" s="231" t="str">
        <f>HYPERLINK("#노임!A3","L001010101000002 →")</f>
        <v>L001010101000002 →</v>
      </c>
    </row>
    <row r="413" spans="1:61" ht="24" customHeight="1">
      <c r="A413" s="215"/>
      <c r="B413" s="215"/>
      <c r="C413" s="229"/>
      <c r="D413" s="213"/>
      <c r="E413" s="213"/>
      <c r="F413" s="213"/>
      <c r="G413" s="213"/>
      <c r="H413" s="213"/>
      <c r="I413" s="213"/>
      <c r="J413" s="213"/>
      <c r="K413" s="213"/>
      <c r="L413" s="213"/>
      <c r="M413" s="215"/>
      <c r="N413" s="212"/>
      <c r="O413" s="212"/>
      <c r="P413" s="212"/>
      <c r="Q413" s="212"/>
      <c r="R413" s="212"/>
      <c r="S413" s="212"/>
      <c r="T413" s="212"/>
      <c r="U413" s="212"/>
      <c r="V413" s="212"/>
      <c r="W413" s="212"/>
      <c r="X413" s="212"/>
      <c r="Y413" s="212"/>
      <c r="Z413" s="212"/>
      <c r="AA413" s="212"/>
      <c r="AB413" s="212"/>
      <c r="AC413" s="212"/>
      <c r="AD413" s="212"/>
      <c r="AE413" s="212"/>
      <c r="AF413" s="212"/>
      <c r="AG413" s="212"/>
      <c r="AH413" s="212"/>
      <c r="AI413" s="212"/>
      <c r="AJ413" s="212"/>
      <c r="AK413" s="212"/>
      <c r="AL413" s="212"/>
      <c r="AM413" s="212"/>
      <c r="AN413" s="212"/>
      <c r="AO413" s="212"/>
      <c r="AP413" s="212"/>
      <c r="AQ413" s="212"/>
      <c r="AR413" s="212"/>
      <c r="AS413" s="212"/>
      <c r="AT413" s="212"/>
      <c r="AU413" s="212"/>
      <c r="AV413" s="212"/>
      <c r="AW413" s="212"/>
      <c r="AX413" s="212"/>
      <c r="AY413" s="212"/>
      <c r="AZ413" s="212"/>
      <c r="BA413" s="212"/>
      <c r="BB413" s="212"/>
      <c r="BC413" s="212"/>
      <c r="BD413" s="212"/>
      <c r="BE413" s="212"/>
      <c r="BF413" s="212"/>
      <c r="BG413" s="212"/>
      <c r="BH413" s="212"/>
      <c r="BI413" s="212"/>
    </row>
    <row r="414" spans="1:61" ht="24" customHeight="1">
      <c r="A414" s="218" t="s">
        <v>2178</v>
      </c>
      <c r="B414" s="218" t="s">
        <v>1273</v>
      </c>
      <c r="C414" s="228">
        <v>1</v>
      </c>
      <c r="D414" s="213" t="s">
        <v>149</v>
      </c>
      <c r="E414" s="212"/>
      <c r="F414" s="217">
        <f>TRUNC(F420+F421+F422+F423,0)</f>
        <v>0</v>
      </c>
      <c r="G414" s="212"/>
      <c r="H414" s="217">
        <f>TRUNC(H420+H421+H422+H423,0)</f>
        <v>0</v>
      </c>
      <c r="I414" s="212"/>
      <c r="J414" s="217">
        <f>TRUNC(J420+J421+J422+J423,0)</f>
        <v>0</v>
      </c>
      <c r="K414" s="212"/>
      <c r="L414" s="217">
        <f t="shared" ref="L414:L423" si="53">F414+H414+J414</f>
        <v>0</v>
      </c>
      <c r="M414" s="215" t="s">
        <v>1786</v>
      </c>
      <c r="N414" s="212" t="s">
        <v>68</v>
      </c>
      <c r="O414" s="212" t="s">
        <v>1274</v>
      </c>
      <c r="P414" s="212"/>
      <c r="Q414" s="212"/>
      <c r="R414" s="212"/>
      <c r="S414" s="212"/>
      <c r="T414" s="212"/>
      <c r="U414" s="212"/>
      <c r="V414" s="212"/>
      <c r="W414" s="212"/>
      <c r="X414" s="212"/>
      <c r="Y414" s="212"/>
      <c r="Z414" s="212"/>
      <c r="AA414" s="212"/>
      <c r="AB414" s="212"/>
      <c r="AC414" s="212"/>
      <c r="AD414" s="212"/>
      <c r="AE414" s="212"/>
      <c r="AF414" s="212"/>
      <c r="AG414" s="212"/>
      <c r="AH414" s="212"/>
      <c r="AI414" s="212"/>
      <c r="AJ414" s="212"/>
      <c r="AK414" s="212"/>
      <c r="AL414" s="212"/>
      <c r="AM414" s="212"/>
      <c r="AN414" s="212"/>
      <c r="AO414" s="212"/>
      <c r="AP414" s="212"/>
      <c r="AQ414" s="212"/>
      <c r="AR414" s="212"/>
      <c r="AS414" s="212"/>
      <c r="AT414" s="212"/>
      <c r="AU414" s="212"/>
      <c r="AV414" s="212"/>
      <c r="AW414" s="212"/>
      <c r="AX414" s="212"/>
      <c r="AY414" s="212"/>
      <c r="AZ414" s="212"/>
      <c r="BA414" s="212"/>
      <c r="BB414" s="212"/>
      <c r="BC414" s="212"/>
      <c r="BD414" s="212"/>
      <c r="BE414" s="212"/>
      <c r="BF414" s="212"/>
      <c r="BG414" s="212"/>
      <c r="BH414" s="212"/>
      <c r="BI414" s="212"/>
    </row>
    <row r="415" spans="1:61" ht="24" customHeight="1">
      <c r="A415" s="218" t="s">
        <v>2179</v>
      </c>
      <c r="B415" s="218" t="s">
        <v>2180</v>
      </c>
      <c r="C415" s="228">
        <v>2</v>
      </c>
      <c r="D415" s="213" t="s">
        <v>1412</v>
      </c>
      <c r="E415" s="217">
        <f>자재조서!E39</f>
        <v>0</v>
      </c>
      <c r="F415" s="217">
        <f>TRUNC(E415*C415,0)</f>
        <v>0</v>
      </c>
      <c r="G415" s="217">
        <v>0</v>
      </c>
      <c r="H415" s="217"/>
      <c r="I415" s="217">
        <v>0</v>
      </c>
      <c r="J415" s="217"/>
      <c r="K415" s="217">
        <f t="shared" ref="K415:K423" si="54">E415+G415+I415</f>
        <v>0</v>
      </c>
      <c r="L415" s="217">
        <f t="shared" si="53"/>
        <v>0</v>
      </c>
      <c r="M415" s="215" t="s">
        <v>68</v>
      </c>
      <c r="N415" s="212" t="s">
        <v>68</v>
      </c>
      <c r="O415" s="212"/>
      <c r="P415" s="212" t="s">
        <v>1095</v>
      </c>
      <c r="Q415" s="212" t="s">
        <v>1105</v>
      </c>
      <c r="R415" s="212" t="s">
        <v>2181</v>
      </c>
      <c r="S415" s="212"/>
      <c r="T415" s="212"/>
      <c r="U415" s="212"/>
      <c r="V415" s="212"/>
      <c r="W415" s="212"/>
      <c r="X415" s="212"/>
      <c r="Y415" s="212"/>
      <c r="Z415" s="212"/>
      <c r="AA415" s="212"/>
      <c r="AB415" s="212"/>
      <c r="AC415" s="212"/>
      <c r="AD415" s="212"/>
      <c r="AE415" s="212"/>
      <c r="AF415" s="212"/>
      <c r="AG415" s="212"/>
      <c r="AH415" s="212"/>
      <c r="AI415" s="212"/>
      <c r="AJ415" s="212"/>
      <c r="AK415" s="212"/>
      <c r="AL415" s="212"/>
      <c r="AM415" s="212"/>
      <c r="AN415" s="212"/>
      <c r="AO415" s="212"/>
      <c r="AP415" s="212"/>
      <c r="AQ415" s="212"/>
      <c r="AR415" s="212"/>
      <c r="AS415" s="212"/>
      <c r="AT415" s="212"/>
      <c r="AU415" s="212"/>
      <c r="AV415" s="212"/>
      <c r="AW415" s="212"/>
      <c r="AX415" s="212"/>
      <c r="AY415" s="212"/>
      <c r="AZ415" s="212"/>
      <c r="BA415" s="212"/>
      <c r="BB415" s="212"/>
      <c r="BC415" s="212"/>
      <c r="BD415" s="212"/>
      <c r="BE415" s="212"/>
      <c r="BF415" s="212"/>
      <c r="BG415" s="212"/>
      <c r="BH415" s="212"/>
      <c r="BI415" s="231" t="str">
        <f>HYPERLINK("#자재조서!A39","MVP3105 →")</f>
        <v>MVP3105 →</v>
      </c>
    </row>
    <row r="416" spans="1:61" ht="24" customHeight="1">
      <c r="A416" s="218" t="s">
        <v>2179</v>
      </c>
      <c r="B416" s="218" t="s">
        <v>2182</v>
      </c>
      <c r="C416" s="228">
        <v>2</v>
      </c>
      <c r="D416" s="213" t="s">
        <v>1412</v>
      </c>
      <c r="E416" s="217">
        <f>자재조서!E36</f>
        <v>0</v>
      </c>
      <c r="F416" s="217">
        <f>TRUNC(E416*C416,0)</f>
        <v>0</v>
      </c>
      <c r="G416" s="217">
        <v>0</v>
      </c>
      <c r="H416" s="217"/>
      <c r="I416" s="217">
        <v>0</v>
      </c>
      <c r="J416" s="217"/>
      <c r="K416" s="217">
        <f t="shared" si="54"/>
        <v>0</v>
      </c>
      <c r="L416" s="217">
        <f t="shared" si="53"/>
        <v>0</v>
      </c>
      <c r="M416" s="215" t="s">
        <v>68</v>
      </c>
      <c r="N416" s="212" t="s">
        <v>68</v>
      </c>
      <c r="O416" s="212"/>
      <c r="P416" s="212" t="s">
        <v>1098</v>
      </c>
      <c r="Q416" s="212" t="s">
        <v>1105</v>
      </c>
      <c r="R416" s="212" t="s">
        <v>2183</v>
      </c>
      <c r="S416" s="212"/>
      <c r="T416" s="212"/>
      <c r="U416" s="212"/>
      <c r="V416" s="212"/>
      <c r="W416" s="212"/>
      <c r="X416" s="212"/>
      <c r="Y416" s="212"/>
      <c r="Z416" s="212"/>
      <c r="AA416" s="212"/>
      <c r="AB416" s="212"/>
      <c r="AC416" s="212"/>
      <c r="AD416" s="212"/>
      <c r="AE416" s="212"/>
      <c r="AF416" s="212"/>
      <c r="AG416" s="212"/>
      <c r="AH416" s="212"/>
      <c r="AI416" s="212"/>
      <c r="AJ416" s="212"/>
      <c r="AK416" s="212"/>
      <c r="AL416" s="212"/>
      <c r="AM416" s="212"/>
      <c r="AN416" s="212"/>
      <c r="AO416" s="212"/>
      <c r="AP416" s="212"/>
      <c r="AQ416" s="212"/>
      <c r="AR416" s="212"/>
      <c r="AS416" s="212"/>
      <c r="AT416" s="212"/>
      <c r="AU416" s="212"/>
      <c r="AV416" s="212"/>
      <c r="AW416" s="212"/>
      <c r="AX416" s="212"/>
      <c r="AY416" s="212"/>
      <c r="AZ416" s="212"/>
      <c r="BA416" s="212"/>
      <c r="BB416" s="212"/>
      <c r="BC416" s="212"/>
      <c r="BD416" s="212"/>
      <c r="BE416" s="212"/>
      <c r="BF416" s="212"/>
      <c r="BG416" s="212"/>
      <c r="BH416" s="212"/>
      <c r="BI416" s="231" t="str">
        <f>HYPERLINK("#자재조서!A36","MVP3102 →")</f>
        <v>MVP3102 →</v>
      </c>
    </row>
    <row r="417" spans="1:61" ht="24" customHeight="1">
      <c r="A417" s="218" t="s">
        <v>2179</v>
      </c>
      <c r="B417" s="218" t="s">
        <v>2184</v>
      </c>
      <c r="C417" s="228">
        <v>4</v>
      </c>
      <c r="D417" s="213" t="s">
        <v>1412</v>
      </c>
      <c r="E417" s="217">
        <f>자재조서!E37</f>
        <v>0</v>
      </c>
      <c r="F417" s="217">
        <f>TRUNC(E417*C417,0)</f>
        <v>0</v>
      </c>
      <c r="G417" s="217">
        <v>0</v>
      </c>
      <c r="H417" s="217"/>
      <c r="I417" s="217">
        <v>0</v>
      </c>
      <c r="J417" s="217"/>
      <c r="K417" s="217">
        <f t="shared" si="54"/>
        <v>0</v>
      </c>
      <c r="L417" s="217">
        <f t="shared" si="53"/>
        <v>0</v>
      </c>
      <c r="M417" s="215" t="s">
        <v>68</v>
      </c>
      <c r="N417" s="212" t="s">
        <v>68</v>
      </c>
      <c r="O417" s="212"/>
      <c r="P417" s="212" t="s">
        <v>1101</v>
      </c>
      <c r="Q417" s="212" t="s">
        <v>1105</v>
      </c>
      <c r="R417" s="212" t="s">
        <v>2185</v>
      </c>
      <c r="S417" s="212"/>
      <c r="T417" s="212"/>
      <c r="U417" s="212"/>
      <c r="V417" s="212"/>
      <c r="W417" s="212"/>
      <c r="X417" s="212"/>
      <c r="Y417" s="212"/>
      <c r="Z417" s="212"/>
      <c r="AA417" s="212"/>
      <c r="AB417" s="212"/>
      <c r="AC417" s="212"/>
      <c r="AD417" s="212"/>
      <c r="AE417" s="212"/>
      <c r="AF417" s="212"/>
      <c r="AG417" s="212"/>
      <c r="AH417" s="212"/>
      <c r="AI417" s="212"/>
      <c r="AJ417" s="212"/>
      <c r="AK417" s="212"/>
      <c r="AL417" s="212"/>
      <c r="AM417" s="212"/>
      <c r="AN417" s="212"/>
      <c r="AO417" s="212"/>
      <c r="AP417" s="212"/>
      <c r="AQ417" s="212"/>
      <c r="AR417" s="212"/>
      <c r="AS417" s="212"/>
      <c r="AT417" s="212"/>
      <c r="AU417" s="212"/>
      <c r="AV417" s="212"/>
      <c r="AW417" s="212"/>
      <c r="AX417" s="212"/>
      <c r="AY417" s="212"/>
      <c r="AZ417" s="212"/>
      <c r="BA417" s="212"/>
      <c r="BB417" s="212"/>
      <c r="BC417" s="212"/>
      <c r="BD417" s="212"/>
      <c r="BE417" s="212"/>
      <c r="BF417" s="212"/>
      <c r="BG417" s="212"/>
      <c r="BH417" s="212"/>
      <c r="BI417" s="231" t="str">
        <f>HYPERLINK("#자재조서!A37","MVP3103 →")</f>
        <v>MVP3103 →</v>
      </c>
    </row>
    <row r="418" spans="1:61" ht="24" customHeight="1">
      <c r="A418" s="218" t="s">
        <v>2179</v>
      </c>
      <c r="B418" s="218" t="s">
        <v>2186</v>
      </c>
      <c r="C418" s="228">
        <v>4</v>
      </c>
      <c r="D418" s="213" t="s">
        <v>1412</v>
      </c>
      <c r="E418" s="217">
        <f>자재조서!E38</f>
        <v>0</v>
      </c>
      <c r="F418" s="217">
        <f>TRUNC(E418*C418,0)</f>
        <v>0</v>
      </c>
      <c r="G418" s="217">
        <v>0</v>
      </c>
      <c r="H418" s="217"/>
      <c r="I418" s="217">
        <v>0</v>
      </c>
      <c r="J418" s="217"/>
      <c r="K418" s="217">
        <f t="shared" si="54"/>
        <v>0</v>
      </c>
      <c r="L418" s="217">
        <f t="shared" si="53"/>
        <v>0</v>
      </c>
      <c r="M418" s="215" t="s">
        <v>68</v>
      </c>
      <c r="N418" s="212" t="s">
        <v>68</v>
      </c>
      <c r="O418" s="212"/>
      <c r="P418" s="212" t="s">
        <v>1104</v>
      </c>
      <c r="Q418" s="212" t="s">
        <v>1105</v>
      </c>
      <c r="R418" s="212" t="s">
        <v>2187</v>
      </c>
      <c r="S418" s="212"/>
      <c r="T418" s="212"/>
      <c r="U418" s="212"/>
      <c r="V418" s="212"/>
      <c r="W418" s="212"/>
      <c r="X418" s="212"/>
      <c r="Y418" s="212"/>
      <c r="Z418" s="212"/>
      <c r="AA418" s="212"/>
      <c r="AB418" s="212"/>
      <c r="AC418" s="212"/>
      <c r="AD418" s="212"/>
      <c r="AE418" s="212"/>
      <c r="AF418" s="212"/>
      <c r="AG418" s="212"/>
      <c r="AH418" s="212"/>
      <c r="AI418" s="212"/>
      <c r="AJ418" s="212"/>
      <c r="AK418" s="212"/>
      <c r="AL418" s="212"/>
      <c r="AM418" s="212"/>
      <c r="AN418" s="212"/>
      <c r="AO418" s="212"/>
      <c r="AP418" s="212"/>
      <c r="AQ418" s="212"/>
      <c r="AR418" s="212"/>
      <c r="AS418" s="212"/>
      <c r="AT418" s="212"/>
      <c r="AU418" s="212"/>
      <c r="AV418" s="212"/>
      <c r="AW418" s="212"/>
      <c r="AX418" s="212"/>
      <c r="AY418" s="212"/>
      <c r="AZ418" s="212"/>
      <c r="BA418" s="212"/>
      <c r="BB418" s="212"/>
      <c r="BC418" s="212"/>
      <c r="BD418" s="212"/>
      <c r="BE418" s="212"/>
      <c r="BF418" s="212"/>
      <c r="BG418" s="212"/>
      <c r="BH418" s="212"/>
      <c r="BI418" s="231" t="str">
        <f>HYPERLINK("#자재조서!A38","MVP3104 →")</f>
        <v>MVP3104 →</v>
      </c>
    </row>
    <row r="419" spans="1:61" ht="24" customHeight="1">
      <c r="A419" s="218" t="s">
        <v>2179</v>
      </c>
      <c r="B419" s="218" t="s">
        <v>2188</v>
      </c>
      <c r="C419" s="228">
        <v>4</v>
      </c>
      <c r="D419" s="213" t="s">
        <v>2189</v>
      </c>
      <c r="E419" s="217">
        <f>자재조서!E40</f>
        <v>0</v>
      </c>
      <c r="F419" s="217">
        <f>TRUNC(E419*C419,0)</f>
        <v>0</v>
      </c>
      <c r="G419" s="217">
        <v>0</v>
      </c>
      <c r="H419" s="217"/>
      <c r="I419" s="217">
        <v>0</v>
      </c>
      <c r="J419" s="217"/>
      <c r="K419" s="217">
        <f t="shared" si="54"/>
        <v>0</v>
      </c>
      <c r="L419" s="217">
        <f t="shared" si="53"/>
        <v>0</v>
      </c>
      <c r="M419" s="215" t="s">
        <v>68</v>
      </c>
      <c r="N419" s="212" t="s">
        <v>68</v>
      </c>
      <c r="O419" s="212"/>
      <c r="P419" s="212" t="s">
        <v>1107</v>
      </c>
      <c r="Q419" s="212" t="s">
        <v>1105</v>
      </c>
      <c r="R419" s="212" t="s">
        <v>2190</v>
      </c>
      <c r="S419" s="212"/>
      <c r="T419" s="212"/>
      <c r="U419" s="212"/>
      <c r="V419" s="212"/>
      <c r="W419" s="212"/>
      <c r="X419" s="212"/>
      <c r="Y419" s="212"/>
      <c r="Z419" s="212"/>
      <c r="AA419" s="212"/>
      <c r="AB419" s="212"/>
      <c r="AC419" s="212"/>
      <c r="AD419" s="212"/>
      <c r="AE419" s="212"/>
      <c r="AF419" s="212"/>
      <c r="AG419" s="212"/>
      <c r="AH419" s="212"/>
      <c r="AI419" s="212"/>
      <c r="AJ419" s="212"/>
      <c r="AK419" s="212"/>
      <c r="AL419" s="212"/>
      <c r="AM419" s="212"/>
      <c r="AN419" s="212"/>
      <c r="AO419" s="212"/>
      <c r="AP419" s="212"/>
      <c r="AQ419" s="212"/>
      <c r="AR419" s="212"/>
      <c r="AS419" s="212"/>
      <c r="AT419" s="212"/>
      <c r="AU419" s="212"/>
      <c r="AV419" s="212"/>
      <c r="AW419" s="212"/>
      <c r="AX419" s="212"/>
      <c r="AY419" s="212"/>
      <c r="AZ419" s="212"/>
      <c r="BA419" s="212"/>
      <c r="BB419" s="212"/>
      <c r="BC419" s="212"/>
      <c r="BD419" s="212"/>
      <c r="BE419" s="212"/>
      <c r="BF419" s="212"/>
      <c r="BG419" s="212"/>
      <c r="BH419" s="212"/>
      <c r="BI419" s="231" t="str">
        <f>HYPERLINK("#자재조서!A40","MVP3107 →")</f>
        <v>MVP3107 →</v>
      </c>
    </row>
    <row r="420" spans="1:61" ht="24" customHeight="1">
      <c r="A420" s="218" t="s">
        <v>2191</v>
      </c>
      <c r="B420" s="218" t="s">
        <v>1946</v>
      </c>
      <c r="C420" s="229">
        <v>0.25</v>
      </c>
      <c r="D420" s="213" t="s">
        <v>1286</v>
      </c>
      <c r="E420" s="217">
        <v>0</v>
      </c>
      <c r="F420" s="217"/>
      <c r="G420" s="217">
        <f>노임!D5</f>
        <v>0</v>
      </c>
      <c r="H420" s="217">
        <f>TRUNC(G420*C420,0)</f>
        <v>0</v>
      </c>
      <c r="I420" s="217">
        <v>0</v>
      </c>
      <c r="J420" s="217"/>
      <c r="K420" s="217">
        <f t="shared" si="54"/>
        <v>0</v>
      </c>
      <c r="L420" s="217">
        <f t="shared" si="53"/>
        <v>0</v>
      </c>
      <c r="M420" s="215" t="s">
        <v>68</v>
      </c>
      <c r="N420" s="212" t="s">
        <v>68</v>
      </c>
      <c r="O420" s="212"/>
      <c r="P420" s="212" t="s">
        <v>1108</v>
      </c>
      <c r="Q420" s="212" t="s">
        <v>68</v>
      </c>
      <c r="R420" s="212" t="s">
        <v>2192</v>
      </c>
      <c r="S420" s="212"/>
      <c r="T420" s="212"/>
      <c r="U420" s="212"/>
      <c r="V420" s="212"/>
      <c r="W420" s="212"/>
      <c r="X420" s="212"/>
      <c r="Y420" s="212"/>
      <c r="Z420" s="212"/>
      <c r="AA420" s="212"/>
      <c r="AB420" s="212"/>
      <c r="AC420" s="212"/>
      <c r="AD420" s="212"/>
      <c r="AE420" s="212"/>
      <c r="AF420" s="212"/>
      <c r="AG420" s="212"/>
      <c r="AH420" s="212"/>
      <c r="AI420" s="212"/>
      <c r="AJ420" s="212"/>
      <c r="AK420" s="212"/>
      <c r="AL420" s="212"/>
      <c r="AM420" s="212"/>
      <c r="AN420" s="212"/>
      <c r="AO420" s="212"/>
      <c r="AP420" s="212"/>
      <c r="AQ420" s="212"/>
      <c r="AR420" s="212"/>
      <c r="AS420" s="212"/>
      <c r="AT420" s="212"/>
      <c r="AU420" s="212"/>
      <c r="AV420" s="212"/>
      <c r="AW420" s="212"/>
      <c r="AX420" s="212"/>
      <c r="AY420" s="212"/>
      <c r="AZ420" s="212"/>
      <c r="BA420" s="212"/>
      <c r="BB420" s="212"/>
      <c r="BC420" s="212"/>
      <c r="BD420" s="212"/>
      <c r="BE420" s="212"/>
      <c r="BF420" s="212"/>
      <c r="BG420" s="212"/>
      <c r="BH420" s="212"/>
      <c r="BI420" s="231" t="str">
        <f>HYPERLINK("#노임!A5","L001010101000006 →")</f>
        <v>L001010101000006 →</v>
      </c>
    </row>
    <row r="421" spans="1:61" ht="24" customHeight="1">
      <c r="A421" s="218" t="s">
        <v>1967</v>
      </c>
      <c r="B421" s="218" t="s">
        <v>1946</v>
      </c>
      <c r="C421" s="229">
        <v>0.14000000000000001</v>
      </c>
      <c r="D421" s="213" t="s">
        <v>1286</v>
      </c>
      <c r="E421" s="217">
        <v>0</v>
      </c>
      <c r="F421" s="217"/>
      <c r="G421" s="217">
        <f>노임!D3</f>
        <v>0</v>
      </c>
      <c r="H421" s="217">
        <f>TRUNC(G421*C421,0)</f>
        <v>0</v>
      </c>
      <c r="I421" s="217">
        <v>0</v>
      </c>
      <c r="J421" s="217"/>
      <c r="K421" s="217">
        <f t="shared" si="54"/>
        <v>0</v>
      </c>
      <c r="L421" s="217">
        <f t="shared" si="53"/>
        <v>0</v>
      </c>
      <c r="M421" s="215" t="s">
        <v>68</v>
      </c>
      <c r="N421" s="212" t="s">
        <v>68</v>
      </c>
      <c r="O421" s="212"/>
      <c r="P421" s="212" t="s">
        <v>1109</v>
      </c>
      <c r="Q421" s="212" t="s">
        <v>68</v>
      </c>
      <c r="R421" s="212" t="s">
        <v>1968</v>
      </c>
      <c r="S421" s="212"/>
      <c r="T421" s="212"/>
      <c r="U421" s="212"/>
      <c r="V421" s="212"/>
      <c r="W421" s="212"/>
      <c r="X421" s="212"/>
      <c r="Y421" s="212"/>
      <c r="Z421" s="212"/>
      <c r="AA421" s="220" t="s">
        <v>1117</v>
      </c>
      <c r="AB421" s="212">
        <f>(호표!F415+호표!F416+호표!F417)*0.07</f>
        <v>0</v>
      </c>
      <c r="AC421" s="220" t="s">
        <v>1118</v>
      </c>
      <c r="AD421" s="212">
        <f>$AB421</f>
        <v>0</v>
      </c>
      <c r="AE421" s="212"/>
      <c r="AF421" s="212"/>
      <c r="AG421" s="212"/>
      <c r="AH421" s="212"/>
      <c r="AI421" s="212"/>
      <c r="AJ421" s="212"/>
      <c r="AK421" s="212"/>
      <c r="AL421" s="212"/>
      <c r="AM421" s="212"/>
      <c r="AN421" s="212"/>
      <c r="AO421" s="212"/>
      <c r="AP421" s="212"/>
      <c r="AQ421" s="212"/>
      <c r="AR421" s="212"/>
      <c r="AS421" s="212"/>
      <c r="AT421" s="212"/>
      <c r="AU421" s="212"/>
      <c r="AV421" s="212"/>
      <c r="AW421" s="212"/>
      <c r="AX421" s="212"/>
      <c r="AY421" s="212"/>
      <c r="AZ421" s="212"/>
      <c r="BA421" s="212"/>
      <c r="BB421" s="212"/>
      <c r="BC421" s="212"/>
      <c r="BD421" s="212"/>
      <c r="BE421" s="212"/>
      <c r="BF421" s="212"/>
      <c r="BG421" s="212"/>
      <c r="BH421" s="212"/>
      <c r="BI421" s="231" t="str">
        <f>HYPERLINK("#노임!A3","L001010101000002 →")</f>
        <v>L001010101000002 →</v>
      </c>
    </row>
    <row r="422" spans="1:61" ht="24" customHeight="1">
      <c r="A422" s="218" t="s">
        <v>2193</v>
      </c>
      <c r="B422" s="218" t="s">
        <v>2194</v>
      </c>
      <c r="C422" s="228">
        <v>1</v>
      </c>
      <c r="D422" s="213" t="s">
        <v>1094</v>
      </c>
      <c r="E422" s="213"/>
      <c r="F422" s="217">
        <f>TRUNC(((F415+F416+F417)*0.07),0)</f>
        <v>0</v>
      </c>
      <c r="G422" s="213"/>
      <c r="H422" s="217">
        <v>0</v>
      </c>
      <c r="I422" s="213"/>
      <c r="J422" s="217">
        <v>0</v>
      </c>
      <c r="K422" s="217">
        <f t="shared" si="54"/>
        <v>0</v>
      </c>
      <c r="L422" s="217">
        <f t="shared" si="53"/>
        <v>0</v>
      </c>
      <c r="M422" s="215" t="s">
        <v>68</v>
      </c>
      <c r="N422" s="212" t="s">
        <v>68</v>
      </c>
      <c r="O422" s="212"/>
      <c r="P422" s="212" t="s">
        <v>1110</v>
      </c>
      <c r="Q422" s="212" t="s">
        <v>68</v>
      </c>
      <c r="R422" s="212" t="s">
        <v>1121</v>
      </c>
      <c r="S422" s="212"/>
      <c r="T422" s="212"/>
      <c r="U422" s="212"/>
      <c r="V422" s="212"/>
      <c r="W422" s="212"/>
      <c r="X422" s="212" t="s">
        <v>2195</v>
      </c>
      <c r="Y422" s="212"/>
      <c r="Z422" s="212"/>
      <c r="AA422" s="220" t="s">
        <v>1117</v>
      </c>
      <c r="AB422" s="212">
        <f>(호표!F418+호표!F419)*0.09</f>
        <v>0</v>
      </c>
      <c r="AC422" s="220" t="s">
        <v>1118</v>
      </c>
      <c r="AD422" s="212">
        <f>$AB422</f>
        <v>0</v>
      </c>
      <c r="AE422" s="212"/>
      <c r="AF422" s="212"/>
      <c r="AG422" s="212"/>
      <c r="AH422" s="212"/>
      <c r="AI422" s="212"/>
      <c r="AJ422" s="212"/>
      <c r="AK422" s="212"/>
      <c r="AL422" s="212"/>
      <c r="AM422" s="212"/>
      <c r="AN422" s="212"/>
      <c r="AO422" s="212"/>
      <c r="AP422" s="212"/>
      <c r="AQ422" s="212"/>
      <c r="AR422" s="212"/>
      <c r="AS422" s="212"/>
      <c r="AT422" s="212"/>
      <c r="AU422" s="212"/>
      <c r="AV422" s="212"/>
      <c r="AW422" s="212"/>
      <c r="AX422" s="212"/>
      <c r="AY422" s="212"/>
      <c r="AZ422" s="212"/>
      <c r="BA422" s="212"/>
      <c r="BB422" s="212"/>
      <c r="BC422" s="212"/>
      <c r="BD422" s="212"/>
      <c r="BE422" s="212"/>
      <c r="BF422" s="212"/>
      <c r="BG422" s="212"/>
      <c r="BH422" s="212"/>
      <c r="BI422" s="212"/>
    </row>
    <row r="423" spans="1:61" ht="24" customHeight="1">
      <c r="A423" s="218" t="s">
        <v>2196</v>
      </c>
      <c r="B423" s="218" t="s">
        <v>2194</v>
      </c>
      <c r="C423" s="228">
        <v>1</v>
      </c>
      <c r="D423" s="213" t="s">
        <v>1094</v>
      </c>
      <c r="E423" s="213"/>
      <c r="F423" s="217">
        <f>TRUNC(((F418+F419)*0.09),0)</f>
        <v>0</v>
      </c>
      <c r="G423" s="213"/>
      <c r="H423" s="217">
        <v>0</v>
      </c>
      <c r="I423" s="213"/>
      <c r="J423" s="217">
        <v>0</v>
      </c>
      <c r="K423" s="217">
        <f t="shared" si="54"/>
        <v>0</v>
      </c>
      <c r="L423" s="217">
        <f t="shared" si="53"/>
        <v>0</v>
      </c>
      <c r="M423" s="215" t="s">
        <v>68</v>
      </c>
      <c r="N423" s="212" t="s">
        <v>68</v>
      </c>
      <c r="O423" s="212"/>
      <c r="P423" s="212" t="s">
        <v>1111</v>
      </c>
      <c r="Q423" s="212" t="s">
        <v>68</v>
      </c>
      <c r="R423" s="212" t="s">
        <v>1121</v>
      </c>
      <c r="S423" s="212"/>
      <c r="T423" s="212"/>
      <c r="U423" s="212"/>
      <c r="V423" s="212"/>
      <c r="W423" s="212"/>
      <c r="X423" s="212" t="s">
        <v>2197</v>
      </c>
      <c r="Y423" s="212"/>
      <c r="Z423" s="212"/>
      <c r="AA423" s="212"/>
      <c r="AB423" s="212"/>
      <c r="AC423" s="212"/>
      <c r="AD423" s="212"/>
      <c r="AE423" s="212"/>
      <c r="AF423" s="212"/>
      <c r="AG423" s="212"/>
      <c r="AH423" s="212"/>
      <c r="AI423" s="212"/>
      <c r="AJ423" s="212"/>
      <c r="AK423" s="212"/>
      <c r="AL423" s="212"/>
      <c r="AM423" s="212"/>
      <c r="AN423" s="212"/>
      <c r="AO423" s="212"/>
      <c r="AP423" s="212"/>
      <c r="AQ423" s="212"/>
      <c r="AR423" s="212"/>
      <c r="AS423" s="212"/>
      <c r="AT423" s="212"/>
      <c r="AU423" s="212"/>
      <c r="AV423" s="212"/>
      <c r="AW423" s="212"/>
      <c r="AX423" s="212"/>
      <c r="AY423" s="212"/>
      <c r="AZ423" s="212"/>
      <c r="BA423" s="212"/>
      <c r="BB423" s="212"/>
      <c r="BC423" s="212"/>
      <c r="BD423" s="212"/>
      <c r="BE423" s="212"/>
      <c r="BF423" s="212"/>
      <c r="BG423" s="212"/>
      <c r="BH423" s="212"/>
      <c r="BI423" s="212"/>
    </row>
    <row r="424" spans="1:61" ht="24" customHeight="1">
      <c r="A424" s="215"/>
      <c r="B424" s="215"/>
      <c r="C424" s="229"/>
      <c r="D424" s="213"/>
      <c r="E424" s="213"/>
      <c r="F424" s="213"/>
      <c r="G424" s="213"/>
      <c r="H424" s="213"/>
      <c r="I424" s="213"/>
      <c r="J424" s="213"/>
      <c r="K424" s="213"/>
      <c r="L424" s="213"/>
      <c r="M424" s="215"/>
      <c r="N424" s="212"/>
      <c r="O424" s="212"/>
      <c r="P424" s="212"/>
      <c r="Q424" s="212"/>
      <c r="R424" s="212"/>
      <c r="S424" s="212"/>
      <c r="T424" s="212"/>
      <c r="U424" s="212"/>
      <c r="V424" s="212"/>
      <c r="W424" s="212"/>
      <c r="X424" s="212"/>
      <c r="Y424" s="212"/>
      <c r="Z424" s="212"/>
      <c r="AA424" s="212"/>
      <c r="AB424" s="212"/>
      <c r="AC424" s="212"/>
      <c r="AD424" s="212"/>
      <c r="AE424" s="212"/>
      <c r="AF424" s="212"/>
      <c r="AG424" s="212"/>
      <c r="AH424" s="212"/>
      <c r="AI424" s="212"/>
      <c r="AJ424" s="212"/>
      <c r="AK424" s="212"/>
      <c r="AL424" s="212"/>
      <c r="AM424" s="212"/>
      <c r="AN424" s="212"/>
      <c r="AO424" s="212"/>
      <c r="AP424" s="212"/>
      <c r="AQ424" s="212"/>
      <c r="AR424" s="212"/>
      <c r="AS424" s="212"/>
      <c r="AT424" s="212"/>
      <c r="AU424" s="212"/>
      <c r="AV424" s="212"/>
      <c r="AW424" s="212"/>
      <c r="AX424" s="212"/>
      <c r="AY424" s="212"/>
      <c r="AZ424" s="212"/>
      <c r="BA424" s="212"/>
      <c r="BB424" s="212"/>
      <c r="BC424" s="212"/>
      <c r="BD424" s="212"/>
      <c r="BE424" s="212"/>
      <c r="BF424" s="212"/>
      <c r="BG424" s="212"/>
      <c r="BH424" s="212"/>
      <c r="BI424" s="212"/>
    </row>
    <row r="425" spans="1:61" ht="24" customHeight="1">
      <c r="A425" s="218" t="s">
        <v>2198</v>
      </c>
      <c r="B425" s="218" t="s">
        <v>1276</v>
      </c>
      <c r="C425" s="228">
        <v>1</v>
      </c>
      <c r="D425" s="213" t="s">
        <v>1033</v>
      </c>
      <c r="E425" s="212"/>
      <c r="F425" s="217">
        <f>TRUNC(F426+F427+F428+F429+F430+F431,0)</f>
        <v>0</v>
      </c>
      <c r="G425" s="212"/>
      <c r="H425" s="217">
        <f>TRUNC(H426+H427+H428+H429+H430+H431,0)</f>
        <v>0</v>
      </c>
      <c r="I425" s="212"/>
      <c r="J425" s="217">
        <f>TRUNC(J426+J427+J428+J429+J430+J431,0)</f>
        <v>0</v>
      </c>
      <c r="K425" s="212"/>
      <c r="L425" s="217">
        <f t="shared" ref="L425:L431" si="55">F425+H425+J425</f>
        <v>0</v>
      </c>
      <c r="M425" s="215" t="s">
        <v>1788</v>
      </c>
      <c r="N425" s="212" t="s">
        <v>68</v>
      </c>
      <c r="O425" s="212" t="s">
        <v>1277</v>
      </c>
      <c r="P425" s="212"/>
      <c r="Q425" s="212"/>
      <c r="R425" s="212"/>
      <c r="S425" s="212"/>
      <c r="T425" s="212"/>
      <c r="U425" s="212"/>
      <c r="V425" s="212"/>
      <c r="W425" s="212"/>
      <c r="X425" s="212"/>
      <c r="Y425" s="212"/>
      <c r="Z425" s="212"/>
      <c r="AA425" s="212"/>
      <c r="AB425" s="212"/>
      <c r="AC425" s="212"/>
      <c r="AD425" s="212"/>
      <c r="AE425" s="212"/>
      <c r="AF425" s="212"/>
      <c r="AG425" s="212"/>
      <c r="AH425" s="212"/>
      <c r="AI425" s="212"/>
      <c r="AJ425" s="212"/>
      <c r="AK425" s="212"/>
      <c r="AL425" s="212"/>
      <c r="AM425" s="212"/>
      <c r="AN425" s="212"/>
      <c r="AO425" s="212"/>
      <c r="AP425" s="212"/>
      <c r="AQ425" s="212"/>
      <c r="AR425" s="212"/>
      <c r="AS425" s="212"/>
      <c r="AT425" s="212"/>
      <c r="AU425" s="212"/>
      <c r="AV425" s="212"/>
      <c r="AW425" s="212"/>
      <c r="AX425" s="212"/>
      <c r="AY425" s="212"/>
      <c r="AZ425" s="212"/>
      <c r="BA425" s="212"/>
      <c r="BB425" s="212"/>
      <c r="BC425" s="212"/>
      <c r="BD425" s="212"/>
      <c r="BE425" s="212"/>
      <c r="BF425" s="212"/>
      <c r="BG425" s="212"/>
      <c r="BH425" s="212"/>
      <c r="BI425" s="212"/>
    </row>
    <row r="426" spans="1:61" ht="24" customHeight="1">
      <c r="A426" s="218" t="s">
        <v>1965</v>
      </c>
      <c r="B426" s="218" t="s">
        <v>1946</v>
      </c>
      <c r="C426" s="229">
        <v>3.0999999999999999E-3</v>
      </c>
      <c r="D426" s="213" t="s">
        <v>1286</v>
      </c>
      <c r="E426" s="217">
        <v>0</v>
      </c>
      <c r="F426" s="217"/>
      <c r="G426" s="217">
        <f>노임!D4</f>
        <v>0</v>
      </c>
      <c r="H426" s="217">
        <f>TRUNC(G426*C426,0)</f>
        <v>0</v>
      </c>
      <c r="I426" s="217">
        <v>0</v>
      </c>
      <c r="J426" s="217"/>
      <c r="K426" s="217">
        <f t="shared" ref="K426:K431" si="56">E426+G426+I426</f>
        <v>0</v>
      </c>
      <c r="L426" s="217">
        <f t="shared" si="55"/>
        <v>0</v>
      </c>
      <c r="M426" s="215" t="s">
        <v>68</v>
      </c>
      <c r="N426" s="212" t="s">
        <v>68</v>
      </c>
      <c r="O426" s="212"/>
      <c r="P426" s="212" t="s">
        <v>1095</v>
      </c>
      <c r="Q426" s="212" t="s">
        <v>68</v>
      </c>
      <c r="R426" s="212" t="s">
        <v>1966</v>
      </c>
      <c r="S426" s="212"/>
      <c r="T426" s="212"/>
      <c r="U426" s="212"/>
      <c r="V426" s="212"/>
      <c r="W426" s="212"/>
      <c r="X426" s="212"/>
      <c r="Y426" s="212"/>
      <c r="Z426" s="212"/>
      <c r="AA426" s="212"/>
      <c r="AB426" s="212"/>
      <c r="AC426" s="212"/>
      <c r="AD426" s="212"/>
      <c r="AE426" s="212"/>
      <c r="AF426" s="212"/>
      <c r="AG426" s="212"/>
      <c r="AH426" s="212"/>
      <c r="AI426" s="212"/>
      <c r="AJ426" s="212"/>
      <c r="AK426" s="212"/>
      <c r="AL426" s="212"/>
      <c r="AM426" s="212"/>
      <c r="AN426" s="212"/>
      <c r="AO426" s="212"/>
      <c r="AP426" s="212"/>
      <c r="AQ426" s="212"/>
      <c r="AR426" s="212"/>
      <c r="AS426" s="212"/>
      <c r="AT426" s="212"/>
      <c r="AU426" s="212"/>
      <c r="AV426" s="212"/>
      <c r="AW426" s="212"/>
      <c r="AX426" s="212"/>
      <c r="AY426" s="212"/>
      <c r="AZ426" s="212"/>
      <c r="BA426" s="212"/>
      <c r="BB426" s="212"/>
      <c r="BC426" s="212"/>
      <c r="BD426" s="212"/>
      <c r="BE426" s="212"/>
      <c r="BF426" s="212"/>
      <c r="BG426" s="212"/>
      <c r="BH426" s="212"/>
      <c r="BI426" s="231" t="str">
        <f>HYPERLINK("#노임!A4","L001010101000003 →")</f>
        <v>L001010101000003 →</v>
      </c>
    </row>
    <row r="427" spans="1:61" ht="24" customHeight="1">
      <c r="A427" s="218" t="s">
        <v>1967</v>
      </c>
      <c r="B427" s="218" t="s">
        <v>1946</v>
      </c>
      <c r="C427" s="229">
        <v>6.1000000000000004E-3</v>
      </c>
      <c r="D427" s="213" t="s">
        <v>1286</v>
      </c>
      <c r="E427" s="217">
        <v>0</v>
      </c>
      <c r="F427" s="217"/>
      <c r="G427" s="217">
        <f>노임!D3</f>
        <v>0</v>
      </c>
      <c r="H427" s="217">
        <f>TRUNC(G427*C427,0)</f>
        <v>0</v>
      </c>
      <c r="I427" s="217">
        <v>0</v>
      </c>
      <c r="J427" s="217"/>
      <c r="K427" s="217">
        <f t="shared" si="56"/>
        <v>0</v>
      </c>
      <c r="L427" s="217">
        <f t="shared" si="55"/>
        <v>0</v>
      </c>
      <c r="M427" s="215" t="s">
        <v>68</v>
      </c>
      <c r="N427" s="212" t="s">
        <v>68</v>
      </c>
      <c r="O427" s="212"/>
      <c r="P427" s="212" t="s">
        <v>1098</v>
      </c>
      <c r="Q427" s="212" t="s">
        <v>68</v>
      </c>
      <c r="R427" s="212" t="s">
        <v>1968</v>
      </c>
      <c r="S427" s="212"/>
      <c r="T427" s="212"/>
      <c r="U427" s="212"/>
      <c r="V427" s="212"/>
      <c r="W427" s="212"/>
      <c r="X427" s="212"/>
      <c r="Y427" s="212"/>
      <c r="Z427" s="212"/>
      <c r="AA427" s="212"/>
      <c r="AB427" s="212"/>
      <c r="AC427" s="212"/>
      <c r="AD427" s="212"/>
      <c r="AE427" s="212"/>
      <c r="AF427" s="212"/>
      <c r="AG427" s="212"/>
      <c r="AH427" s="212"/>
      <c r="AI427" s="212"/>
      <c r="AJ427" s="212"/>
      <c r="AK427" s="212"/>
      <c r="AL427" s="212"/>
      <c r="AM427" s="212"/>
      <c r="AN427" s="212"/>
      <c r="AO427" s="212"/>
      <c r="AP427" s="212"/>
      <c r="AQ427" s="212"/>
      <c r="AR427" s="212"/>
      <c r="AS427" s="212"/>
      <c r="AT427" s="212"/>
      <c r="AU427" s="212"/>
      <c r="AV427" s="212"/>
      <c r="AW427" s="212"/>
      <c r="AX427" s="212"/>
      <c r="AY427" s="212"/>
      <c r="AZ427" s="212"/>
      <c r="BA427" s="212"/>
      <c r="BB427" s="212"/>
      <c r="BC427" s="212"/>
      <c r="BD427" s="212"/>
      <c r="BE427" s="212"/>
      <c r="BF427" s="212"/>
      <c r="BG427" s="212"/>
      <c r="BH427" s="212"/>
      <c r="BI427" s="231" t="str">
        <f>HYPERLINK("#노임!A3","L001010101000002 →")</f>
        <v>L001010101000002 →</v>
      </c>
    </row>
    <row r="428" spans="1:61" ht="24" customHeight="1">
      <c r="A428" s="218" t="s">
        <v>2199</v>
      </c>
      <c r="B428" s="218" t="s">
        <v>2200</v>
      </c>
      <c r="C428" s="229">
        <v>2.4199999999999999E-2</v>
      </c>
      <c r="D428" s="213" t="s">
        <v>1227</v>
      </c>
      <c r="E428" s="217">
        <f>중기목록!E6</f>
        <v>0</v>
      </c>
      <c r="F428" s="217">
        <f>TRUNC(E428*C428,0)</f>
        <v>0</v>
      </c>
      <c r="G428" s="217">
        <f>중기목록!F6</f>
        <v>0</v>
      </c>
      <c r="H428" s="217">
        <f>TRUNC(G428*C428,0)</f>
        <v>0</v>
      </c>
      <c r="I428" s="217">
        <f>중기목록!G6</f>
        <v>0</v>
      </c>
      <c r="J428" s="217">
        <f>TRUNC(I428*C428,0)</f>
        <v>0</v>
      </c>
      <c r="K428" s="217">
        <f t="shared" si="56"/>
        <v>0</v>
      </c>
      <c r="L428" s="217">
        <f t="shared" si="55"/>
        <v>0</v>
      </c>
      <c r="M428" s="215" t="s">
        <v>68</v>
      </c>
      <c r="N428" s="212" t="s">
        <v>68</v>
      </c>
      <c r="O428" s="212"/>
      <c r="P428" s="212" t="s">
        <v>1101</v>
      </c>
      <c r="Q428" s="212" t="s">
        <v>68</v>
      </c>
      <c r="R428" s="212" t="s">
        <v>2201</v>
      </c>
      <c r="S428" s="212"/>
      <c r="T428" s="212"/>
      <c r="U428" s="212"/>
      <c r="V428" s="212"/>
      <c r="W428" s="212"/>
      <c r="X428" s="212"/>
      <c r="Y428" s="212"/>
      <c r="Z428" s="212"/>
      <c r="AA428" s="212"/>
      <c r="AB428" s="212"/>
      <c r="AC428" s="212"/>
      <c r="AD428" s="212"/>
      <c r="AE428" s="212"/>
      <c r="AF428" s="212"/>
      <c r="AG428" s="212"/>
      <c r="AH428" s="212"/>
      <c r="AI428" s="212"/>
      <c r="AJ428" s="212"/>
      <c r="AK428" s="212"/>
      <c r="AL428" s="212"/>
      <c r="AM428" s="212"/>
      <c r="AN428" s="212"/>
      <c r="AO428" s="212"/>
      <c r="AP428" s="212"/>
      <c r="AQ428" s="212"/>
      <c r="AR428" s="212"/>
      <c r="AS428" s="212"/>
      <c r="AT428" s="212"/>
      <c r="AU428" s="212"/>
      <c r="AV428" s="212"/>
      <c r="AW428" s="212"/>
      <c r="AX428" s="212"/>
      <c r="AY428" s="212"/>
      <c r="AZ428" s="212"/>
      <c r="BA428" s="212"/>
      <c r="BB428" s="212"/>
      <c r="BC428" s="212"/>
      <c r="BD428" s="212"/>
      <c r="BE428" s="212"/>
      <c r="BF428" s="212"/>
      <c r="BG428" s="212"/>
      <c r="BH428" s="212"/>
      <c r="BI428" s="231" t="str">
        <f>HYPERLINK("#중기사용료목록!A6","E00004430040000000 →")</f>
        <v>E00004430040000000 →</v>
      </c>
    </row>
    <row r="429" spans="1:61" ht="24" customHeight="1">
      <c r="A429" s="218" t="s">
        <v>2202</v>
      </c>
      <c r="B429" s="218" t="s">
        <v>2203</v>
      </c>
      <c r="C429" s="229">
        <v>1.21E-2</v>
      </c>
      <c r="D429" s="213" t="s">
        <v>1227</v>
      </c>
      <c r="E429" s="217">
        <f>중기목록!E8</f>
        <v>0</v>
      </c>
      <c r="F429" s="217">
        <f>TRUNC(E429*C429,0)</f>
        <v>0</v>
      </c>
      <c r="G429" s="217">
        <f>중기목록!F8</f>
        <v>0</v>
      </c>
      <c r="H429" s="217">
        <f>TRUNC(G429*C429,0)</f>
        <v>0</v>
      </c>
      <c r="I429" s="217">
        <f>중기목록!G8</f>
        <v>0</v>
      </c>
      <c r="J429" s="217">
        <f>TRUNC(I429*C429,0)</f>
        <v>0</v>
      </c>
      <c r="K429" s="217">
        <f t="shared" si="56"/>
        <v>0</v>
      </c>
      <c r="L429" s="217">
        <f t="shared" si="55"/>
        <v>0</v>
      </c>
      <c r="M429" s="215" t="s">
        <v>68</v>
      </c>
      <c r="N429" s="212" t="s">
        <v>68</v>
      </c>
      <c r="O429" s="212"/>
      <c r="P429" s="212" t="s">
        <v>1104</v>
      </c>
      <c r="Q429" s="212" t="s">
        <v>68</v>
      </c>
      <c r="R429" s="212" t="s">
        <v>2204</v>
      </c>
      <c r="S429" s="212"/>
      <c r="T429" s="212"/>
      <c r="U429" s="212"/>
      <c r="V429" s="212"/>
      <c r="W429" s="212"/>
      <c r="X429" s="212"/>
      <c r="Y429" s="212"/>
      <c r="Z429" s="212"/>
      <c r="AA429" s="212"/>
      <c r="AB429" s="212"/>
      <c r="AC429" s="212"/>
      <c r="AD429" s="212"/>
      <c r="AE429" s="212"/>
      <c r="AF429" s="212"/>
      <c r="AG429" s="212"/>
      <c r="AH429" s="212"/>
      <c r="AI429" s="212"/>
      <c r="AJ429" s="212"/>
      <c r="AK429" s="212"/>
      <c r="AL429" s="212"/>
      <c r="AM429" s="212"/>
      <c r="AN429" s="212"/>
      <c r="AO429" s="212"/>
      <c r="AP429" s="212"/>
      <c r="AQ429" s="212"/>
      <c r="AR429" s="212"/>
      <c r="AS429" s="212"/>
      <c r="AT429" s="212"/>
      <c r="AU429" s="212"/>
      <c r="AV429" s="212"/>
      <c r="AW429" s="212"/>
      <c r="AX429" s="212"/>
      <c r="AY429" s="212"/>
      <c r="AZ429" s="212"/>
      <c r="BA429" s="212"/>
      <c r="BB429" s="212"/>
      <c r="BC429" s="212"/>
      <c r="BD429" s="212"/>
      <c r="BE429" s="212"/>
      <c r="BF429" s="212"/>
      <c r="BG429" s="212"/>
      <c r="BH429" s="212"/>
      <c r="BI429" s="231" t="str">
        <f>HYPERLINK("#중기사용료목록!A8","E00007210048500000 →")</f>
        <v>E00007210048500000 →</v>
      </c>
    </row>
    <row r="430" spans="1:61" ht="24" customHeight="1">
      <c r="A430" s="218" t="s">
        <v>2205</v>
      </c>
      <c r="B430" s="218" t="s">
        <v>1226</v>
      </c>
      <c r="C430" s="229">
        <v>6.1000000000000004E-3</v>
      </c>
      <c r="D430" s="213" t="s">
        <v>1227</v>
      </c>
      <c r="E430" s="217">
        <f>중기목록!E3</f>
        <v>0</v>
      </c>
      <c r="F430" s="217">
        <f>TRUNC(E430*C430,0)</f>
        <v>0</v>
      </c>
      <c r="G430" s="217">
        <f>중기목록!F3</f>
        <v>0</v>
      </c>
      <c r="H430" s="217">
        <f>TRUNC(G430*C430,0)</f>
        <v>0</v>
      </c>
      <c r="I430" s="217">
        <f>중기목록!G3</f>
        <v>0</v>
      </c>
      <c r="J430" s="217">
        <f>TRUNC(I430*C430,0)</f>
        <v>0</v>
      </c>
      <c r="K430" s="217">
        <f t="shared" si="56"/>
        <v>0</v>
      </c>
      <c r="L430" s="217">
        <f t="shared" si="55"/>
        <v>0</v>
      </c>
      <c r="M430" s="215" t="s">
        <v>68</v>
      </c>
      <c r="N430" s="212" t="s">
        <v>68</v>
      </c>
      <c r="O430" s="212"/>
      <c r="P430" s="212" t="s">
        <v>1107</v>
      </c>
      <c r="Q430" s="212" t="s">
        <v>68</v>
      </c>
      <c r="R430" s="212" t="s">
        <v>2206</v>
      </c>
      <c r="S430" s="212"/>
      <c r="T430" s="212"/>
      <c r="U430" s="212"/>
      <c r="V430" s="212"/>
      <c r="W430" s="212"/>
      <c r="X430" s="212"/>
      <c r="Y430" s="212"/>
      <c r="Z430" s="212"/>
      <c r="AA430" s="212"/>
      <c r="AB430" s="212"/>
      <c r="AC430" s="212"/>
      <c r="AD430" s="212"/>
      <c r="AE430" s="212"/>
      <c r="AF430" s="212"/>
      <c r="AG430" s="212"/>
      <c r="AH430" s="212"/>
      <c r="AI430" s="212"/>
      <c r="AJ430" s="212"/>
      <c r="AK430" s="212"/>
      <c r="AL430" s="212"/>
      <c r="AM430" s="212"/>
      <c r="AN430" s="212"/>
      <c r="AO430" s="212"/>
      <c r="AP430" s="212"/>
      <c r="AQ430" s="212"/>
      <c r="AR430" s="212"/>
      <c r="AS430" s="212"/>
      <c r="AT430" s="212"/>
      <c r="AU430" s="212"/>
      <c r="AV430" s="212"/>
      <c r="AW430" s="212"/>
      <c r="AX430" s="212"/>
      <c r="AY430" s="212"/>
      <c r="AZ430" s="212"/>
      <c r="BA430" s="212"/>
      <c r="BB430" s="212"/>
      <c r="BC430" s="212"/>
      <c r="BD430" s="212"/>
      <c r="BE430" s="212"/>
      <c r="BF430" s="212"/>
      <c r="BG430" s="212"/>
      <c r="BH430" s="212"/>
      <c r="BI430" s="231" t="str">
        <f>HYPERLINK("#중기사용료목록!A3","E00000602002500000 →")</f>
        <v>E00000602002500000 →</v>
      </c>
    </row>
    <row r="431" spans="1:61" ht="24" customHeight="1">
      <c r="A431" s="218" t="s">
        <v>2207</v>
      </c>
      <c r="B431" s="218" t="s">
        <v>2208</v>
      </c>
      <c r="C431" s="229">
        <v>3.0999999999999999E-3</v>
      </c>
      <c r="D431" s="213" t="s">
        <v>437</v>
      </c>
      <c r="E431" s="217">
        <f>자재조서!E45</f>
        <v>0</v>
      </c>
      <c r="F431" s="217">
        <f>TRUNC(E431*C431,0)</f>
        <v>0</v>
      </c>
      <c r="G431" s="217">
        <v>0</v>
      </c>
      <c r="H431" s="217"/>
      <c r="I431" s="217">
        <v>0</v>
      </c>
      <c r="J431" s="217"/>
      <c r="K431" s="217">
        <f t="shared" si="56"/>
        <v>0</v>
      </c>
      <c r="L431" s="217">
        <f t="shared" si="55"/>
        <v>0</v>
      </c>
      <c r="M431" s="215" t="s">
        <v>68</v>
      </c>
      <c r="N431" s="212" t="s">
        <v>68</v>
      </c>
      <c r="O431" s="212"/>
      <c r="P431" s="212" t="s">
        <v>1108</v>
      </c>
      <c r="Q431" s="212" t="s">
        <v>68</v>
      </c>
      <c r="R431" s="212" t="s">
        <v>2209</v>
      </c>
      <c r="S431" s="212"/>
      <c r="T431" s="212"/>
      <c r="U431" s="212"/>
      <c r="V431" s="212"/>
      <c r="W431" s="212"/>
      <c r="X431" s="212"/>
      <c r="Y431" s="212"/>
      <c r="Z431" s="212"/>
      <c r="AA431" s="212"/>
      <c r="AB431" s="212"/>
      <c r="AC431" s="212"/>
      <c r="AD431" s="212"/>
      <c r="AE431" s="212"/>
      <c r="AF431" s="212"/>
      <c r="AG431" s="212"/>
      <c r="AH431" s="212"/>
      <c r="AI431" s="212"/>
      <c r="AJ431" s="212"/>
      <c r="AK431" s="212"/>
      <c r="AL431" s="212"/>
      <c r="AM431" s="212"/>
      <c r="AN431" s="212"/>
      <c r="AO431" s="212"/>
      <c r="AP431" s="212"/>
      <c r="AQ431" s="212"/>
      <c r="AR431" s="212"/>
      <c r="AS431" s="212"/>
      <c r="AT431" s="212"/>
      <c r="AU431" s="212"/>
      <c r="AV431" s="212"/>
      <c r="AW431" s="212"/>
      <c r="AX431" s="212"/>
      <c r="AY431" s="212"/>
      <c r="AZ431" s="212"/>
      <c r="BA431" s="212"/>
      <c r="BB431" s="212"/>
      <c r="BC431" s="212"/>
      <c r="BD431" s="212"/>
      <c r="BE431" s="212"/>
      <c r="BF431" s="212"/>
      <c r="BG431" s="212"/>
      <c r="BH431" s="212"/>
      <c r="BI431" s="231" t="str">
        <f>HYPERLINK("#자재조서!A45","MZZ1005631 →")</f>
        <v>MZZ1005631 →</v>
      </c>
    </row>
    <row r="432" spans="1:61" ht="24" customHeight="1">
      <c r="A432" s="215"/>
      <c r="B432" s="215"/>
      <c r="C432" s="229"/>
      <c r="D432" s="213"/>
      <c r="E432" s="213"/>
      <c r="F432" s="213"/>
      <c r="G432" s="213"/>
      <c r="H432" s="213"/>
      <c r="I432" s="213"/>
      <c r="J432" s="213"/>
      <c r="K432" s="213"/>
      <c r="L432" s="213"/>
      <c r="M432" s="215"/>
      <c r="N432" s="212"/>
      <c r="O432" s="212"/>
      <c r="P432" s="212"/>
      <c r="Q432" s="212"/>
      <c r="R432" s="212"/>
      <c r="S432" s="212"/>
      <c r="T432" s="212"/>
      <c r="U432" s="212"/>
      <c r="V432" s="212"/>
      <c r="W432" s="212"/>
      <c r="X432" s="212"/>
      <c r="Y432" s="212"/>
      <c r="Z432" s="212"/>
      <c r="AA432" s="212"/>
      <c r="AB432" s="212"/>
      <c r="AC432" s="212"/>
      <c r="AD432" s="212"/>
      <c r="AE432" s="212"/>
      <c r="AF432" s="212"/>
      <c r="AG432" s="212"/>
      <c r="AH432" s="212"/>
      <c r="AI432" s="212"/>
      <c r="AJ432" s="212"/>
      <c r="AK432" s="212"/>
      <c r="AL432" s="212"/>
      <c r="AM432" s="212"/>
      <c r="AN432" s="212"/>
      <c r="AO432" s="212"/>
      <c r="AP432" s="212"/>
      <c r="AQ432" s="212"/>
      <c r="AR432" s="212"/>
      <c r="AS432" s="212"/>
      <c r="AT432" s="212"/>
      <c r="AU432" s="212"/>
      <c r="AV432" s="212"/>
      <c r="AW432" s="212"/>
      <c r="AX432" s="212"/>
      <c r="AY432" s="212"/>
      <c r="AZ432" s="212"/>
      <c r="BA432" s="212"/>
      <c r="BB432" s="212"/>
      <c r="BC432" s="212"/>
      <c r="BD432" s="212"/>
      <c r="BE432" s="212"/>
      <c r="BF432" s="212"/>
      <c r="BG432" s="212"/>
      <c r="BH432" s="212"/>
      <c r="BI432" s="212"/>
    </row>
    <row r="433" spans="1:61" ht="24" customHeight="1">
      <c r="A433" s="218" t="s">
        <v>2210</v>
      </c>
      <c r="B433" s="218" t="s">
        <v>1279</v>
      </c>
      <c r="C433" s="228">
        <v>1</v>
      </c>
      <c r="D433" s="213" t="s">
        <v>15</v>
      </c>
      <c r="E433" s="212"/>
      <c r="F433" s="217">
        <f>TRUNC(F434+F435+F436+F437,0)</f>
        <v>0</v>
      </c>
      <c r="G433" s="212"/>
      <c r="H433" s="217">
        <f>TRUNC(H434+H435+H436+H437,0)</f>
        <v>0</v>
      </c>
      <c r="I433" s="212"/>
      <c r="J433" s="217">
        <f>TRUNC(J434+J435+J436+J437,0)</f>
        <v>0</v>
      </c>
      <c r="K433" s="212"/>
      <c r="L433" s="217">
        <f>F433+H433+J433</f>
        <v>0</v>
      </c>
      <c r="M433" s="215" t="s">
        <v>1790</v>
      </c>
      <c r="N433" s="212" t="s">
        <v>68</v>
      </c>
      <c r="O433" s="212" t="s">
        <v>1280</v>
      </c>
      <c r="P433" s="212"/>
      <c r="Q433" s="212"/>
      <c r="R433" s="212"/>
      <c r="S433" s="212"/>
      <c r="T433" s="212"/>
      <c r="U433" s="212"/>
      <c r="V433" s="212"/>
      <c r="W433" s="212"/>
      <c r="X433" s="212"/>
      <c r="Y433" s="212"/>
      <c r="Z433" s="212"/>
      <c r="AA433" s="212"/>
      <c r="AB433" s="212"/>
      <c r="AC433" s="212"/>
      <c r="AD433" s="212"/>
      <c r="AE433" s="212"/>
      <c r="AF433" s="212"/>
      <c r="AG433" s="212"/>
      <c r="AH433" s="212"/>
      <c r="AI433" s="212"/>
      <c r="AJ433" s="212"/>
      <c r="AK433" s="212"/>
      <c r="AL433" s="212"/>
      <c r="AM433" s="212"/>
      <c r="AN433" s="212"/>
      <c r="AO433" s="212"/>
      <c r="AP433" s="212"/>
      <c r="AQ433" s="212"/>
      <c r="AR433" s="212"/>
      <c r="AS433" s="212"/>
      <c r="AT433" s="212"/>
      <c r="AU433" s="212"/>
      <c r="AV433" s="212"/>
      <c r="AW433" s="212"/>
      <c r="AX433" s="212"/>
      <c r="AY433" s="212"/>
      <c r="AZ433" s="212"/>
      <c r="BA433" s="212"/>
      <c r="BB433" s="212"/>
      <c r="BC433" s="212"/>
      <c r="BD433" s="212"/>
      <c r="BE433" s="212"/>
      <c r="BF433" s="212"/>
      <c r="BG433" s="212"/>
      <c r="BH433" s="212"/>
      <c r="BI433" s="212"/>
    </row>
    <row r="434" spans="1:61" ht="24" customHeight="1">
      <c r="A434" s="218" t="s">
        <v>2211</v>
      </c>
      <c r="B434" s="218" t="s">
        <v>1946</v>
      </c>
      <c r="C434" s="229">
        <v>0.87</v>
      </c>
      <c r="D434" s="213" t="s">
        <v>1286</v>
      </c>
      <c r="E434" s="217">
        <v>0</v>
      </c>
      <c r="F434" s="217"/>
      <c r="G434" s="217">
        <f>노임!D9</f>
        <v>0</v>
      </c>
      <c r="H434" s="217">
        <f>TRUNC(G434*C434,0)</f>
        <v>0</v>
      </c>
      <c r="I434" s="217">
        <v>0</v>
      </c>
      <c r="J434" s="217"/>
      <c r="K434" s="217">
        <f>E434+G434+I434</f>
        <v>0</v>
      </c>
      <c r="L434" s="217">
        <f>F434+H434+J434</f>
        <v>0</v>
      </c>
      <c r="M434" s="215" t="s">
        <v>68</v>
      </c>
      <c r="N434" s="212" t="s">
        <v>68</v>
      </c>
      <c r="O434" s="212"/>
      <c r="P434" s="212" t="s">
        <v>1095</v>
      </c>
      <c r="Q434" s="212" t="s">
        <v>68</v>
      </c>
      <c r="R434" s="212" t="s">
        <v>2212</v>
      </c>
      <c r="S434" s="212"/>
      <c r="T434" s="212"/>
      <c r="U434" s="212"/>
      <c r="V434" s="212"/>
      <c r="W434" s="212"/>
      <c r="X434" s="212"/>
      <c r="Y434" s="212"/>
      <c r="Z434" s="212"/>
      <c r="AA434" s="212"/>
      <c r="AB434" s="212"/>
      <c r="AC434" s="212"/>
      <c r="AD434" s="212"/>
      <c r="AE434" s="212"/>
      <c r="AF434" s="212"/>
      <c r="AG434" s="212"/>
      <c r="AH434" s="212"/>
      <c r="AI434" s="212"/>
      <c r="AJ434" s="212"/>
      <c r="AK434" s="212"/>
      <c r="AL434" s="212"/>
      <c r="AM434" s="212"/>
      <c r="AN434" s="212"/>
      <c r="AO434" s="212"/>
      <c r="AP434" s="212"/>
      <c r="AQ434" s="212"/>
      <c r="AR434" s="212"/>
      <c r="AS434" s="212"/>
      <c r="AT434" s="212"/>
      <c r="AU434" s="212"/>
      <c r="AV434" s="212"/>
      <c r="AW434" s="212"/>
      <c r="AX434" s="212"/>
      <c r="AY434" s="212"/>
      <c r="AZ434" s="212"/>
      <c r="BA434" s="212"/>
      <c r="BB434" s="212"/>
      <c r="BC434" s="212"/>
      <c r="BD434" s="212"/>
      <c r="BE434" s="212"/>
      <c r="BF434" s="212"/>
      <c r="BG434" s="212"/>
      <c r="BH434" s="212"/>
      <c r="BI434" s="231" t="str">
        <f>HYPERLINK("#노임!A9","L001010101000015 →")</f>
        <v>L001010101000015 →</v>
      </c>
    </row>
    <row r="435" spans="1:61" ht="24" customHeight="1">
      <c r="A435" s="218" t="s">
        <v>1967</v>
      </c>
      <c r="B435" s="218" t="s">
        <v>1946</v>
      </c>
      <c r="C435" s="229">
        <v>0.435</v>
      </c>
      <c r="D435" s="213" t="s">
        <v>1286</v>
      </c>
      <c r="E435" s="217">
        <v>0</v>
      </c>
      <c r="F435" s="217"/>
      <c r="G435" s="217">
        <f>노임!D3</f>
        <v>0</v>
      </c>
      <c r="H435" s="217">
        <f>TRUNC(G435*C435,0)</f>
        <v>0</v>
      </c>
      <c r="I435" s="217">
        <v>0</v>
      </c>
      <c r="J435" s="217"/>
      <c r="K435" s="217">
        <f>E435+G435+I435</f>
        <v>0</v>
      </c>
      <c r="L435" s="217">
        <f>F435+H435+J435</f>
        <v>0</v>
      </c>
      <c r="M435" s="215" t="s">
        <v>68</v>
      </c>
      <c r="N435" s="212" t="s">
        <v>68</v>
      </c>
      <c r="O435" s="212"/>
      <c r="P435" s="212" t="s">
        <v>1098</v>
      </c>
      <c r="Q435" s="212" t="s">
        <v>68</v>
      </c>
      <c r="R435" s="212" t="s">
        <v>1968</v>
      </c>
      <c r="S435" s="212"/>
      <c r="T435" s="212"/>
      <c r="U435" s="212"/>
      <c r="V435" s="212"/>
      <c r="W435" s="212"/>
      <c r="X435" s="212"/>
      <c r="Y435" s="212"/>
      <c r="Z435" s="212"/>
      <c r="AA435" s="212"/>
      <c r="AB435" s="212"/>
      <c r="AC435" s="212"/>
      <c r="AD435" s="212"/>
      <c r="AE435" s="212"/>
      <c r="AF435" s="212"/>
      <c r="AG435" s="212"/>
      <c r="AH435" s="212"/>
      <c r="AI435" s="212"/>
      <c r="AJ435" s="212"/>
      <c r="AK435" s="212"/>
      <c r="AL435" s="212"/>
      <c r="AM435" s="212"/>
      <c r="AN435" s="212"/>
      <c r="AO435" s="212"/>
      <c r="AP435" s="212"/>
      <c r="AQ435" s="212"/>
      <c r="AR435" s="212"/>
      <c r="AS435" s="212"/>
      <c r="AT435" s="212"/>
      <c r="AU435" s="212"/>
      <c r="AV435" s="212"/>
      <c r="AW435" s="212"/>
      <c r="AX435" s="212"/>
      <c r="AY435" s="212"/>
      <c r="AZ435" s="212"/>
      <c r="BA435" s="212"/>
      <c r="BB435" s="212"/>
      <c r="BC435" s="212"/>
      <c r="BD435" s="212"/>
      <c r="BE435" s="212"/>
      <c r="BF435" s="212"/>
      <c r="BG435" s="212"/>
      <c r="BH435" s="212"/>
      <c r="BI435" s="231" t="str">
        <f>HYPERLINK("#노임!A3","L001010101000002 →")</f>
        <v>L001010101000002 →</v>
      </c>
    </row>
    <row r="436" spans="1:61" ht="24" customHeight="1">
      <c r="A436" s="218" t="s">
        <v>2213</v>
      </c>
      <c r="B436" s="218" t="s">
        <v>2214</v>
      </c>
      <c r="C436" s="229">
        <v>6.9569999999999999</v>
      </c>
      <c r="D436" s="213" t="s">
        <v>1227</v>
      </c>
      <c r="E436" s="217">
        <f>중기목록!E7</f>
        <v>0</v>
      </c>
      <c r="F436" s="217">
        <f>TRUNC(E436*C436,0)</f>
        <v>0</v>
      </c>
      <c r="G436" s="217">
        <f>중기목록!F7</f>
        <v>0</v>
      </c>
      <c r="H436" s="217">
        <f>TRUNC(G436*C436,0)</f>
        <v>0</v>
      </c>
      <c r="I436" s="217">
        <f>중기목록!G7</f>
        <v>0</v>
      </c>
      <c r="J436" s="217">
        <f>TRUNC(I436*C436,0)</f>
        <v>0</v>
      </c>
      <c r="K436" s="217">
        <f>E436+G436+I436</f>
        <v>0</v>
      </c>
      <c r="L436" s="217">
        <f>F436+H436+J436</f>
        <v>0</v>
      </c>
      <c r="M436" s="215" t="s">
        <v>68</v>
      </c>
      <c r="N436" s="212" t="s">
        <v>68</v>
      </c>
      <c r="O436" s="212"/>
      <c r="P436" s="212" t="s">
        <v>1101</v>
      </c>
      <c r="Q436" s="212" t="s">
        <v>68</v>
      </c>
      <c r="R436" s="212" t="s">
        <v>2215</v>
      </c>
      <c r="S436" s="212"/>
      <c r="T436" s="212"/>
      <c r="U436" s="212"/>
      <c r="V436" s="212"/>
      <c r="W436" s="212"/>
      <c r="X436" s="212"/>
      <c r="Y436" s="212"/>
      <c r="Z436" s="212"/>
      <c r="AA436" s="220" t="s">
        <v>1117</v>
      </c>
      <c r="AB436" s="212">
        <f>(호표!H434+호표!H435)*0.01</f>
        <v>0</v>
      </c>
      <c r="AC436" s="220" t="s">
        <v>1118</v>
      </c>
      <c r="AD436" s="212">
        <f>$AB436</f>
        <v>0</v>
      </c>
      <c r="AE436" s="212"/>
      <c r="AF436" s="212"/>
      <c r="AG436" s="212"/>
      <c r="AH436" s="212"/>
      <c r="AI436" s="212"/>
      <c r="AJ436" s="212"/>
      <c r="AK436" s="212"/>
      <c r="AL436" s="212"/>
      <c r="AM436" s="212"/>
      <c r="AN436" s="212"/>
      <c r="AO436" s="212"/>
      <c r="AP436" s="212"/>
      <c r="AQ436" s="212"/>
      <c r="AR436" s="212"/>
      <c r="AS436" s="212"/>
      <c r="AT436" s="212"/>
      <c r="AU436" s="212"/>
      <c r="AV436" s="212"/>
      <c r="AW436" s="212"/>
      <c r="AX436" s="212"/>
      <c r="AY436" s="212"/>
      <c r="AZ436" s="212"/>
      <c r="BA436" s="212"/>
      <c r="BB436" s="212"/>
      <c r="BC436" s="212"/>
      <c r="BD436" s="212"/>
      <c r="BE436" s="212"/>
      <c r="BF436" s="212"/>
      <c r="BG436" s="212"/>
      <c r="BH436" s="212"/>
      <c r="BI436" s="231" t="str">
        <f>HYPERLINK("#중기사용료목록!A7","E00005220001500000 →")</f>
        <v>E00005220001500000 →</v>
      </c>
    </row>
    <row r="437" spans="1:61" ht="24" customHeight="1">
      <c r="A437" s="218" t="s">
        <v>1971</v>
      </c>
      <c r="B437" s="218" t="s">
        <v>2216</v>
      </c>
      <c r="C437" s="228">
        <v>1</v>
      </c>
      <c r="D437" s="213" t="s">
        <v>1950</v>
      </c>
      <c r="E437" s="213"/>
      <c r="F437" s="217">
        <f>TRUNC(((H434+H435)*0.01),0)</f>
        <v>0</v>
      </c>
      <c r="G437" s="213"/>
      <c r="H437" s="217">
        <v>0</v>
      </c>
      <c r="I437" s="213"/>
      <c r="J437" s="217">
        <v>0</v>
      </c>
      <c r="K437" s="217">
        <f>E437+G437+I437</f>
        <v>0</v>
      </c>
      <c r="L437" s="217">
        <f>F437+H437+J437</f>
        <v>0</v>
      </c>
      <c r="M437" s="215" t="s">
        <v>68</v>
      </c>
      <c r="N437" s="212" t="s">
        <v>68</v>
      </c>
      <c r="O437" s="212"/>
      <c r="P437" s="212" t="s">
        <v>1104</v>
      </c>
      <c r="Q437" s="212" t="s">
        <v>68</v>
      </c>
      <c r="R437" s="212" t="s">
        <v>1121</v>
      </c>
      <c r="S437" s="212"/>
      <c r="T437" s="212"/>
      <c r="U437" s="212"/>
      <c r="V437" s="212"/>
      <c r="W437" s="212"/>
      <c r="X437" s="212" t="s">
        <v>2217</v>
      </c>
      <c r="Y437" s="212"/>
      <c r="Z437" s="212"/>
      <c r="AA437" s="212"/>
      <c r="AB437" s="212"/>
      <c r="AC437" s="212"/>
      <c r="AD437" s="212"/>
      <c r="AE437" s="212"/>
      <c r="AF437" s="212"/>
      <c r="AG437" s="212"/>
      <c r="AH437" s="212"/>
      <c r="AI437" s="212"/>
      <c r="AJ437" s="212"/>
      <c r="AK437" s="212"/>
      <c r="AL437" s="212"/>
      <c r="AM437" s="212"/>
      <c r="AN437" s="212"/>
      <c r="AO437" s="212"/>
      <c r="AP437" s="212"/>
      <c r="AQ437" s="212"/>
      <c r="AR437" s="212"/>
      <c r="AS437" s="212"/>
      <c r="AT437" s="212"/>
      <c r="AU437" s="212"/>
      <c r="AV437" s="212"/>
      <c r="AW437" s="212"/>
      <c r="AX437" s="212"/>
      <c r="AY437" s="212"/>
      <c r="AZ437" s="212"/>
      <c r="BA437" s="212"/>
      <c r="BB437" s="212"/>
      <c r="BC437" s="212"/>
      <c r="BD437" s="212"/>
      <c r="BE437" s="212"/>
      <c r="BF437" s="212"/>
      <c r="BG437" s="212"/>
      <c r="BH437" s="212"/>
      <c r="BI437" s="212"/>
    </row>
    <row r="438" spans="1:61" ht="24" customHeight="1">
      <c r="A438" s="215"/>
      <c r="B438" s="215"/>
      <c r="C438" s="229"/>
      <c r="D438" s="213"/>
      <c r="E438" s="213"/>
      <c r="F438" s="213"/>
      <c r="G438" s="213"/>
      <c r="H438" s="213"/>
      <c r="I438" s="213"/>
      <c r="J438" s="213"/>
      <c r="K438" s="213"/>
      <c r="L438" s="213"/>
      <c r="M438" s="215"/>
      <c r="N438" s="212"/>
      <c r="O438" s="212"/>
      <c r="P438" s="212"/>
      <c r="Q438" s="212"/>
      <c r="R438" s="212"/>
      <c r="S438" s="212"/>
      <c r="T438" s="212"/>
      <c r="U438" s="212"/>
      <c r="V438" s="212"/>
      <c r="W438" s="212"/>
      <c r="X438" s="212"/>
      <c r="Y438" s="212"/>
      <c r="Z438" s="212"/>
      <c r="AA438" s="212"/>
      <c r="AB438" s="212"/>
      <c r="AC438" s="212"/>
      <c r="AD438" s="212"/>
      <c r="AE438" s="212"/>
      <c r="AF438" s="212"/>
      <c r="AG438" s="212"/>
      <c r="AH438" s="212"/>
      <c r="AI438" s="212"/>
      <c r="AJ438" s="212"/>
      <c r="AK438" s="212"/>
      <c r="AL438" s="212"/>
      <c r="AM438" s="212"/>
      <c r="AN438" s="212"/>
      <c r="AO438" s="212"/>
      <c r="AP438" s="212"/>
      <c r="AQ438" s="212"/>
      <c r="AR438" s="212"/>
      <c r="AS438" s="212"/>
      <c r="AT438" s="212"/>
      <c r="AU438" s="212"/>
      <c r="AV438" s="212"/>
      <c r="AW438" s="212"/>
      <c r="AX438" s="212"/>
      <c r="AY438" s="212"/>
      <c r="AZ438" s="212"/>
      <c r="BA438" s="212"/>
      <c r="BB438" s="212"/>
      <c r="BC438" s="212"/>
      <c r="BD438" s="212"/>
      <c r="BE438" s="212"/>
      <c r="BF438" s="212"/>
      <c r="BG438" s="212"/>
      <c r="BH438" s="212"/>
      <c r="BI438" s="212"/>
    </row>
    <row r="439" spans="1:61" ht="24" customHeight="1">
      <c r="A439" s="218" t="s">
        <v>2218</v>
      </c>
      <c r="B439" s="218" t="s">
        <v>1169</v>
      </c>
      <c r="C439" s="228">
        <v>1</v>
      </c>
      <c r="D439" s="213" t="s">
        <v>9</v>
      </c>
      <c r="E439" s="212"/>
      <c r="F439" s="217">
        <f>TRUNC(F440+F441+F442,0)</f>
        <v>0</v>
      </c>
      <c r="G439" s="212"/>
      <c r="H439" s="217">
        <f>TRUNC(H440+H441+H442,0)</f>
        <v>0</v>
      </c>
      <c r="I439" s="212"/>
      <c r="J439" s="217">
        <f>TRUNC(J440+J441+J442,0)</f>
        <v>0</v>
      </c>
      <c r="K439" s="212"/>
      <c r="L439" s="217">
        <f>F439+H439+J439</f>
        <v>0</v>
      </c>
      <c r="M439" s="215" t="s">
        <v>1792</v>
      </c>
      <c r="N439" s="212" t="s">
        <v>68</v>
      </c>
      <c r="O439" s="212" t="s">
        <v>1281</v>
      </c>
      <c r="P439" s="212"/>
      <c r="Q439" s="212"/>
      <c r="R439" s="212"/>
      <c r="S439" s="212"/>
      <c r="T439" s="212"/>
      <c r="U439" s="212"/>
      <c r="V439" s="212"/>
      <c r="W439" s="212"/>
      <c r="X439" s="212"/>
      <c r="Y439" s="212"/>
      <c r="Z439" s="212"/>
      <c r="AA439" s="212"/>
      <c r="AB439" s="212"/>
      <c r="AC439" s="212"/>
      <c r="AD439" s="212"/>
      <c r="AE439" s="212"/>
      <c r="AF439" s="212"/>
      <c r="AG439" s="212"/>
      <c r="AH439" s="212"/>
      <c r="AI439" s="212"/>
      <c r="AJ439" s="212"/>
      <c r="AK439" s="212"/>
      <c r="AL439" s="212"/>
      <c r="AM439" s="212"/>
      <c r="AN439" s="212"/>
      <c r="AO439" s="212"/>
      <c r="AP439" s="212"/>
      <c r="AQ439" s="212"/>
      <c r="AR439" s="212"/>
      <c r="AS439" s="212"/>
      <c r="AT439" s="212"/>
      <c r="AU439" s="212"/>
      <c r="AV439" s="212"/>
      <c r="AW439" s="212"/>
      <c r="AX439" s="212"/>
      <c r="AY439" s="212"/>
      <c r="AZ439" s="212"/>
      <c r="BA439" s="212"/>
      <c r="BB439" s="212"/>
      <c r="BC439" s="212"/>
      <c r="BD439" s="212"/>
      <c r="BE439" s="212"/>
      <c r="BF439" s="212"/>
      <c r="BG439" s="212"/>
      <c r="BH439" s="212"/>
      <c r="BI439" s="212"/>
    </row>
    <row r="440" spans="1:61" ht="24" customHeight="1">
      <c r="A440" s="218" t="s">
        <v>2109</v>
      </c>
      <c r="B440" s="218" t="s">
        <v>1946</v>
      </c>
      <c r="C440" s="229">
        <v>1.4E-2</v>
      </c>
      <c r="D440" s="213" t="s">
        <v>1286</v>
      </c>
      <c r="E440" s="217">
        <v>0</v>
      </c>
      <c r="F440" s="217"/>
      <c r="G440" s="217">
        <f>노임!D18</f>
        <v>0</v>
      </c>
      <c r="H440" s="217">
        <f>TRUNC(G440*C440,0)</f>
        <v>0</v>
      </c>
      <c r="I440" s="217">
        <v>0</v>
      </c>
      <c r="J440" s="217"/>
      <c r="K440" s="217">
        <f>E440+G440+I440</f>
        <v>0</v>
      </c>
      <c r="L440" s="217">
        <f>F440+H440+J440</f>
        <v>0</v>
      </c>
      <c r="M440" s="215" t="s">
        <v>68</v>
      </c>
      <c r="N440" s="212" t="s">
        <v>68</v>
      </c>
      <c r="O440" s="212"/>
      <c r="P440" s="212" t="s">
        <v>1095</v>
      </c>
      <c r="Q440" s="212" t="s">
        <v>68</v>
      </c>
      <c r="R440" s="212" t="s">
        <v>2110</v>
      </c>
      <c r="S440" s="212"/>
      <c r="T440" s="212"/>
      <c r="U440" s="212"/>
      <c r="V440" s="212"/>
      <c r="W440" s="212"/>
      <c r="X440" s="212"/>
      <c r="Y440" s="212"/>
      <c r="Z440" s="212"/>
      <c r="AA440" s="212"/>
      <c r="AB440" s="212"/>
      <c r="AC440" s="212"/>
      <c r="AD440" s="212"/>
      <c r="AE440" s="212"/>
      <c r="AF440" s="212"/>
      <c r="AG440" s="212"/>
      <c r="AH440" s="212"/>
      <c r="AI440" s="212"/>
      <c r="AJ440" s="212"/>
      <c r="AK440" s="212"/>
      <c r="AL440" s="212"/>
      <c r="AM440" s="212"/>
      <c r="AN440" s="212"/>
      <c r="AO440" s="212"/>
      <c r="AP440" s="212"/>
      <c r="AQ440" s="212"/>
      <c r="AR440" s="212"/>
      <c r="AS440" s="212"/>
      <c r="AT440" s="212"/>
      <c r="AU440" s="212"/>
      <c r="AV440" s="212"/>
      <c r="AW440" s="212"/>
      <c r="AX440" s="212"/>
      <c r="AY440" s="212"/>
      <c r="AZ440" s="212"/>
      <c r="BA440" s="212"/>
      <c r="BB440" s="212"/>
      <c r="BC440" s="212"/>
      <c r="BD440" s="212"/>
      <c r="BE440" s="212"/>
      <c r="BF440" s="212"/>
      <c r="BG440" s="212"/>
      <c r="BH440" s="212"/>
      <c r="BI440" s="231" t="str">
        <f>HYPERLINK("#노임!A18","L001010101000030 →")</f>
        <v>L001010101000030 →</v>
      </c>
    </row>
    <row r="441" spans="1:61" ht="24" customHeight="1">
      <c r="A441" s="218" t="s">
        <v>1967</v>
      </c>
      <c r="B441" s="218" t="s">
        <v>1946</v>
      </c>
      <c r="C441" s="229">
        <v>0.01</v>
      </c>
      <c r="D441" s="213" t="s">
        <v>1286</v>
      </c>
      <c r="E441" s="217">
        <v>0</v>
      </c>
      <c r="F441" s="217"/>
      <c r="G441" s="217">
        <f>노임!D3</f>
        <v>0</v>
      </c>
      <c r="H441" s="217">
        <f>TRUNC(G441*C441,0)</f>
        <v>0</v>
      </c>
      <c r="I441" s="217">
        <v>0</v>
      </c>
      <c r="J441" s="217"/>
      <c r="K441" s="217">
        <f>E441+G441+I441</f>
        <v>0</v>
      </c>
      <c r="L441" s="217">
        <f>F441+H441+J441</f>
        <v>0</v>
      </c>
      <c r="M441" s="215" t="s">
        <v>68</v>
      </c>
      <c r="N441" s="212" t="s">
        <v>68</v>
      </c>
      <c r="O441" s="212"/>
      <c r="P441" s="212" t="s">
        <v>1098</v>
      </c>
      <c r="Q441" s="212" t="s">
        <v>68</v>
      </c>
      <c r="R441" s="212" t="s">
        <v>1968</v>
      </c>
      <c r="S441" s="212"/>
      <c r="T441" s="212"/>
      <c r="U441" s="212"/>
      <c r="V441" s="212"/>
      <c r="W441" s="212"/>
      <c r="X441" s="212"/>
      <c r="Y441" s="212"/>
      <c r="Z441" s="212"/>
      <c r="AA441" s="220" t="s">
        <v>1955</v>
      </c>
      <c r="AB441" s="212">
        <f>(호표!H440+호표!H441)*0.02</f>
        <v>0</v>
      </c>
      <c r="AC441" s="220" t="s">
        <v>1956</v>
      </c>
      <c r="AD441" s="212">
        <f>$AB441</f>
        <v>0</v>
      </c>
      <c r="AE441" s="212"/>
      <c r="AF441" s="212"/>
      <c r="AG441" s="212"/>
      <c r="AH441" s="212"/>
      <c r="AI441" s="212"/>
      <c r="AJ441" s="212"/>
      <c r="AK441" s="212"/>
      <c r="AL441" s="212"/>
      <c r="AM441" s="212"/>
      <c r="AN441" s="212"/>
      <c r="AO441" s="212"/>
      <c r="AP441" s="212"/>
      <c r="AQ441" s="212"/>
      <c r="AR441" s="212"/>
      <c r="AS441" s="212"/>
      <c r="AT441" s="212"/>
      <c r="AU441" s="212"/>
      <c r="AV441" s="212"/>
      <c r="AW441" s="212"/>
      <c r="AX441" s="212"/>
      <c r="AY441" s="212"/>
      <c r="AZ441" s="212"/>
      <c r="BA441" s="212"/>
      <c r="BB441" s="212"/>
      <c r="BC441" s="212"/>
      <c r="BD441" s="212"/>
      <c r="BE441" s="212"/>
      <c r="BF441" s="212"/>
      <c r="BG441" s="212"/>
      <c r="BH441" s="212"/>
      <c r="BI441" s="231" t="str">
        <f>HYPERLINK("#노임!A3","L001010101000002 →")</f>
        <v>L001010101000002 →</v>
      </c>
    </row>
    <row r="442" spans="1:61" ht="24" customHeight="1">
      <c r="A442" s="218" t="s">
        <v>1948</v>
      </c>
      <c r="B442" s="218" t="s">
        <v>1958</v>
      </c>
      <c r="C442" s="228">
        <v>2</v>
      </c>
      <c r="D442" s="213" t="s">
        <v>1950</v>
      </c>
      <c r="E442" s="213"/>
      <c r="F442" s="217">
        <v>0</v>
      </c>
      <c r="G442" s="213"/>
      <c r="H442" s="217">
        <v>0</v>
      </c>
      <c r="I442" s="213"/>
      <c r="J442" s="217">
        <f>TRUNC(((H440+H441)*0.02),0)</f>
        <v>0</v>
      </c>
      <c r="K442" s="217">
        <f>E442+G442+I442</f>
        <v>0</v>
      </c>
      <c r="L442" s="217">
        <f>F442+H442+J442</f>
        <v>0</v>
      </c>
      <c r="M442" s="215" t="s">
        <v>68</v>
      </c>
      <c r="N442" s="212" t="s">
        <v>68</v>
      </c>
      <c r="O442" s="212"/>
      <c r="P442" s="212" t="s">
        <v>1101</v>
      </c>
      <c r="Q442" s="212" t="s">
        <v>68</v>
      </c>
      <c r="R442" s="212" t="s">
        <v>1121</v>
      </c>
      <c r="S442" s="212"/>
      <c r="T442" s="212"/>
      <c r="U442" s="212"/>
      <c r="V442" s="212"/>
      <c r="W442" s="212"/>
      <c r="X442" s="212" t="s">
        <v>1975</v>
      </c>
      <c r="Y442" s="212"/>
      <c r="Z442" s="212"/>
      <c r="AA442" s="212"/>
      <c r="AB442" s="212"/>
      <c r="AC442" s="212"/>
      <c r="AD442" s="212"/>
      <c r="AE442" s="212"/>
      <c r="AF442" s="212"/>
      <c r="AG442" s="212"/>
      <c r="AH442" s="212"/>
      <c r="AI442" s="212"/>
      <c r="AJ442" s="212"/>
      <c r="AK442" s="212"/>
      <c r="AL442" s="212"/>
      <c r="AM442" s="212"/>
      <c r="AN442" s="212"/>
      <c r="AO442" s="212"/>
      <c r="AP442" s="212"/>
      <c r="AQ442" s="212"/>
      <c r="AR442" s="212"/>
      <c r="AS442" s="212"/>
      <c r="AT442" s="212"/>
      <c r="AU442" s="212"/>
      <c r="AV442" s="212"/>
      <c r="AW442" s="212"/>
      <c r="AX442" s="212"/>
      <c r="AY442" s="212"/>
      <c r="AZ442" s="212"/>
      <c r="BA442" s="212"/>
      <c r="BB442" s="212"/>
      <c r="BC442" s="212"/>
      <c r="BD442" s="212"/>
      <c r="BE442" s="212"/>
      <c r="BF442" s="212"/>
      <c r="BG442" s="212"/>
      <c r="BH442" s="212"/>
      <c r="BI442" s="212"/>
    </row>
    <row r="443" spans="1:61" ht="24" customHeight="1">
      <c r="A443" s="215"/>
      <c r="B443" s="215"/>
      <c r="C443" s="229"/>
      <c r="D443" s="213"/>
      <c r="E443" s="213"/>
      <c r="F443" s="213"/>
      <c r="G443" s="213"/>
      <c r="H443" s="213"/>
      <c r="I443" s="213"/>
      <c r="J443" s="213"/>
      <c r="K443" s="213"/>
      <c r="L443" s="213"/>
      <c r="M443" s="215"/>
      <c r="N443" s="212"/>
      <c r="O443" s="212"/>
      <c r="P443" s="212"/>
      <c r="Q443" s="212"/>
      <c r="R443" s="212"/>
      <c r="S443" s="212"/>
      <c r="T443" s="212"/>
      <c r="U443" s="212"/>
      <c r="V443" s="212"/>
      <c r="W443" s="212"/>
      <c r="X443" s="212"/>
      <c r="Y443" s="212"/>
      <c r="Z443" s="212"/>
      <c r="AA443" s="212"/>
      <c r="AB443" s="212"/>
      <c r="AC443" s="212"/>
      <c r="AD443" s="212"/>
      <c r="AE443" s="212"/>
      <c r="AF443" s="212"/>
      <c r="AG443" s="212"/>
      <c r="AH443" s="212"/>
      <c r="AI443" s="212"/>
      <c r="AJ443" s="212"/>
      <c r="AK443" s="212"/>
      <c r="AL443" s="212"/>
      <c r="AM443" s="212"/>
      <c r="AN443" s="212"/>
      <c r="AO443" s="212"/>
      <c r="AP443" s="212"/>
      <c r="AQ443" s="212"/>
      <c r="AR443" s="212"/>
      <c r="AS443" s="212"/>
      <c r="AT443" s="212"/>
      <c r="AU443" s="212"/>
      <c r="AV443" s="212"/>
      <c r="AW443" s="212"/>
      <c r="AX443" s="212"/>
      <c r="AY443" s="212"/>
      <c r="AZ443" s="212"/>
      <c r="BA443" s="212"/>
      <c r="BB443" s="212"/>
      <c r="BC443" s="212"/>
      <c r="BD443" s="212"/>
      <c r="BE443" s="212"/>
      <c r="BF443" s="212"/>
      <c r="BG443" s="212"/>
      <c r="BH443" s="212"/>
      <c r="BI443" s="212"/>
    </row>
    <row r="444" spans="1:61" ht="24" customHeight="1">
      <c r="A444" s="218" t="s">
        <v>2219</v>
      </c>
      <c r="B444" s="218" t="s">
        <v>68</v>
      </c>
      <c r="C444" s="228">
        <v>1</v>
      </c>
      <c r="D444" s="213" t="s">
        <v>9</v>
      </c>
      <c r="E444" s="212"/>
      <c r="F444" s="217">
        <f>TRUNC(F445+F446+F447,0)</f>
        <v>0</v>
      </c>
      <c r="G444" s="212"/>
      <c r="H444" s="217">
        <f>TRUNC(H445+H446+H447,0)</f>
        <v>0</v>
      </c>
      <c r="I444" s="212"/>
      <c r="J444" s="217">
        <f>TRUNC(J445+J446+J447,0)</f>
        <v>0</v>
      </c>
      <c r="K444" s="212"/>
      <c r="L444" s="217">
        <f>F444+H444+J444</f>
        <v>0</v>
      </c>
      <c r="M444" s="215" t="s">
        <v>1794</v>
      </c>
      <c r="N444" s="212" t="s">
        <v>68</v>
      </c>
      <c r="O444" s="212" t="s">
        <v>1283</v>
      </c>
      <c r="P444" s="212"/>
      <c r="Q444" s="212"/>
      <c r="R444" s="212"/>
      <c r="S444" s="212"/>
      <c r="T444" s="212"/>
      <c r="U444" s="212"/>
      <c r="V444" s="212"/>
      <c r="W444" s="212"/>
      <c r="X444" s="212"/>
      <c r="Y444" s="212"/>
      <c r="Z444" s="212"/>
      <c r="AA444" s="212"/>
      <c r="AB444" s="212"/>
      <c r="AC444" s="212"/>
      <c r="AD444" s="212"/>
      <c r="AE444" s="212"/>
      <c r="AF444" s="212"/>
      <c r="AG444" s="212"/>
      <c r="AH444" s="212"/>
      <c r="AI444" s="212"/>
      <c r="AJ444" s="212"/>
      <c r="AK444" s="212"/>
      <c r="AL444" s="212"/>
      <c r="AM444" s="212"/>
      <c r="AN444" s="212"/>
      <c r="AO444" s="212"/>
      <c r="AP444" s="212"/>
      <c r="AQ444" s="212"/>
      <c r="AR444" s="212"/>
      <c r="AS444" s="212"/>
      <c r="AT444" s="212"/>
      <c r="AU444" s="212"/>
      <c r="AV444" s="212"/>
      <c r="AW444" s="212"/>
      <c r="AX444" s="212"/>
      <c r="AY444" s="212"/>
      <c r="AZ444" s="212"/>
      <c r="BA444" s="212"/>
      <c r="BB444" s="212"/>
      <c r="BC444" s="212"/>
      <c r="BD444" s="212"/>
      <c r="BE444" s="212"/>
      <c r="BF444" s="212"/>
      <c r="BG444" s="212"/>
      <c r="BH444" s="212"/>
      <c r="BI444" s="212"/>
    </row>
    <row r="445" spans="1:61" ht="24" customHeight="1">
      <c r="A445" s="218" t="s">
        <v>2109</v>
      </c>
      <c r="B445" s="218" t="s">
        <v>1946</v>
      </c>
      <c r="C445" s="229">
        <v>1.6E-2</v>
      </c>
      <c r="D445" s="213" t="s">
        <v>1286</v>
      </c>
      <c r="E445" s="217">
        <v>0</v>
      </c>
      <c r="F445" s="217"/>
      <c r="G445" s="217">
        <f>노임!D18</f>
        <v>0</v>
      </c>
      <c r="H445" s="217">
        <f>TRUNC(G445*C445,0)</f>
        <v>0</v>
      </c>
      <c r="I445" s="217">
        <v>0</v>
      </c>
      <c r="J445" s="217"/>
      <c r="K445" s="217">
        <f>E445+G445+I445</f>
        <v>0</v>
      </c>
      <c r="L445" s="217">
        <f>F445+H445+J445</f>
        <v>0</v>
      </c>
      <c r="M445" s="215" t="s">
        <v>68</v>
      </c>
      <c r="N445" s="212" t="s">
        <v>68</v>
      </c>
      <c r="O445" s="212"/>
      <c r="P445" s="212" t="s">
        <v>1095</v>
      </c>
      <c r="Q445" s="212" t="s">
        <v>68</v>
      </c>
      <c r="R445" s="212" t="s">
        <v>2110</v>
      </c>
      <c r="S445" s="212"/>
      <c r="T445" s="212"/>
      <c r="U445" s="212"/>
      <c r="V445" s="212"/>
      <c r="W445" s="212"/>
      <c r="X445" s="212"/>
      <c r="Y445" s="212"/>
      <c r="Z445" s="212"/>
      <c r="AA445" s="212"/>
      <c r="AB445" s="212"/>
      <c r="AC445" s="212"/>
      <c r="AD445" s="212"/>
      <c r="AE445" s="212"/>
      <c r="AF445" s="212"/>
      <c r="AG445" s="212"/>
      <c r="AH445" s="212"/>
      <c r="AI445" s="212"/>
      <c r="AJ445" s="212"/>
      <c r="AK445" s="212"/>
      <c r="AL445" s="212"/>
      <c r="AM445" s="212"/>
      <c r="AN445" s="212"/>
      <c r="AO445" s="212"/>
      <c r="AP445" s="212"/>
      <c r="AQ445" s="212"/>
      <c r="AR445" s="212"/>
      <c r="AS445" s="212"/>
      <c r="AT445" s="212"/>
      <c r="AU445" s="212"/>
      <c r="AV445" s="212"/>
      <c r="AW445" s="212"/>
      <c r="AX445" s="212"/>
      <c r="AY445" s="212"/>
      <c r="AZ445" s="212"/>
      <c r="BA445" s="212"/>
      <c r="BB445" s="212"/>
      <c r="BC445" s="212"/>
      <c r="BD445" s="212"/>
      <c r="BE445" s="212"/>
      <c r="BF445" s="212"/>
      <c r="BG445" s="212"/>
      <c r="BH445" s="212"/>
      <c r="BI445" s="231" t="str">
        <f>HYPERLINK("#노임!A18","L001010101000030 →")</f>
        <v>L001010101000030 →</v>
      </c>
    </row>
    <row r="446" spans="1:61" ht="24" customHeight="1">
      <c r="A446" s="218" t="s">
        <v>1967</v>
      </c>
      <c r="B446" s="218" t="s">
        <v>1946</v>
      </c>
      <c r="C446" s="229">
        <v>1.0999999999999999E-2</v>
      </c>
      <c r="D446" s="213" t="s">
        <v>1286</v>
      </c>
      <c r="E446" s="217">
        <v>0</v>
      </c>
      <c r="F446" s="217"/>
      <c r="G446" s="217">
        <f>노임!D3</f>
        <v>0</v>
      </c>
      <c r="H446" s="217">
        <f>TRUNC(G446*C446,0)</f>
        <v>0</v>
      </c>
      <c r="I446" s="217">
        <v>0</v>
      </c>
      <c r="J446" s="217"/>
      <c r="K446" s="217">
        <f>E446+G446+I446</f>
        <v>0</v>
      </c>
      <c r="L446" s="217">
        <f>F446+H446+J446</f>
        <v>0</v>
      </c>
      <c r="M446" s="215" t="s">
        <v>68</v>
      </c>
      <c r="N446" s="212" t="s">
        <v>68</v>
      </c>
      <c r="O446" s="212"/>
      <c r="P446" s="212" t="s">
        <v>1098</v>
      </c>
      <c r="Q446" s="212" t="s">
        <v>68</v>
      </c>
      <c r="R446" s="212" t="s">
        <v>1968</v>
      </c>
      <c r="S446" s="212"/>
      <c r="T446" s="212"/>
      <c r="U446" s="212"/>
      <c r="V446" s="212"/>
      <c r="W446" s="212"/>
      <c r="X446" s="212"/>
      <c r="Y446" s="212"/>
      <c r="Z446" s="212"/>
      <c r="AA446" s="220" t="s">
        <v>1955</v>
      </c>
      <c r="AB446" s="212">
        <f>(호표!H445+호표!H446)*0.02</f>
        <v>0</v>
      </c>
      <c r="AC446" s="220" t="s">
        <v>1956</v>
      </c>
      <c r="AD446" s="212">
        <f>$AB446</f>
        <v>0</v>
      </c>
      <c r="AE446" s="212"/>
      <c r="AF446" s="212"/>
      <c r="AG446" s="212"/>
      <c r="AH446" s="212"/>
      <c r="AI446" s="212"/>
      <c r="AJ446" s="212"/>
      <c r="AK446" s="212"/>
      <c r="AL446" s="212"/>
      <c r="AM446" s="212"/>
      <c r="AN446" s="212"/>
      <c r="AO446" s="212"/>
      <c r="AP446" s="212"/>
      <c r="AQ446" s="212"/>
      <c r="AR446" s="212"/>
      <c r="AS446" s="212"/>
      <c r="AT446" s="212"/>
      <c r="AU446" s="212"/>
      <c r="AV446" s="212"/>
      <c r="AW446" s="212"/>
      <c r="AX446" s="212"/>
      <c r="AY446" s="212"/>
      <c r="AZ446" s="212"/>
      <c r="BA446" s="212"/>
      <c r="BB446" s="212"/>
      <c r="BC446" s="212"/>
      <c r="BD446" s="212"/>
      <c r="BE446" s="212"/>
      <c r="BF446" s="212"/>
      <c r="BG446" s="212"/>
      <c r="BH446" s="212"/>
      <c r="BI446" s="231" t="str">
        <f>HYPERLINK("#노임!A3","L001010101000002 →")</f>
        <v>L001010101000002 →</v>
      </c>
    </row>
    <row r="447" spans="1:61" ht="24" customHeight="1">
      <c r="A447" s="218" t="s">
        <v>1948</v>
      </c>
      <c r="B447" s="218" t="s">
        <v>1958</v>
      </c>
      <c r="C447" s="228">
        <v>2</v>
      </c>
      <c r="D447" s="213" t="s">
        <v>1950</v>
      </c>
      <c r="E447" s="213"/>
      <c r="F447" s="217">
        <v>0</v>
      </c>
      <c r="G447" s="213"/>
      <c r="H447" s="217">
        <v>0</v>
      </c>
      <c r="I447" s="213"/>
      <c r="J447" s="217">
        <f>TRUNC(((H445+H446)*0.02),0)</f>
        <v>0</v>
      </c>
      <c r="K447" s="217">
        <f>E447+G447+I447</f>
        <v>0</v>
      </c>
      <c r="L447" s="217">
        <f>F447+H447+J447</f>
        <v>0</v>
      </c>
      <c r="M447" s="215" t="s">
        <v>68</v>
      </c>
      <c r="N447" s="212" t="s">
        <v>68</v>
      </c>
      <c r="O447" s="212"/>
      <c r="P447" s="212" t="s">
        <v>1101</v>
      </c>
      <c r="Q447" s="212" t="s">
        <v>68</v>
      </c>
      <c r="R447" s="212" t="s">
        <v>1121</v>
      </c>
      <c r="S447" s="212"/>
      <c r="T447" s="212"/>
      <c r="U447" s="212"/>
      <c r="V447" s="212"/>
      <c r="W447" s="212"/>
      <c r="X447" s="212" t="s">
        <v>1975</v>
      </c>
      <c r="Y447" s="212"/>
      <c r="Z447" s="212"/>
      <c r="AA447" s="212"/>
      <c r="AB447" s="212"/>
      <c r="AC447" s="212"/>
      <c r="AD447" s="212"/>
      <c r="AE447" s="212"/>
      <c r="AF447" s="212"/>
      <c r="AG447" s="212"/>
      <c r="AH447" s="212"/>
      <c r="AI447" s="212"/>
      <c r="AJ447" s="212"/>
      <c r="AK447" s="212"/>
      <c r="AL447" s="212"/>
      <c r="AM447" s="212"/>
      <c r="AN447" s="212"/>
      <c r="AO447" s="212"/>
      <c r="AP447" s="212"/>
      <c r="AQ447" s="212"/>
      <c r="AR447" s="212"/>
      <c r="AS447" s="212"/>
      <c r="AT447" s="212"/>
      <c r="AU447" s="212"/>
      <c r="AV447" s="212"/>
      <c r="AW447" s="212"/>
      <c r="AX447" s="212"/>
      <c r="AY447" s="212"/>
      <c r="AZ447" s="212"/>
      <c r="BA447" s="212"/>
      <c r="BB447" s="212"/>
      <c r="BC447" s="212"/>
      <c r="BD447" s="212"/>
      <c r="BE447" s="212"/>
      <c r="BF447" s="212"/>
      <c r="BG447" s="212"/>
      <c r="BH447" s="212"/>
      <c r="BI447" s="212"/>
    </row>
    <row r="448" spans="1:61" ht="24" customHeight="1">
      <c r="A448" s="215"/>
      <c r="B448" s="215"/>
      <c r="C448" s="229"/>
      <c r="D448" s="213"/>
      <c r="E448" s="213"/>
      <c r="F448" s="213"/>
      <c r="G448" s="213"/>
      <c r="H448" s="213"/>
      <c r="I448" s="213"/>
      <c r="J448" s="213"/>
      <c r="K448" s="213"/>
      <c r="L448" s="213"/>
      <c r="M448" s="215"/>
      <c r="N448" s="212"/>
      <c r="O448" s="212"/>
      <c r="P448" s="212"/>
      <c r="Q448" s="212"/>
      <c r="R448" s="212"/>
      <c r="S448" s="212"/>
      <c r="T448" s="212"/>
      <c r="U448" s="212"/>
      <c r="V448" s="212"/>
      <c r="W448" s="212"/>
      <c r="X448" s="212"/>
      <c r="Y448" s="212"/>
      <c r="Z448" s="212"/>
      <c r="AA448" s="212"/>
      <c r="AB448" s="212"/>
      <c r="AC448" s="212"/>
      <c r="AD448" s="212"/>
      <c r="AE448" s="212"/>
      <c r="AF448" s="212"/>
      <c r="AG448" s="212"/>
      <c r="AH448" s="212"/>
      <c r="AI448" s="212"/>
      <c r="AJ448" s="212"/>
      <c r="AK448" s="212"/>
      <c r="AL448" s="212"/>
      <c r="AM448" s="212"/>
      <c r="AN448" s="212"/>
      <c r="AO448" s="212"/>
      <c r="AP448" s="212"/>
      <c r="AQ448" s="212"/>
      <c r="AR448" s="212"/>
      <c r="AS448" s="212"/>
      <c r="AT448" s="212"/>
      <c r="AU448" s="212"/>
      <c r="AV448" s="212"/>
      <c r="AW448" s="212"/>
      <c r="AX448" s="212"/>
      <c r="AY448" s="212"/>
      <c r="AZ448" s="212"/>
      <c r="BA448" s="212"/>
      <c r="BB448" s="212"/>
      <c r="BC448" s="212"/>
      <c r="BD448" s="212"/>
      <c r="BE448" s="212"/>
      <c r="BF448" s="212"/>
      <c r="BG448" s="212"/>
      <c r="BH448" s="212"/>
      <c r="BI448" s="212"/>
    </row>
    <row r="449" spans="1:61" ht="24" customHeight="1">
      <c r="A449" s="218" t="s">
        <v>2220</v>
      </c>
      <c r="B449" s="218" t="s">
        <v>1285</v>
      </c>
      <c r="C449" s="228">
        <v>1</v>
      </c>
      <c r="D449" s="213" t="s">
        <v>1286</v>
      </c>
      <c r="E449" s="212"/>
      <c r="F449" s="217">
        <f>TRUNC(F450,0)</f>
        <v>0</v>
      </c>
      <c r="G449" s="212"/>
      <c r="H449" s="217">
        <f>TRUNC(H450,0)</f>
        <v>0</v>
      </c>
      <c r="I449" s="212"/>
      <c r="J449" s="217">
        <f>TRUNC(J450,0)</f>
        <v>0</v>
      </c>
      <c r="K449" s="212"/>
      <c r="L449" s="217">
        <f>F449+H449+J449</f>
        <v>0</v>
      </c>
      <c r="M449" s="215" t="s">
        <v>68</v>
      </c>
      <c r="N449" s="212" t="s">
        <v>68</v>
      </c>
      <c r="O449" s="212" t="s">
        <v>1287</v>
      </c>
      <c r="P449" s="212"/>
      <c r="Q449" s="212"/>
      <c r="R449" s="212"/>
      <c r="S449" s="212"/>
      <c r="T449" s="212"/>
      <c r="U449" s="212"/>
      <c r="V449" s="212"/>
      <c r="W449" s="212"/>
      <c r="X449" s="212"/>
      <c r="Y449" s="212"/>
      <c r="Z449" s="212"/>
      <c r="AA449" s="212"/>
      <c r="AB449" s="212"/>
      <c r="AC449" s="212"/>
      <c r="AD449" s="212"/>
      <c r="AE449" s="212"/>
      <c r="AF449" s="212"/>
      <c r="AG449" s="212"/>
      <c r="AH449" s="212"/>
      <c r="AI449" s="212"/>
      <c r="AJ449" s="212"/>
      <c r="AK449" s="212"/>
      <c r="AL449" s="212"/>
      <c r="AM449" s="212"/>
      <c r="AN449" s="212"/>
      <c r="AO449" s="212"/>
      <c r="AP449" s="212"/>
      <c r="AQ449" s="212"/>
      <c r="AR449" s="212"/>
      <c r="AS449" s="212"/>
      <c r="AT449" s="212"/>
      <c r="AU449" s="212"/>
      <c r="AV449" s="212"/>
      <c r="AW449" s="212"/>
      <c r="AX449" s="212"/>
      <c r="AY449" s="212"/>
      <c r="AZ449" s="212"/>
      <c r="BA449" s="212"/>
      <c r="BB449" s="212"/>
      <c r="BC449" s="212"/>
      <c r="BD449" s="212"/>
      <c r="BE449" s="212"/>
      <c r="BF449" s="212"/>
      <c r="BG449" s="212"/>
      <c r="BH449" s="212"/>
      <c r="BI449" s="212"/>
    </row>
    <row r="450" spans="1:61" ht="24" customHeight="1">
      <c r="A450" s="218" t="s">
        <v>2221</v>
      </c>
      <c r="B450" s="218" t="s">
        <v>1946</v>
      </c>
      <c r="C450" s="228">
        <v>1</v>
      </c>
      <c r="D450" s="213" t="s">
        <v>1286</v>
      </c>
      <c r="E450" s="217">
        <v>0</v>
      </c>
      <c r="F450" s="217"/>
      <c r="G450" s="217">
        <f>노임!D28</f>
        <v>0</v>
      </c>
      <c r="H450" s="217">
        <f>TRUNC(G450*C450,0)</f>
        <v>0</v>
      </c>
      <c r="I450" s="217">
        <v>0</v>
      </c>
      <c r="J450" s="217"/>
      <c r="K450" s="217">
        <f>E450+G450+I450</f>
        <v>0</v>
      </c>
      <c r="L450" s="217">
        <f>F450+H450+J450</f>
        <v>0</v>
      </c>
      <c r="M450" s="215" t="s">
        <v>68</v>
      </c>
      <c r="N450" s="212" t="s">
        <v>68</v>
      </c>
      <c r="O450" s="212"/>
      <c r="P450" s="212" t="s">
        <v>1095</v>
      </c>
      <c r="Q450" s="212" t="s">
        <v>68</v>
      </c>
      <c r="R450" s="212" t="s">
        <v>2222</v>
      </c>
      <c r="S450" s="212"/>
      <c r="T450" s="212"/>
      <c r="U450" s="212"/>
      <c r="V450" s="212"/>
      <c r="W450" s="212"/>
      <c r="X450" s="212"/>
      <c r="Y450" s="212"/>
      <c r="Z450" s="212"/>
      <c r="AA450" s="212"/>
      <c r="AB450" s="212"/>
      <c r="AC450" s="212"/>
      <c r="AD450" s="212"/>
      <c r="AE450" s="212"/>
      <c r="AF450" s="212"/>
      <c r="AG450" s="212"/>
      <c r="AH450" s="212"/>
      <c r="AI450" s="212"/>
      <c r="AJ450" s="212"/>
      <c r="AK450" s="212"/>
      <c r="AL450" s="212"/>
      <c r="AM450" s="212"/>
      <c r="AN450" s="212"/>
      <c r="AO450" s="212"/>
      <c r="AP450" s="212"/>
      <c r="AQ450" s="212"/>
      <c r="AR450" s="212"/>
      <c r="AS450" s="212"/>
      <c r="AT450" s="212"/>
      <c r="AU450" s="212"/>
      <c r="AV450" s="212"/>
      <c r="AW450" s="212"/>
      <c r="AX450" s="212"/>
      <c r="AY450" s="212"/>
      <c r="AZ450" s="212"/>
      <c r="BA450" s="212"/>
      <c r="BB450" s="212"/>
      <c r="BC450" s="212"/>
      <c r="BD450" s="212"/>
      <c r="BE450" s="212"/>
      <c r="BF450" s="212"/>
      <c r="BG450" s="212"/>
      <c r="BH450" s="212"/>
      <c r="BI450" s="231" t="str">
        <f>HYPERLINK("#노임!A28","L001010501000124 →")</f>
        <v>L001010501000124 →</v>
      </c>
    </row>
    <row r="451" spans="1:61" ht="24" customHeight="1">
      <c r="A451" s="215"/>
      <c r="B451" s="215"/>
      <c r="C451" s="229"/>
      <c r="D451" s="213"/>
      <c r="E451" s="213"/>
      <c r="F451" s="213"/>
      <c r="G451" s="213"/>
      <c r="H451" s="213"/>
      <c r="I451" s="213"/>
      <c r="J451" s="213"/>
      <c r="K451" s="213"/>
      <c r="L451" s="213"/>
      <c r="M451" s="215"/>
      <c r="N451" s="212"/>
      <c r="O451" s="212"/>
      <c r="P451" s="212"/>
      <c r="Q451" s="212"/>
      <c r="R451" s="212"/>
      <c r="S451" s="212"/>
      <c r="T451" s="212"/>
      <c r="U451" s="212"/>
      <c r="V451" s="212"/>
      <c r="W451" s="212"/>
      <c r="X451" s="212"/>
      <c r="Y451" s="212"/>
      <c r="Z451" s="212"/>
      <c r="AA451" s="212"/>
      <c r="AB451" s="212"/>
      <c r="AC451" s="212"/>
      <c r="AD451" s="212"/>
      <c r="AE451" s="212"/>
      <c r="AF451" s="212"/>
      <c r="AG451" s="212"/>
      <c r="AH451" s="212"/>
      <c r="AI451" s="212"/>
      <c r="AJ451" s="212"/>
      <c r="AK451" s="212"/>
      <c r="AL451" s="212"/>
      <c r="AM451" s="212"/>
      <c r="AN451" s="212"/>
      <c r="AO451" s="212"/>
      <c r="AP451" s="212"/>
      <c r="AQ451" s="212"/>
      <c r="AR451" s="212"/>
      <c r="AS451" s="212"/>
      <c r="AT451" s="212"/>
      <c r="AU451" s="212"/>
      <c r="AV451" s="212"/>
      <c r="AW451" s="212"/>
      <c r="AX451" s="212"/>
      <c r="AY451" s="212"/>
      <c r="AZ451" s="212"/>
      <c r="BA451" s="212"/>
      <c r="BB451" s="212"/>
      <c r="BC451" s="212"/>
      <c r="BD451" s="212"/>
      <c r="BE451" s="212"/>
      <c r="BF451" s="212"/>
      <c r="BG451" s="212"/>
      <c r="BH451" s="212"/>
      <c r="BI451" s="212"/>
    </row>
    <row r="452" spans="1:61" ht="24" customHeight="1">
      <c r="A452" s="218" t="s">
        <v>2223</v>
      </c>
      <c r="B452" s="218" t="s">
        <v>1288</v>
      </c>
      <c r="C452" s="228">
        <v>1</v>
      </c>
      <c r="D452" s="213" t="s">
        <v>1286</v>
      </c>
      <c r="E452" s="212"/>
      <c r="F452" s="217">
        <f>TRUNC(F453,0)</f>
        <v>0</v>
      </c>
      <c r="G452" s="212"/>
      <c r="H452" s="217">
        <f>TRUNC(H453,0)</f>
        <v>0</v>
      </c>
      <c r="I452" s="212"/>
      <c r="J452" s="217">
        <f>TRUNC(J453,0)</f>
        <v>0</v>
      </c>
      <c r="K452" s="212"/>
      <c r="L452" s="217">
        <f>F452+H452+J452</f>
        <v>0</v>
      </c>
      <c r="M452" s="215" t="s">
        <v>68</v>
      </c>
      <c r="N452" s="212" t="s">
        <v>68</v>
      </c>
      <c r="O452" s="212" t="s">
        <v>1289</v>
      </c>
      <c r="P452" s="212"/>
      <c r="Q452" s="212"/>
      <c r="R452" s="212"/>
      <c r="S452" s="212"/>
      <c r="T452" s="212"/>
      <c r="U452" s="212"/>
      <c r="V452" s="212"/>
      <c r="W452" s="212"/>
      <c r="X452" s="212"/>
      <c r="Y452" s="212"/>
      <c r="Z452" s="212"/>
      <c r="AA452" s="212"/>
      <c r="AB452" s="212"/>
      <c r="AC452" s="212"/>
      <c r="AD452" s="212"/>
      <c r="AE452" s="212"/>
      <c r="AF452" s="212"/>
      <c r="AG452" s="212"/>
      <c r="AH452" s="212"/>
      <c r="AI452" s="212"/>
      <c r="AJ452" s="212"/>
      <c r="AK452" s="212"/>
      <c r="AL452" s="212"/>
      <c r="AM452" s="212"/>
      <c r="AN452" s="212"/>
      <c r="AO452" s="212"/>
      <c r="AP452" s="212"/>
      <c r="AQ452" s="212"/>
      <c r="AR452" s="212"/>
      <c r="AS452" s="212"/>
      <c r="AT452" s="212"/>
      <c r="AU452" s="212"/>
      <c r="AV452" s="212"/>
      <c r="AW452" s="212"/>
      <c r="AX452" s="212"/>
      <c r="AY452" s="212"/>
      <c r="AZ452" s="212"/>
      <c r="BA452" s="212"/>
      <c r="BB452" s="212"/>
      <c r="BC452" s="212"/>
      <c r="BD452" s="212"/>
      <c r="BE452" s="212"/>
      <c r="BF452" s="212"/>
      <c r="BG452" s="212"/>
      <c r="BH452" s="212"/>
      <c r="BI452" s="212"/>
    </row>
    <row r="453" spans="1:61" ht="24" customHeight="1">
      <c r="A453" s="218" t="s">
        <v>1967</v>
      </c>
      <c r="B453" s="218" t="s">
        <v>1946</v>
      </c>
      <c r="C453" s="228">
        <v>1</v>
      </c>
      <c r="D453" s="213" t="s">
        <v>1286</v>
      </c>
      <c r="E453" s="217">
        <v>0</v>
      </c>
      <c r="F453" s="217"/>
      <c r="G453" s="217">
        <f>노임!D3</f>
        <v>0</v>
      </c>
      <c r="H453" s="217">
        <f>TRUNC(G453*C453,0)</f>
        <v>0</v>
      </c>
      <c r="I453" s="217">
        <v>0</v>
      </c>
      <c r="J453" s="217"/>
      <c r="K453" s="217">
        <f>E453+G453+I453</f>
        <v>0</v>
      </c>
      <c r="L453" s="217">
        <f>F453+H453+J453</f>
        <v>0</v>
      </c>
      <c r="M453" s="215" t="s">
        <v>68</v>
      </c>
      <c r="N453" s="212" t="s">
        <v>68</v>
      </c>
      <c r="O453" s="212"/>
      <c r="P453" s="212" t="s">
        <v>1095</v>
      </c>
      <c r="Q453" s="212" t="s">
        <v>68</v>
      </c>
      <c r="R453" s="212" t="s">
        <v>1968</v>
      </c>
      <c r="S453" s="212"/>
      <c r="T453" s="212"/>
      <c r="U453" s="212"/>
      <c r="V453" s="212"/>
      <c r="W453" s="212"/>
      <c r="X453" s="212"/>
      <c r="Y453" s="212"/>
      <c r="Z453" s="212"/>
      <c r="AA453" s="212"/>
      <c r="AB453" s="212"/>
      <c r="AC453" s="212"/>
      <c r="AD453" s="212"/>
      <c r="AE453" s="212"/>
      <c r="AF453" s="212"/>
      <c r="AG453" s="212"/>
      <c r="AH453" s="212"/>
      <c r="AI453" s="212"/>
      <c r="AJ453" s="212"/>
      <c r="AK453" s="212"/>
      <c r="AL453" s="212"/>
      <c r="AM453" s="212"/>
      <c r="AN453" s="212"/>
      <c r="AO453" s="212"/>
      <c r="AP453" s="212"/>
      <c r="AQ453" s="212"/>
      <c r="AR453" s="212"/>
      <c r="AS453" s="212"/>
      <c r="AT453" s="212"/>
      <c r="AU453" s="212"/>
      <c r="AV453" s="212"/>
      <c r="AW453" s="212"/>
      <c r="AX453" s="212"/>
      <c r="AY453" s="212"/>
      <c r="AZ453" s="212"/>
      <c r="BA453" s="212"/>
      <c r="BB453" s="212"/>
      <c r="BC453" s="212"/>
      <c r="BD453" s="212"/>
      <c r="BE453" s="212"/>
      <c r="BF453" s="212"/>
      <c r="BG453" s="212"/>
      <c r="BH453" s="212"/>
      <c r="BI453" s="231" t="str">
        <f>HYPERLINK("#노임!A3","L001010101000002 →")</f>
        <v>L001010101000002 →</v>
      </c>
    </row>
    <row r="454" spans="1:61" ht="24" customHeight="1">
      <c r="A454" s="215"/>
      <c r="B454" s="215"/>
      <c r="C454" s="229"/>
      <c r="D454" s="213"/>
      <c r="E454" s="213"/>
      <c r="F454" s="213"/>
      <c r="G454" s="213"/>
      <c r="H454" s="213"/>
      <c r="I454" s="213"/>
      <c r="J454" s="213"/>
      <c r="K454" s="213"/>
      <c r="L454" s="213"/>
      <c r="M454" s="215"/>
      <c r="N454" s="212"/>
      <c r="O454" s="212"/>
      <c r="P454" s="212"/>
      <c r="Q454" s="212"/>
      <c r="R454" s="212"/>
      <c r="S454" s="212"/>
      <c r="T454" s="212"/>
      <c r="U454" s="212"/>
      <c r="V454" s="212"/>
      <c r="W454" s="212"/>
      <c r="X454" s="212"/>
      <c r="Y454" s="212"/>
      <c r="Z454" s="212"/>
      <c r="AA454" s="212"/>
      <c r="AB454" s="212"/>
      <c r="AC454" s="212"/>
      <c r="AD454" s="212"/>
      <c r="AE454" s="212"/>
      <c r="AF454" s="212"/>
      <c r="AG454" s="212"/>
      <c r="AH454" s="212"/>
      <c r="AI454" s="212"/>
      <c r="AJ454" s="212"/>
      <c r="AK454" s="212"/>
      <c r="AL454" s="212"/>
      <c r="AM454" s="212"/>
      <c r="AN454" s="212"/>
      <c r="AO454" s="212"/>
      <c r="AP454" s="212"/>
      <c r="AQ454" s="212"/>
      <c r="AR454" s="212"/>
      <c r="AS454" s="212"/>
      <c r="AT454" s="212"/>
      <c r="AU454" s="212"/>
      <c r="AV454" s="212"/>
      <c r="AW454" s="212"/>
      <c r="AX454" s="212"/>
      <c r="AY454" s="212"/>
      <c r="AZ454" s="212"/>
      <c r="BA454" s="212"/>
      <c r="BB454" s="212"/>
      <c r="BC454" s="212"/>
      <c r="BD454" s="212"/>
      <c r="BE454" s="212"/>
      <c r="BF454" s="212"/>
      <c r="BG454" s="212"/>
      <c r="BH454" s="212"/>
      <c r="BI454" s="212"/>
    </row>
    <row r="455" spans="1:61" ht="24" customHeight="1">
      <c r="A455" s="218" t="s">
        <v>2224</v>
      </c>
      <c r="B455" s="218" t="s">
        <v>1295</v>
      </c>
      <c r="C455" s="228">
        <v>1</v>
      </c>
      <c r="D455" s="213" t="s">
        <v>9</v>
      </c>
      <c r="E455" s="212"/>
      <c r="F455" s="217">
        <f>TRUNC(F456+F457+F458,0)</f>
        <v>0</v>
      </c>
      <c r="G455" s="212"/>
      <c r="H455" s="217">
        <f>TRUNC(H456+H457+H458,0)</f>
        <v>0</v>
      </c>
      <c r="I455" s="212"/>
      <c r="J455" s="217">
        <f>TRUNC(J456+J457+J458,0)</f>
        <v>0</v>
      </c>
      <c r="K455" s="212"/>
      <c r="L455" s="217">
        <f>F455+H455+J455</f>
        <v>0</v>
      </c>
      <c r="M455" s="215" t="s">
        <v>1798</v>
      </c>
      <c r="N455" s="212" t="s">
        <v>68</v>
      </c>
      <c r="O455" s="212" t="s">
        <v>1296</v>
      </c>
      <c r="P455" s="212"/>
      <c r="Q455" s="212"/>
      <c r="R455" s="212"/>
      <c r="S455" s="212"/>
      <c r="T455" s="212"/>
      <c r="U455" s="212"/>
      <c r="V455" s="212"/>
      <c r="W455" s="212"/>
      <c r="X455" s="212"/>
      <c r="Y455" s="212"/>
      <c r="Z455" s="212"/>
      <c r="AA455" s="212"/>
      <c r="AB455" s="212"/>
      <c r="AC455" s="212"/>
      <c r="AD455" s="212"/>
      <c r="AE455" s="212"/>
      <c r="AF455" s="212"/>
      <c r="AG455" s="212"/>
      <c r="AH455" s="212"/>
      <c r="AI455" s="212"/>
      <c r="AJ455" s="212"/>
      <c r="AK455" s="212"/>
      <c r="AL455" s="212"/>
      <c r="AM455" s="212"/>
      <c r="AN455" s="212"/>
      <c r="AO455" s="212"/>
      <c r="AP455" s="212"/>
      <c r="AQ455" s="212"/>
      <c r="AR455" s="212"/>
      <c r="AS455" s="212"/>
      <c r="AT455" s="212"/>
      <c r="AU455" s="212"/>
      <c r="AV455" s="212"/>
      <c r="AW455" s="212"/>
      <c r="AX455" s="212"/>
      <c r="AY455" s="212"/>
      <c r="AZ455" s="212"/>
      <c r="BA455" s="212"/>
      <c r="BB455" s="212"/>
      <c r="BC455" s="212"/>
      <c r="BD455" s="212"/>
      <c r="BE455" s="212"/>
      <c r="BF455" s="212"/>
      <c r="BG455" s="212"/>
      <c r="BH455" s="212"/>
      <c r="BI455" s="212"/>
    </row>
    <row r="456" spans="1:61" ht="24" customHeight="1">
      <c r="A456" s="218" t="s">
        <v>2158</v>
      </c>
      <c r="B456" s="218" t="s">
        <v>1946</v>
      </c>
      <c r="C456" s="229">
        <v>8.6999999999999994E-3</v>
      </c>
      <c r="D456" s="213" t="s">
        <v>1286</v>
      </c>
      <c r="E456" s="217">
        <v>0</v>
      </c>
      <c r="F456" s="217"/>
      <c r="G456" s="217">
        <f>노임!D17</f>
        <v>0</v>
      </c>
      <c r="H456" s="217">
        <f>TRUNC(G456*C456,0)</f>
        <v>0</v>
      </c>
      <c r="I456" s="217">
        <v>0</v>
      </c>
      <c r="J456" s="217"/>
      <c r="K456" s="217">
        <f>E456+G456+I456</f>
        <v>0</v>
      </c>
      <c r="L456" s="217">
        <f>F456+H456+J456</f>
        <v>0</v>
      </c>
      <c r="M456" s="215" t="s">
        <v>68</v>
      </c>
      <c r="N456" s="212" t="s">
        <v>68</v>
      </c>
      <c r="O456" s="212"/>
      <c r="P456" s="212" t="s">
        <v>1095</v>
      </c>
      <c r="Q456" s="212" t="s">
        <v>68</v>
      </c>
      <c r="R456" s="212" t="s">
        <v>2159</v>
      </c>
      <c r="S456" s="212"/>
      <c r="T456" s="212"/>
      <c r="U456" s="212"/>
      <c r="V456" s="212"/>
      <c r="W456" s="212"/>
      <c r="X456" s="212"/>
      <c r="Y456" s="212"/>
      <c r="Z456" s="212"/>
      <c r="AA456" s="212"/>
      <c r="AB456" s="212"/>
      <c r="AC456" s="212"/>
      <c r="AD456" s="212"/>
      <c r="AE456" s="212"/>
      <c r="AF456" s="212"/>
      <c r="AG456" s="212"/>
      <c r="AH456" s="212"/>
      <c r="AI456" s="212"/>
      <c r="AJ456" s="212"/>
      <c r="AK456" s="212"/>
      <c r="AL456" s="212"/>
      <c r="AM456" s="212"/>
      <c r="AN456" s="212"/>
      <c r="AO456" s="212"/>
      <c r="AP456" s="212"/>
      <c r="AQ456" s="212"/>
      <c r="AR456" s="212"/>
      <c r="AS456" s="212"/>
      <c r="AT456" s="212"/>
      <c r="AU456" s="212"/>
      <c r="AV456" s="212"/>
      <c r="AW456" s="212"/>
      <c r="AX456" s="212"/>
      <c r="AY456" s="212"/>
      <c r="AZ456" s="212"/>
      <c r="BA456" s="212"/>
      <c r="BB456" s="212"/>
      <c r="BC456" s="212"/>
      <c r="BD456" s="212"/>
      <c r="BE456" s="212"/>
      <c r="BF456" s="212"/>
      <c r="BG456" s="212"/>
      <c r="BH456" s="212"/>
      <c r="BI456" s="231" t="str">
        <f>HYPERLINK("#노임!A17","L001010101000029 →")</f>
        <v>L001010101000029 →</v>
      </c>
    </row>
    <row r="457" spans="1:61" ht="24" customHeight="1">
      <c r="A457" s="218" t="s">
        <v>1967</v>
      </c>
      <c r="B457" s="218" t="s">
        <v>1946</v>
      </c>
      <c r="C457" s="229">
        <v>4.3E-3</v>
      </c>
      <c r="D457" s="213" t="s">
        <v>1286</v>
      </c>
      <c r="E457" s="217">
        <v>0</v>
      </c>
      <c r="F457" s="217"/>
      <c r="G457" s="217">
        <f>노임!D3</f>
        <v>0</v>
      </c>
      <c r="H457" s="217">
        <f>TRUNC(G457*C457,0)</f>
        <v>0</v>
      </c>
      <c r="I457" s="217">
        <v>0</v>
      </c>
      <c r="J457" s="217"/>
      <c r="K457" s="217">
        <f>E457+G457+I457</f>
        <v>0</v>
      </c>
      <c r="L457" s="217">
        <f>F457+H457+J457</f>
        <v>0</v>
      </c>
      <c r="M457" s="215" t="s">
        <v>68</v>
      </c>
      <c r="N457" s="212" t="s">
        <v>68</v>
      </c>
      <c r="O457" s="212"/>
      <c r="P457" s="212" t="s">
        <v>1098</v>
      </c>
      <c r="Q457" s="212" t="s">
        <v>68</v>
      </c>
      <c r="R457" s="212" t="s">
        <v>1968</v>
      </c>
      <c r="S457" s="212"/>
      <c r="T457" s="212"/>
      <c r="U457" s="212"/>
      <c r="V457" s="212"/>
      <c r="W457" s="212"/>
      <c r="X457" s="212"/>
      <c r="Y457" s="212"/>
      <c r="Z457" s="212"/>
      <c r="AA457" s="220" t="s">
        <v>1955</v>
      </c>
      <c r="AB457" s="212">
        <f>(호표!H456+호표!H457)*0.03</f>
        <v>0</v>
      </c>
      <c r="AC457" s="220" t="s">
        <v>1956</v>
      </c>
      <c r="AD457" s="212">
        <f>$AB457</f>
        <v>0</v>
      </c>
      <c r="AE457" s="212"/>
      <c r="AF457" s="212"/>
      <c r="AG457" s="212"/>
      <c r="AH457" s="212"/>
      <c r="AI457" s="212"/>
      <c r="AJ457" s="212"/>
      <c r="AK457" s="212"/>
      <c r="AL457" s="212"/>
      <c r="AM457" s="212"/>
      <c r="AN457" s="212"/>
      <c r="AO457" s="212"/>
      <c r="AP457" s="212"/>
      <c r="AQ457" s="212"/>
      <c r="AR457" s="212"/>
      <c r="AS457" s="212"/>
      <c r="AT457" s="212"/>
      <c r="AU457" s="212"/>
      <c r="AV457" s="212"/>
      <c r="AW457" s="212"/>
      <c r="AX457" s="212"/>
      <c r="AY457" s="212"/>
      <c r="AZ457" s="212"/>
      <c r="BA457" s="212"/>
      <c r="BB457" s="212"/>
      <c r="BC457" s="212"/>
      <c r="BD457" s="212"/>
      <c r="BE457" s="212"/>
      <c r="BF457" s="212"/>
      <c r="BG457" s="212"/>
      <c r="BH457" s="212"/>
      <c r="BI457" s="231" t="str">
        <f>HYPERLINK("#노임!A3","L001010101000002 →")</f>
        <v>L001010101000002 →</v>
      </c>
    </row>
    <row r="458" spans="1:61" ht="24" customHeight="1">
      <c r="A458" s="218" t="s">
        <v>1948</v>
      </c>
      <c r="B458" s="218" t="s">
        <v>1949</v>
      </c>
      <c r="C458" s="228">
        <v>3</v>
      </c>
      <c r="D458" s="213" t="s">
        <v>1950</v>
      </c>
      <c r="E458" s="213"/>
      <c r="F458" s="217">
        <v>0</v>
      </c>
      <c r="G458" s="213"/>
      <c r="H458" s="217">
        <v>0</v>
      </c>
      <c r="I458" s="213"/>
      <c r="J458" s="217">
        <f>TRUNC(((H456+H457)*0.03),0)</f>
        <v>0</v>
      </c>
      <c r="K458" s="217">
        <f>E458+G458+I458</f>
        <v>0</v>
      </c>
      <c r="L458" s="217">
        <f>F458+H458+J458</f>
        <v>0</v>
      </c>
      <c r="M458" s="215" t="s">
        <v>68</v>
      </c>
      <c r="N458" s="212" t="s">
        <v>68</v>
      </c>
      <c r="O458" s="212"/>
      <c r="P458" s="212" t="s">
        <v>1101</v>
      </c>
      <c r="Q458" s="212" t="s">
        <v>68</v>
      </c>
      <c r="R458" s="212" t="s">
        <v>1121</v>
      </c>
      <c r="S458" s="212"/>
      <c r="T458" s="212"/>
      <c r="U458" s="212"/>
      <c r="V458" s="212"/>
      <c r="W458" s="212"/>
      <c r="X458" s="212" t="s">
        <v>2130</v>
      </c>
      <c r="Y458" s="212"/>
      <c r="Z458" s="212"/>
      <c r="AA458" s="212"/>
      <c r="AB458" s="212"/>
      <c r="AC458" s="212"/>
      <c r="AD458" s="212"/>
      <c r="AE458" s="212"/>
      <c r="AF458" s="212"/>
      <c r="AG458" s="212"/>
      <c r="AH458" s="212"/>
      <c r="AI458" s="212"/>
      <c r="AJ458" s="212"/>
      <c r="AK458" s="212"/>
      <c r="AL458" s="212"/>
      <c r="AM458" s="212"/>
      <c r="AN458" s="212"/>
      <c r="AO458" s="212"/>
      <c r="AP458" s="212"/>
      <c r="AQ458" s="212"/>
      <c r="AR458" s="212"/>
      <c r="AS458" s="212"/>
      <c r="AT458" s="212"/>
      <c r="AU458" s="212"/>
      <c r="AV458" s="212"/>
      <c r="AW458" s="212"/>
      <c r="AX458" s="212"/>
      <c r="AY458" s="212"/>
      <c r="AZ458" s="212"/>
      <c r="BA458" s="212"/>
      <c r="BB458" s="212"/>
      <c r="BC458" s="212"/>
      <c r="BD458" s="212"/>
      <c r="BE458" s="212"/>
      <c r="BF458" s="212"/>
      <c r="BG458" s="212"/>
      <c r="BH458" s="212"/>
      <c r="BI458" s="212"/>
    </row>
    <row r="459" spans="1:61" ht="24" customHeight="1">
      <c r="A459" s="215"/>
      <c r="B459" s="215"/>
      <c r="C459" s="229"/>
      <c r="D459" s="213"/>
      <c r="E459" s="213"/>
      <c r="F459" s="213"/>
      <c r="G459" s="213"/>
      <c r="H459" s="213"/>
      <c r="I459" s="213"/>
      <c r="J459" s="213"/>
      <c r="K459" s="213"/>
      <c r="L459" s="213"/>
      <c r="M459" s="215"/>
      <c r="N459" s="212"/>
      <c r="O459" s="212"/>
      <c r="P459" s="212"/>
      <c r="Q459" s="212"/>
      <c r="R459" s="212"/>
      <c r="S459" s="212"/>
      <c r="T459" s="212"/>
      <c r="U459" s="212"/>
      <c r="V459" s="212"/>
      <c r="W459" s="212"/>
      <c r="X459" s="212"/>
      <c r="Y459" s="212"/>
      <c r="Z459" s="212"/>
      <c r="AA459" s="212"/>
      <c r="AB459" s="212"/>
      <c r="AC459" s="212"/>
      <c r="AD459" s="212"/>
      <c r="AE459" s="212"/>
      <c r="AF459" s="212"/>
      <c r="AG459" s="212"/>
      <c r="AH459" s="212"/>
      <c r="AI459" s="212"/>
      <c r="AJ459" s="212"/>
      <c r="AK459" s="212"/>
      <c r="AL459" s="212"/>
      <c r="AM459" s="212"/>
      <c r="AN459" s="212"/>
      <c r="AO459" s="212"/>
      <c r="AP459" s="212"/>
      <c r="AQ459" s="212"/>
      <c r="AR459" s="212"/>
      <c r="AS459" s="212"/>
      <c r="AT459" s="212"/>
      <c r="AU459" s="212"/>
      <c r="AV459" s="212"/>
      <c r="AW459" s="212"/>
      <c r="AX459" s="212"/>
      <c r="AY459" s="212"/>
      <c r="AZ459" s="212"/>
      <c r="BA459" s="212"/>
      <c r="BB459" s="212"/>
      <c r="BC459" s="212"/>
      <c r="BD459" s="212"/>
      <c r="BE459" s="212"/>
      <c r="BF459" s="212"/>
      <c r="BG459" s="212"/>
      <c r="BH459" s="212"/>
      <c r="BI459" s="212"/>
    </row>
    <row r="460" spans="1:61" ht="24" customHeight="1">
      <c r="A460" s="218" t="s">
        <v>2225</v>
      </c>
      <c r="B460" s="218" t="s">
        <v>1800</v>
      </c>
      <c r="C460" s="228">
        <v>1</v>
      </c>
      <c r="D460" s="213" t="s">
        <v>9</v>
      </c>
      <c r="E460" s="212"/>
      <c r="F460" s="217">
        <f>TRUNC(F461+F462+F463+F464,0)</f>
        <v>0</v>
      </c>
      <c r="G460" s="212"/>
      <c r="H460" s="217">
        <f>TRUNC(H461+H462+H463+H464,0)</f>
        <v>0</v>
      </c>
      <c r="I460" s="212"/>
      <c r="J460" s="217">
        <f>TRUNC(J461+J462+J463+J464,0)</f>
        <v>0</v>
      </c>
      <c r="K460" s="212"/>
      <c r="L460" s="217">
        <f>F460+H460+J460</f>
        <v>0</v>
      </c>
      <c r="M460" s="215" t="s">
        <v>1801</v>
      </c>
      <c r="N460" s="212" t="s">
        <v>68</v>
      </c>
      <c r="O460" s="212" t="s">
        <v>1299</v>
      </c>
      <c r="P460" s="212"/>
      <c r="Q460" s="212"/>
      <c r="R460" s="212"/>
      <c r="S460" s="212"/>
      <c r="T460" s="212"/>
      <c r="U460" s="212"/>
      <c r="V460" s="212"/>
      <c r="W460" s="212"/>
      <c r="X460" s="212"/>
      <c r="Y460" s="212"/>
      <c r="Z460" s="212"/>
      <c r="AA460" s="212"/>
      <c r="AB460" s="212"/>
      <c r="AC460" s="212"/>
      <c r="AD460" s="212"/>
      <c r="AE460" s="212"/>
      <c r="AF460" s="212"/>
      <c r="AG460" s="212"/>
      <c r="AH460" s="212"/>
      <c r="AI460" s="212"/>
      <c r="AJ460" s="212"/>
      <c r="AK460" s="212"/>
      <c r="AL460" s="212"/>
      <c r="AM460" s="212"/>
      <c r="AN460" s="212"/>
      <c r="AO460" s="212"/>
      <c r="AP460" s="212"/>
      <c r="AQ460" s="212"/>
      <c r="AR460" s="212"/>
      <c r="AS460" s="212"/>
      <c r="AT460" s="212"/>
      <c r="AU460" s="212"/>
      <c r="AV460" s="212"/>
      <c r="AW460" s="212"/>
      <c r="AX460" s="212"/>
      <c r="AY460" s="212"/>
      <c r="AZ460" s="212"/>
      <c r="BA460" s="212"/>
      <c r="BB460" s="212"/>
      <c r="BC460" s="212"/>
      <c r="BD460" s="212"/>
      <c r="BE460" s="212"/>
      <c r="BF460" s="212"/>
      <c r="BG460" s="212"/>
      <c r="BH460" s="212"/>
      <c r="BI460" s="212"/>
    </row>
    <row r="461" spans="1:61" ht="24" customHeight="1">
      <c r="A461" s="218" t="s">
        <v>2226</v>
      </c>
      <c r="B461" s="218" t="s">
        <v>2227</v>
      </c>
      <c r="C461" s="229">
        <v>0.5</v>
      </c>
      <c r="D461" s="213" t="s">
        <v>1979</v>
      </c>
      <c r="E461" s="217">
        <f>자재조서!E35</f>
        <v>0</v>
      </c>
      <c r="F461" s="217">
        <f>TRUNC(E461*C461,0)</f>
        <v>0</v>
      </c>
      <c r="G461" s="217">
        <v>0</v>
      </c>
      <c r="H461" s="217"/>
      <c r="I461" s="217">
        <v>0</v>
      </c>
      <c r="J461" s="217"/>
      <c r="K461" s="217">
        <f>E461+G461+I461</f>
        <v>0</v>
      </c>
      <c r="L461" s="217">
        <f>F461+H461+J461</f>
        <v>0</v>
      </c>
      <c r="M461" s="215" t="s">
        <v>68</v>
      </c>
      <c r="N461" s="212" t="s">
        <v>68</v>
      </c>
      <c r="O461" s="212"/>
      <c r="P461" s="212" t="s">
        <v>1095</v>
      </c>
      <c r="Q461" s="212" t="s">
        <v>68</v>
      </c>
      <c r="R461" s="212" t="s">
        <v>2228</v>
      </c>
      <c r="S461" s="212"/>
      <c r="T461" s="212"/>
      <c r="U461" s="212"/>
      <c r="V461" s="212"/>
      <c r="W461" s="212"/>
      <c r="X461" s="212"/>
      <c r="Y461" s="212"/>
      <c r="Z461" s="212"/>
      <c r="AA461" s="212"/>
      <c r="AB461" s="212"/>
      <c r="AC461" s="212"/>
      <c r="AD461" s="212"/>
      <c r="AE461" s="212"/>
      <c r="AF461" s="212"/>
      <c r="AG461" s="212"/>
      <c r="AH461" s="212"/>
      <c r="AI461" s="212"/>
      <c r="AJ461" s="212"/>
      <c r="AK461" s="212"/>
      <c r="AL461" s="212"/>
      <c r="AM461" s="212"/>
      <c r="AN461" s="212"/>
      <c r="AO461" s="212"/>
      <c r="AP461" s="212"/>
      <c r="AQ461" s="212"/>
      <c r="AR461" s="212"/>
      <c r="AS461" s="212"/>
      <c r="AT461" s="212"/>
      <c r="AU461" s="212"/>
      <c r="AV461" s="212"/>
      <c r="AW461" s="212"/>
      <c r="AX461" s="212"/>
      <c r="AY461" s="212"/>
      <c r="AZ461" s="212"/>
      <c r="BA461" s="212"/>
      <c r="BB461" s="212"/>
      <c r="BC461" s="212"/>
      <c r="BD461" s="212"/>
      <c r="BE461" s="212"/>
      <c r="BF461" s="212"/>
      <c r="BG461" s="212"/>
      <c r="BH461" s="212"/>
      <c r="BI461" s="231" t="str">
        <f>HYPERLINK("#자재조서!A35","MVP2122 →")</f>
        <v>MVP2122 →</v>
      </c>
    </row>
    <row r="462" spans="1:61" ht="24" customHeight="1">
      <c r="A462" s="218" t="s">
        <v>2158</v>
      </c>
      <c r="B462" s="218" t="s">
        <v>1946</v>
      </c>
      <c r="C462" s="229">
        <v>5.6000000000000001E-2</v>
      </c>
      <c r="D462" s="213" t="s">
        <v>1286</v>
      </c>
      <c r="E462" s="217">
        <v>0</v>
      </c>
      <c r="F462" s="217"/>
      <c r="G462" s="217">
        <f>노임!D17</f>
        <v>0</v>
      </c>
      <c r="H462" s="217">
        <f>TRUNC(G462*C462,0)</f>
        <v>0</v>
      </c>
      <c r="I462" s="217">
        <v>0</v>
      </c>
      <c r="J462" s="217"/>
      <c r="K462" s="217">
        <f>E462+G462+I462</f>
        <v>0</v>
      </c>
      <c r="L462" s="217">
        <f>F462+H462+J462</f>
        <v>0</v>
      </c>
      <c r="M462" s="215" t="s">
        <v>68</v>
      </c>
      <c r="N462" s="212" t="s">
        <v>68</v>
      </c>
      <c r="O462" s="212"/>
      <c r="P462" s="212" t="s">
        <v>1098</v>
      </c>
      <c r="Q462" s="212" t="s">
        <v>68</v>
      </c>
      <c r="R462" s="212" t="s">
        <v>2159</v>
      </c>
      <c r="S462" s="212"/>
      <c r="T462" s="212"/>
      <c r="U462" s="212"/>
      <c r="V462" s="212"/>
      <c r="W462" s="212"/>
      <c r="X462" s="212"/>
      <c r="Y462" s="212"/>
      <c r="Z462" s="212"/>
      <c r="AA462" s="212"/>
      <c r="AB462" s="212"/>
      <c r="AC462" s="212"/>
      <c r="AD462" s="212"/>
      <c r="AE462" s="212"/>
      <c r="AF462" s="212"/>
      <c r="AG462" s="212"/>
      <c r="AH462" s="212"/>
      <c r="AI462" s="212"/>
      <c r="AJ462" s="212"/>
      <c r="AK462" s="212"/>
      <c r="AL462" s="212"/>
      <c r="AM462" s="212"/>
      <c r="AN462" s="212"/>
      <c r="AO462" s="212"/>
      <c r="AP462" s="212"/>
      <c r="AQ462" s="212"/>
      <c r="AR462" s="212"/>
      <c r="AS462" s="212"/>
      <c r="AT462" s="212"/>
      <c r="AU462" s="212"/>
      <c r="AV462" s="212"/>
      <c r="AW462" s="212"/>
      <c r="AX462" s="212"/>
      <c r="AY462" s="212"/>
      <c r="AZ462" s="212"/>
      <c r="BA462" s="212"/>
      <c r="BB462" s="212"/>
      <c r="BC462" s="212"/>
      <c r="BD462" s="212"/>
      <c r="BE462" s="212"/>
      <c r="BF462" s="212"/>
      <c r="BG462" s="212"/>
      <c r="BH462" s="212"/>
      <c r="BI462" s="231" t="str">
        <f>HYPERLINK("#노임!A17","L001010101000029 →")</f>
        <v>L001010101000029 →</v>
      </c>
    </row>
    <row r="463" spans="1:61" ht="24" customHeight="1">
      <c r="A463" s="218" t="s">
        <v>1967</v>
      </c>
      <c r="B463" s="218" t="s">
        <v>1946</v>
      </c>
      <c r="C463" s="229">
        <v>1.0999999999999999E-2</v>
      </c>
      <c r="D463" s="213" t="s">
        <v>1286</v>
      </c>
      <c r="E463" s="217">
        <v>0</v>
      </c>
      <c r="F463" s="217"/>
      <c r="G463" s="217">
        <f>노임!D3</f>
        <v>0</v>
      </c>
      <c r="H463" s="217">
        <f>TRUNC(G463*C463,0)</f>
        <v>0</v>
      </c>
      <c r="I463" s="217">
        <v>0</v>
      </c>
      <c r="J463" s="217"/>
      <c r="K463" s="217">
        <f>E463+G463+I463</f>
        <v>0</v>
      </c>
      <c r="L463" s="217">
        <f>F463+H463+J463</f>
        <v>0</v>
      </c>
      <c r="M463" s="215" t="s">
        <v>68</v>
      </c>
      <c r="N463" s="212" t="s">
        <v>68</v>
      </c>
      <c r="O463" s="212"/>
      <c r="P463" s="212" t="s">
        <v>1101</v>
      </c>
      <c r="Q463" s="212" t="s">
        <v>68</v>
      </c>
      <c r="R463" s="212" t="s">
        <v>1968</v>
      </c>
      <c r="S463" s="212"/>
      <c r="T463" s="212"/>
      <c r="U463" s="212"/>
      <c r="V463" s="212"/>
      <c r="W463" s="212"/>
      <c r="X463" s="212"/>
      <c r="Y463" s="212"/>
      <c r="Z463" s="212"/>
      <c r="AA463" s="220" t="s">
        <v>1955</v>
      </c>
      <c r="AB463" s="212">
        <f>(호표!H462+호표!H463)*0.02</f>
        <v>0</v>
      </c>
      <c r="AC463" s="220" t="s">
        <v>1956</v>
      </c>
      <c r="AD463" s="212">
        <f>$AB463</f>
        <v>0</v>
      </c>
      <c r="AE463" s="212"/>
      <c r="AF463" s="212"/>
      <c r="AG463" s="212"/>
      <c r="AH463" s="212"/>
      <c r="AI463" s="212"/>
      <c r="AJ463" s="212"/>
      <c r="AK463" s="212"/>
      <c r="AL463" s="212"/>
      <c r="AM463" s="212"/>
      <c r="AN463" s="212"/>
      <c r="AO463" s="212"/>
      <c r="AP463" s="212"/>
      <c r="AQ463" s="212"/>
      <c r="AR463" s="212"/>
      <c r="AS463" s="212"/>
      <c r="AT463" s="212"/>
      <c r="AU463" s="212"/>
      <c r="AV463" s="212"/>
      <c r="AW463" s="212"/>
      <c r="AX463" s="212"/>
      <c r="AY463" s="212"/>
      <c r="AZ463" s="212"/>
      <c r="BA463" s="212"/>
      <c r="BB463" s="212"/>
      <c r="BC463" s="212"/>
      <c r="BD463" s="212"/>
      <c r="BE463" s="212"/>
      <c r="BF463" s="212"/>
      <c r="BG463" s="212"/>
      <c r="BH463" s="212"/>
      <c r="BI463" s="231" t="str">
        <f>HYPERLINK("#노임!A3","L001010101000002 →")</f>
        <v>L001010101000002 →</v>
      </c>
    </row>
    <row r="464" spans="1:61" ht="24" customHeight="1">
      <c r="A464" s="218" t="s">
        <v>1948</v>
      </c>
      <c r="B464" s="218" t="s">
        <v>1958</v>
      </c>
      <c r="C464" s="228">
        <v>2</v>
      </c>
      <c r="D464" s="213" t="s">
        <v>1950</v>
      </c>
      <c r="E464" s="213"/>
      <c r="F464" s="217">
        <v>0</v>
      </c>
      <c r="G464" s="213"/>
      <c r="H464" s="217">
        <v>0</v>
      </c>
      <c r="I464" s="213"/>
      <c r="J464" s="217">
        <f>TRUNC(((H462+H463)*0.02),0)</f>
        <v>0</v>
      </c>
      <c r="K464" s="217">
        <f>E464+G464+I464</f>
        <v>0</v>
      </c>
      <c r="L464" s="217">
        <f>F464+H464+J464</f>
        <v>0</v>
      </c>
      <c r="M464" s="215" t="s">
        <v>68</v>
      </c>
      <c r="N464" s="212" t="s">
        <v>68</v>
      </c>
      <c r="O464" s="212"/>
      <c r="P464" s="212" t="s">
        <v>1104</v>
      </c>
      <c r="Q464" s="212" t="s">
        <v>68</v>
      </c>
      <c r="R464" s="212" t="s">
        <v>1121</v>
      </c>
      <c r="S464" s="212"/>
      <c r="T464" s="212"/>
      <c r="U464" s="212"/>
      <c r="V464" s="212"/>
      <c r="W464" s="212"/>
      <c r="X464" s="212" t="s">
        <v>2160</v>
      </c>
      <c r="Y464" s="212"/>
      <c r="Z464" s="212"/>
      <c r="AA464" s="212"/>
      <c r="AB464" s="212"/>
      <c r="AC464" s="212"/>
      <c r="AD464" s="212"/>
      <c r="AE464" s="212"/>
      <c r="AF464" s="212"/>
      <c r="AG464" s="212"/>
      <c r="AH464" s="212"/>
      <c r="AI464" s="212"/>
      <c r="AJ464" s="212"/>
      <c r="AK464" s="212"/>
      <c r="AL464" s="212"/>
      <c r="AM464" s="212"/>
      <c r="AN464" s="212"/>
      <c r="AO464" s="212"/>
      <c r="AP464" s="212"/>
      <c r="AQ464" s="212"/>
      <c r="AR464" s="212"/>
      <c r="AS464" s="212"/>
      <c r="AT464" s="212"/>
      <c r="AU464" s="212"/>
      <c r="AV464" s="212"/>
      <c r="AW464" s="212"/>
      <c r="AX464" s="212"/>
      <c r="AY464" s="212"/>
      <c r="AZ464" s="212"/>
      <c r="BA464" s="212"/>
      <c r="BB464" s="212"/>
      <c r="BC464" s="212"/>
      <c r="BD464" s="212"/>
      <c r="BE464" s="212"/>
      <c r="BF464" s="212"/>
      <c r="BG464" s="212"/>
      <c r="BH464" s="212"/>
      <c r="BI464" s="212"/>
    </row>
    <row r="465" spans="1:61" ht="24" customHeight="1">
      <c r="A465" s="215"/>
      <c r="B465" s="215"/>
      <c r="C465" s="229"/>
      <c r="D465" s="213"/>
      <c r="E465" s="213"/>
      <c r="F465" s="213"/>
      <c r="G465" s="213"/>
      <c r="H465" s="213"/>
      <c r="I465" s="213"/>
      <c r="J465" s="213"/>
      <c r="K465" s="213"/>
      <c r="L465" s="213"/>
      <c r="M465" s="215"/>
      <c r="N465" s="212"/>
      <c r="O465" s="212"/>
      <c r="P465" s="212"/>
      <c r="Q465" s="212"/>
      <c r="R465" s="212"/>
      <c r="S465" s="212"/>
      <c r="T465" s="212"/>
      <c r="U465" s="212"/>
      <c r="V465" s="212"/>
      <c r="W465" s="212"/>
      <c r="X465" s="212"/>
      <c r="Y465" s="212"/>
      <c r="Z465" s="212"/>
      <c r="AA465" s="212"/>
      <c r="AB465" s="212"/>
      <c r="AC465" s="212"/>
      <c r="AD465" s="212"/>
      <c r="AE465" s="212"/>
      <c r="AF465" s="212"/>
      <c r="AG465" s="212"/>
      <c r="AH465" s="212"/>
      <c r="AI465" s="212"/>
      <c r="AJ465" s="212"/>
      <c r="AK465" s="212"/>
      <c r="AL465" s="212"/>
      <c r="AM465" s="212"/>
      <c r="AN465" s="212"/>
      <c r="AO465" s="212"/>
      <c r="AP465" s="212"/>
      <c r="AQ465" s="212"/>
      <c r="AR465" s="212"/>
      <c r="AS465" s="212"/>
      <c r="AT465" s="212"/>
      <c r="AU465" s="212"/>
      <c r="AV465" s="212"/>
      <c r="AW465" s="212"/>
      <c r="AX465" s="212"/>
      <c r="AY465" s="212"/>
      <c r="AZ465" s="212"/>
      <c r="BA465" s="212"/>
      <c r="BB465" s="212"/>
      <c r="BC465" s="212"/>
      <c r="BD465" s="212"/>
      <c r="BE465" s="212"/>
      <c r="BF465" s="212"/>
      <c r="BG465" s="212"/>
      <c r="BH465" s="212"/>
      <c r="BI465" s="212"/>
    </row>
    <row r="466" spans="1:61" ht="24" customHeight="1">
      <c r="A466" s="218" t="s">
        <v>2229</v>
      </c>
      <c r="B466" s="218" t="s">
        <v>1301</v>
      </c>
      <c r="C466" s="228">
        <v>1</v>
      </c>
      <c r="D466" s="213" t="s">
        <v>9</v>
      </c>
      <c r="E466" s="212"/>
      <c r="F466" s="217">
        <f>TRUNC(F467+F468+F469+F470,0)</f>
        <v>0</v>
      </c>
      <c r="G466" s="212"/>
      <c r="H466" s="217">
        <f>TRUNC(H467+H468+H469+H470,0)</f>
        <v>0</v>
      </c>
      <c r="I466" s="212"/>
      <c r="J466" s="217">
        <f>TRUNC(J467+J468+J469+J470,0)</f>
        <v>0</v>
      </c>
      <c r="K466" s="212"/>
      <c r="L466" s="217">
        <f>F466+H466+J466</f>
        <v>0</v>
      </c>
      <c r="M466" s="215" t="s">
        <v>1803</v>
      </c>
      <c r="N466" s="212" t="s">
        <v>68</v>
      </c>
      <c r="O466" s="212" t="s">
        <v>1302</v>
      </c>
      <c r="P466" s="212"/>
      <c r="Q466" s="212"/>
      <c r="R466" s="212"/>
      <c r="S466" s="212"/>
      <c r="T466" s="212"/>
      <c r="U466" s="212"/>
      <c r="V466" s="212"/>
      <c r="W466" s="212"/>
      <c r="X466" s="212"/>
      <c r="Y466" s="212"/>
      <c r="Z466" s="212"/>
      <c r="AA466" s="212"/>
      <c r="AB466" s="212"/>
      <c r="AC466" s="212"/>
      <c r="AD466" s="212"/>
      <c r="AE466" s="212"/>
      <c r="AF466" s="212"/>
      <c r="AG466" s="212"/>
      <c r="AH466" s="212"/>
      <c r="AI466" s="212"/>
      <c r="AJ466" s="212"/>
      <c r="AK466" s="212"/>
      <c r="AL466" s="212"/>
      <c r="AM466" s="212"/>
      <c r="AN466" s="212"/>
      <c r="AO466" s="212"/>
      <c r="AP466" s="212"/>
      <c r="AQ466" s="212"/>
      <c r="AR466" s="212"/>
      <c r="AS466" s="212"/>
      <c r="AT466" s="212"/>
      <c r="AU466" s="212"/>
      <c r="AV466" s="212"/>
      <c r="AW466" s="212"/>
      <c r="AX466" s="212"/>
      <c r="AY466" s="212"/>
      <c r="AZ466" s="212"/>
      <c r="BA466" s="212"/>
      <c r="BB466" s="212"/>
      <c r="BC466" s="212"/>
      <c r="BD466" s="212"/>
      <c r="BE466" s="212"/>
      <c r="BF466" s="212"/>
      <c r="BG466" s="212"/>
      <c r="BH466" s="212"/>
      <c r="BI466" s="212"/>
    </row>
    <row r="467" spans="1:61" ht="24" customHeight="1">
      <c r="A467" s="218" t="s">
        <v>2230</v>
      </c>
      <c r="B467" s="218" t="s">
        <v>2231</v>
      </c>
      <c r="C467" s="229">
        <v>0.4</v>
      </c>
      <c r="D467" s="213" t="s">
        <v>2155</v>
      </c>
      <c r="E467" s="217">
        <f>자재조서!E32</f>
        <v>0</v>
      </c>
      <c r="F467" s="217">
        <f>TRUNC(E467*C467,0)</f>
        <v>0</v>
      </c>
      <c r="G467" s="217">
        <v>0</v>
      </c>
      <c r="H467" s="217"/>
      <c r="I467" s="217">
        <v>0</v>
      </c>
      <c r="J467" s="217"/>
      <c r="K467" s="217">
        <f>E467+G467+I467</f>
        <v>0</v>
      </c>
      <c r="L467" s="217">
        <f>F467+H467+J467</f>
        <v>0</v>
      </c>
      <c r="M467" s="215" t="s">
        <v>68</v>
      </c>
      <c r="N467" s="212" t="s">
        <v>68</v>
      </c>
      <c r="O467" s="212"/>
      <c r="P467" s="212" t="s">
        <v>1098</v>
      </c>
      <c r="Q467" s="212" t="s">
        <v>68</v>
      </c>
      <c r="R467" s="212" t="s">
        <v>2232</v>
      </c>
      <c r="S467" s="212"/>
      <c r="T467" s="212"/>
      <c r="U467" s="212"/>
      <c r="V467" s="212"/>
      <c r="W467" s="212"/>
      <c r="X467" s="212"/>
      <c r="Y467" s="212"/>
      <c r="Z467" s="212"/>
      <c r="AA467" s="212"/>
      <c r="AB467" s="212"/>
      <c r="AC467" s="212"/>
      <c r="AD467" s="212"/>
      <c r="AE467" s="212"/>
      <c r="AF467" s="212"/>
      <c r="AG467" s="212"/>
      <c r="AH467" s="212"/>
      <c r="AI467" s="212"/>
      <c r="AJ467" s="212"/>
      <c r="AK467" s="212"/>
      <c r="AL467" s="212"/>
      <c r="AM467" s="212"/>
      <c r="AN467" s="212"/>
      <c r="AO467" s="212"/>
      <c r="AP467" s="212"/>
      <c r="AQ467" s="212"/>
      <c r="AR467" s="212"/>
      <c r="AS467" s="212"/>
      <c r="AT467" s="212"/>
      <c r="AU467" s="212"/>
      <c r="AV467" s="212"/>
      <c r="AW467" s="212"/>
      <c r="AX467" s="212"/>
      <c r="AY467" s="212"/>
      <c r="AZ467" s="212"/>
      <c r="BA467" s="212"/>
      <c r="BB467" s="212"/>
      <c r="BC467" s="212"/>
      <c r="BD467" s="212"/>
      <c r="BE467" s="212"/>
      <c r="BF467" s="212"/>
      <c r="BG467" s="212"/>
      <c r="BH467" s="212"/>
      <c r="BI467" s="231" t="str">
        <f>HYPERLINK("#자재조서!A32","MJD12358 →")</f>
        <v>MJD12358 →</v>
      </c>
    </row>
    <row r="468" spans="1:61" ht="24" customHeight="1">
      <c r="A468" s="218" t="s">
        <v>2158</v>
      </c>
      <c r="B468" s="218" t="s">
        <v>1946</v>
      </c>
      <c r="C468" s="229">
        <v>2.4E-2</v>
      </c>
      <c r="D468" s="213" t="s">
        <v>1286</v>
      </c>
      <c r="E468" s="217">
        <v>0</v>
      </c>
      <c r="F468" s="217"/>
      <c r="G468" s="217">
        <f>노임!D17</f>
        <v>0</v>
      </c>
      <c r="H468" s="217">
        <f>TRUNC(G468*C468,0)</f>
        <v>0</v>
      </c>
      <c r="I468" s="217">
        <v>0</v>
      </c>
      <c r="J468" s="217"/>
      <c r="K468" s="217">
        <f>E468+G468+I468</f>
        <v>0</v>
      </c>
      <c r="L468" s="217">
        <f>F468+H468+J468</f>
        <v>0</v>
      </c>
      <c r="M468" s="215" t="s">
        <v>68</v>
      </c>
      <c r="N468" s="212" t="s">
        <v>68</v>
      </c>
      <c r="O468" s="212"/>
      <c r="P468" s="212" t="s">
        <v>1101</v>
      </c>
      <c r="Q468" s="212" t="s">
        <v>68</v>
      </c>
      <c r="R468" s="212" t="s">
        <v>2159</v>
      </c>
      <c r="S468" s="212"/>
      <c r="T468" s="212"/>
      <c r="U468" s="212"/>
      <c r="V468" s="212"/>
      <c r="W468" s="212"/>
      <c r="X468" s="212"/>
      <c r="Y468" s="212"/>
      <c r="Z468" s="212"/>
      <c r="AA468" s="212"/>
      <c r="AB468" s="212"/>
      <c r="AC468" s="212"/>
      <c r="AD468" s="212"/>
      <c r="AE468" s="212"/>
      <c r="AF468" s="212"/>
      <c r="AG468" s="212"/>
      <c r="AH468" s="212"/>
      <c r="AI468" s="212"/>
      <c r="AJ468" s="212"/>
      <c r="AK468" s="212"/>
      <c r="AL468" s="212"/>
      <c r="AM468" s="212"/>
      <c r="AN468" s="212"/>
      <c r="AO468" s="212"/>
      <c r="AP468" s="212"/>
      <c r="AQ468" s="212"/>
      <c r="AR468" s="212"/>
      <c r="AS468" s="212"/>
      <c r="AT468" s="212"/>
      <c r="AU468" s="212"/>
      <c r="AV468" s="212"/>
      <c r="AW468" s="212"/>
      <c r="AX468" s="212"/>
      <c r="AY468" s="212"/>
      <c r="AZ468" s="212"/>
      <c r="BA468" s="212"/>
      <c r="BB468" s="212"/>
      <c r="BC468" s="212"/>
      <c r="BD468" s="212"/>
      <c r="BE468" s="212"/>
      <c r="BF468" s="212"/>
      <c r="BG468" s="212"/>
      <c r="BH468" s="212"/>
      <c r="BI468" s="231" t="str">
        <f>HYPERLINK("#노임!A17","L001010101000029 →")</f>
        <v>L001010101000029 →</v>
      </c>
    </row>
    <row r="469" spans="1:61" ht="24" customHeight="1">
      <c r="A469" s="218" t="s">
        <v>1967</v>
      </c>
      <c r="B469" s="218" t="s">
        <v>1946</v>
      </c>
      <c r="C469" s="229">
        <v>4.0000000000000001E-3</v>
      </c>
      <c r="D469" s="213" t="s">
        <v>1286</v>
      </c>
      <c r="E469" s="217">
        <v>0</v>
      </c>
      <c r="F469" s="217"/>
      <c r="G469" s="217">
        <f>노임!D3</f>
        <v>0</v>
      </c>
      <c r="H469" s="217">
        <f>TRUNC(G469*C469,0)</f>
        <v>0</v>
      </c>
      <c r="I469" s="217">
        <v>0</v>
      </c>
      <c r="J469" s="217"/>
      <c r="K469" s="217">
        <f>E469+G469+I469</f>
        <v>0</v>
      </c>
      <c r="L469" s="217">
        <f>F469+H469+J469</f>
        <v>0</v>
      </c>
      <c r="M469" s="215" t="s">
        <v>68</v>
      </c>
      <c r="N469" s="212" t="s">
        <v>68</v>
      </c>
      <c r="O469" s="212"/>
      <c r="P469" s="212" t="s">
        <v>1104</v>
      </c>
      <c r="Q469" s="212" t="s">
        <v>68</v>
      </c>
      <c r="R469" s="212" t="s">
        <v>1968</v>
      </c>
      <c r="S469" s="212"/>
      <c r="T469" s="212"/>
      <c r="U469" s="212"/>
      <c r="V469" s="212"/>
      <c r="W469" s="212"/>
      <c r="X469" s="212"/>
      <c r="Y469" s="212"/>
      <c r="Z469" s="212"/>
      <c r="AA469" s="220" t="s">
        <v>1955</v>
      </c>
      <c r="AB469" s="212">
        <f>(호표!H468+호표!H469)*0.02</f>
        <v>0</v>
      </c>
      <c r="AC469" s="220" t="s">
        <v>1956</v>
      </c>
      <c r="AD469" s="212">
        <f>$AB469</f>
        <v>0</v>
      </c>
      <c r="AE469" s="212"/>
      <c r="AF469" s="212"/>
      <c r="AG469" s="212"/>
      <c r="AH469" s="212"/>
      <c r="AI469" s="212"/>
      <c r="AJ469" s="212"/>
      <c r="AK469" s="212"/>
      <c r="AL469" s="212"/>
      <c r="AM469" s="212"/>
      <c r="AN469" s="212"/>
      <c r="AO469" s="212"/>
      <c r="AP469" s="212"/>
      <c r="AQ469" s="212"/>
      <c r="AR469" s="212"/>
      <c r="AS469" s="212"/>
      <c r="AT469" s="212"/>
      <c r="AU469" s="212"/>
      <c r="AV469" s="212"/>
      <c r="AW469" s="212"/>
      <c r="AX469" s="212"/>
      <c r="AY469" s="212"/>
      <c r="AZ469" s="212"/>
      <c r="BA469" s="212"/>
      <c r="BB469" s="212"/>
      <c r="BC469" s="212"/>
      <c r="BD469" s="212"/>
      <c r="BE469" s="212"/>
      <c r="BF469" s="212"/>
      <c r="BG469" s="212"/>
      <c r="BH469" s="212"/>
      <c r="BI469" s="231" t="str">
        <f>HYPERLINK("#노임!A3","L001010101000002 →")</f>
        <v>L001010101000002 →</v>
      </c>
    </row>
    <row r="470" spans="1:61" ht="24" customHeight="1">
      <c r="A470" s="218" t="s">
        <v>1948</v>
      </c>
      <c r="B470" s="218" t="s">
        <v>1958</v>
      </c>
      <c r="C470" s="228">
        <v>2</v>
      </c>
      <c r="D470" s="213" t="s">
        <v>1950</v>
      </c>
      <c r="E470" s="213"/>
      <c r="F470" s="217">
        <v>0</v>
      </c>
      <c r="G470" s="213"/>
      <c r="H470" s="217">
        <v>0</v>
      </c>
      <c r="I470" s="213"/>
      <c r="J470" s="217">
        <f>TRUNC(((H468+H469)*0.02),0)</f>
        <v>0</v>
      </c>
      <c r="K470" s="217">
        <f>E470+G470+I470</f>
        <v>0</v>
      </c>
      <c r="L470" s="217">
        <f>F470+H470+J470</f>
        <v>0</v>
      </c>
      <c r="M470" s="215" t="s">
        <v>68</v>
      </c>
      <c r="N470" s="212" t="s">
        <v>68</v>
      </c>
      <c r="O470" s="212"/>
      <c r="P470" s="212" t="s">
        <v>1107</v>
      </c>
      <c r="Q470" s="212" t="s">
        <v>68</v>
      </c>
      <c r="R470" s="212" t="s">
        <v>1121</v>
      </c>
      <c r="S470" s="212"/>
      <c r="T470" s="212"/>
      <c r="U470" s="212"/>
      <c r="V470" s="212"/>
      <c r="W470" s="212"/>
      <c r="X470" s="212" t="s">
        <v>2166</v>
      </c>
      <c r="Y470" s="212"/>
      <c r="Z470" s="212"/>
      <c r="AA470" s="212"/>
      <c r="AB470" s="212"/>
      <c r="AC470" s="212"/>
      <c r="AD470" s="212"/>
      <c r="AE470" s="212"/>
      <c r="AF470" s="212"/>
      <c r="AG470" s="212"/>
      <c r="AH470" s="212"/>
      <c r="AI470" s="212"/>
      <c r="AJ470" s="212"/>
      <c r="AK470" s="212"/>
      <c r="AL470" s="212"/>
      <c r="AM470" s="212"/>
      <c r="AN470" s="212"/>
      <c r="AO470" s="212"/>
      <c r="AP470" s="212"/>
      <c r="AQ470" s="212"/>
      <c r="AR470" s="212"/>
      <c r="AS470" s="212"/>
      <c r="AT470" s="212"/>
      <c r="AU470" s="212"/>
      <c r="AV470" s="212"/>
      <c r="AW470" s="212"/>
      <c r="AX470" s="212"/>
      <c r="AY470" s="212"/>
      <c r="AZ470" s="212"/>
      <c r="BA470" s="212"/>
      <c r="BB470" s="212"/>
      <c r="BC470" s="212"/>
      <c r="BD470" s="212"/>
      <c r="BE470" s="212"/>
      <c r="BF470" s="212"/>
      <c r="BG470" s="212"/>
      <c r="BH470" s="212"/>
      <c r="BI470" s="212"/>
    </row>
    <row r="471" spans="1:61" ht="24" customHeight="1">
      <c r="A471" s="215"/>
      <c r="B471" s="215"/>
      <c r="C471" s="229"/>
      <c r="D471" s="213"/>
      <c r="E471" s="213"/>
      <c r="F471" s="213"/>
      <c r="G471" s="213"/>
      <c r="H471" s="213"/>
      <c r="I471" s="213"/>
      <c r="J471" s="213"/>
      <c r="K471" s="213"/>
      <c r="L471" s="213"/>
      <c r="M471" s="215"/>
      <c r="N471" s="212"/>
      <c r="O471" s="212"/>
      <c r="P471" s="212"/>
      <c r="Q471" s="212"/>
      <c r="R471" s="212"/>
      <c r="S471" s="212"/>
      <c r="T471" s="212"/>
      <c r="U471" s="212"/>
      <c r="V471" s="212"/>
      <c r="W471" s="212"/>
      <c r="X471" s="212"/>
      <c r="Y471" s="212"/>
      <c r="Z471" s="212"/>
      <c r="AA471" s="212"/>
      <c r="AB471" s="212"/>
      <c r="AC471" s="212"/>
      <c r="AD471" s="212"/>
      <c r="AE471" s="212"/>
      <c r="AF471" s="212"/>
      <c r="AG471" s="212"/>
      <c r="AH471" s="212"/>
      <c r="AI471" s="212"/>
      <c r="AJ471" s="212"/>
      <c r="AK471" s="212"/>
      <c r="AL471" s="212"/>
      <c r="AM471" s="212"/>
      <c r="AN471" s="212"/>
      <c r="AO471" s="212"/>
      <c r="AP471" s="212"/>
      <c r="AQ471" s="212"/>
      <c r="AR471" s="212"/>
      <c r="AS471" s="212"/>
      <c r="AT471" s="212"/>
      <c r="AU471" s="212"/>
      <c r="AV471" s="212"/>
      <c r="AW471" s="212"/>
      <c r="AX471" s="212"/>
      <c r="AY471" s="212"/>
      <c r="AZ471" s="212"/>
      <c r="BA471" s="212"/>
      <c r="BB471" s="212"/>
      <c r="BC471" s="212"/>
      <c r="BD471" s="212"/>
      <c r="BE471" s="212"/>
      <c r="BF471" s="212"/>
      <c r="BG471" s="212"/>
      <c r="BH471" s="212"/>
      <c r="BI471" s="212"/>
    </row>
    <row r="472" spans="1:61" ht="24" customHeight="1">
      <c r="A472" s="218" t="s">
        <v>2233</v>
      </c>
      <c r="B472" s="218" t="s">
        <v>1304</v>
      </c>
      <c r="C472" s="228">
        <v>1</v>
      </c>
      <c r="D472" s="213" t="s">
        <v>9</v>
      </c>
      <c r="E472" s="212"/>
      <c r="F472" s="217">
        <f>TRUNC(F473+F474+F475+F476+F477,0)</f>
        <v>0</v>
      </c>
      <c r="G472" s="212"/>
      <c r="H472" s="217">
        <f>TRUNC(H473+H474+H475+H476+H477,0)</f>
        <v>0</v>
      </c>
      <c r="I472" s="212"/>
      <c r="J472" s="217">
        <f>TRUNC(J473+J474+J475+J476+J477,0)</f>
        <v>0</v>
      </c>
      <c r="K472" s="212"/>
      <c r="L472" s="217">
        <f t="shared" ref="L472:L477" si="57">F472+H472+J472</f>
        <v>0</v>
      </c>
      <c r="M472" s="215" t="s">
        <v>1805</v>
      </c>
      <c r="N472" s="212" t="s">
        <v>68</v>
      </c>
      <c r="O472" s="212" t="s">
        <v>1305</v>
      </c>
      <c r="P472" s="212"/>
      <c r="Q472" s="212"/>
      <c r="R472" s="212"/>
      <c r="S472" s="212"/>
      <c r="T472" s="212"/>
      <c r="U472" s="212"/>
      <c r="V472" s="212"/>
      <c r="W472" s="212"/>
      <c r="X472" s="212"/>
      <c r="Y472" s="212"/>
      <c r="Z472" s="212"/>
      <c r="AA472" s="212"/>
      <c r="AB472" s="212"/>
      <c r="AC472" s="212"/>
      <c r="AD472" s="212"/>
      <c r="AE472" s="212"/>
      <c r="AF472" s="212"/>
      <c r="AG472" s="212"/>
      <c r="AH472" s="212"/>
      <c r="AI472" s="212"/>
      <c r="AJ472" s="212"/>
      <c r="AK472" s="212"/>
      <c r="AL472" s="212"/>
      <c r="AM472" s="212"/>
      <c r="AN472" s="212"/>
      <c r="AO472" s="212"/>
      <c r="AP472" s="212"/>
      <c r="AQ472" s="212"/>
      <c r="AR472" s="212"/>
      <c r="AS472" s="212"/>
      <c r="AT472" s="212"/>
      <c r="AU472" s="212"/>
      <c r="AV472" s="212"/>
      <c r="AW472" s="212"/>
      <c r="AX472" s="212"/>
      <c r="AY472" s="212"/>
      <c r="AZ472" s="212"/>
      <c r="BA472" s="212"/>
      <c r="BB472" s="212"/>
      <c r="BC472" s="212"/>
      <c r="BD472" s="212"/>
      <c r="BE472" s="212"/>
      <c r="BF472" s="212"/>
      <c r="BG472" s="212"/>
      <c r="BH472" s="212"/>
      <c r="BI472" s="212"/>
    </row>
    <row r="473" spans="1:61" ht="24" customHeight="1">
      <c r="A473" s="218" t="s">
        <v>2234</v>
      </c>
      <c r="B473" s="218" t="s">
        <v>68</v>
      </c>
      <c r="C473" s="229">
        <v>0.4</v>
      </c>
      <c r="D473" s="213" t="s">
        <v>2235</v>
      </c>
      <c r="E473" s="217">
        <f>자재조서!E44</f>
        <v>0</v>
      </c>
      <c r="F473" s="217">
        <f>TRUNC(E473*C473,0)</f>
        <v>0</v>
      </c>
      <c r="G473" s="217">
        <v>0</v>
      </c>
      <c r="H473" s="217"/>
      <c r="I473" s="217">
        <v>0</v>
      </c>
      <c r="J473" s="217"/>
      <c r="K473" s="217">
        <f>E473+G473+I473</f>
        <v>0</v>
      </c>
      <c r="L473" s="217">
        <f t="shared" si="57"/>
        <v>0</v>
      </c>
      <c r="M473" s="215" t="s">
        <v>68</v>
      </c>
      <c r="N473" s="212" t="s">
        <v>68</v>
      </c>
      <c r="O473" s="212"/>
      <c r="P473" s="212" t="s">
        <v>1095</v>
      </c>
      <c r="Q473" s="212" t="s">
        <v>68</v>
      </c>
      <c r="R473" s="212" t="s">
        <v>2236</v>
      </c>
      <c r="S473" s="212"/>
      <c r="T473" s="212"/>
      <c r="U473" s="212"/>
      <c r="V473" s="212"/>
      <c r="W473" s="212"/>
      <c r="X473" s="212"/>
      <c r="Y473" s="212"/>
      <c r="Z473" s="212"/>
      <c r="AA473" s="212"/>
      <c r="AB473" s="212"/>
      <c r="AC473" s="212"/>
      <c r="AD473" s="212"/>
      <c r="AE473" s="212"/>
      <c r="AF473" s="212"/>
      <c r="AG473" s="212"/>
      <c r="AH473" s="212"/>
      <c r="AI473" s="212"/>
      <c r="AJ473" s="212"/>
      <c r="AK473" s="212"/>
      <c r="AL473" s="212"/>
      <c r="AM473" s="212"/>
      <c r="AN473" s="212"/>
      <c r="AO473" s="212"/>
      <c r="AP473" s="212"/>
      <c r="AQ473" s="212"/>
      <c r="AR473" s="212"/>
      <c r="AS473" s="212"/>
      <c r="AT473" s="212"/>
      <c r="AU473" s="212"/>
      <c r="AV473" s="212"/>
      <c r="AW473" s="212"/>
      <c r="AX473" s="212"/>
      <c r="AY473" s="212"/>
      <c r="AZ473" s="212"/>
      <c r="BA473" s="212"/>
      <c r="BB473" s="212"/>
      <c r="BC473" s="212"/>
      <c r="BD473" s="212"/>
      <c r="BE473" s="212"/>
      <c r="BF473" s="212"/>
      <c r="BG473" s="212"/>
      <c r="BH473" s="212"/>
      <c r="BI473" s="231" t="str">
        <f>HYPERLINK("#자재조서!A44","MZZ1003411 →")</f>
        <v>MZZ1003411 →</v>
      </c>
    </row>
    <row r="474" spans="1:61" ht="24" customHeight="1">
      <c r="A474" s="218" t="s">
        <v>2237</v>
      </c>
      <c r="B474" s="218" t="s">
        <v>68</v>
      </c>
      <c r="C474" s="229">
        <v>0.4</v>
      </c>
      <c r="D474" s="213" t="s">
        <v>2235</v>
      </c>
      <c r="E474" s="217">
        <f>자재조서!E43</f>
        <v>0</v>
      </c>
      <c r="F474" s="217">
        <f>TRUNC(E474*C474,0)</f>
        <v>0</v>
      </c>
      <c r="G474" s="217">
        <v>0</v>
      </c>
      <c r="H474" s="217"/>
      <c r="I474" s="217">
        <v>0</v>
      </c>
      <c r="J474" s="217"/>
      <c r="K474" s="217">
        <f>E474+G474+I474</f>
        <v>0</v>
      </c>
      <c r="L474" s="217">
        <f t="shared" si="57"/>
        <v>0</v>
      </c>
      <c r="M474" s="215" t="s">
        <v>68</v>
      </c>
      <c r="N474" s="212" t="s">
        <v>68</v>
      </c>
      <c r="O474" s="212"/>
      <c r="P474" s="212" t="s">
        <v>1098</v>
      </c>
      <c r="Q474" s="212" t="s">
        <v>68</v>
      </c>
      <c r="R474" s="212" t="s">
        <v>2238</v>
      </c>
      <c r="S474" s="212"/>
      <c r="T474" s="212"/>
      <c r="U474" s="212"/>
      <c r="V474" s="212"/>
      <c r="W474" s="212"/>
      <c r="X474" s="212"/>
      <c r="Y474" s="212"/>
      <c r="Z474" s="212"/>
      <c r="AA474" s="212"/>
      <c r="AB474" s="212"/>
      <c r="AC474" s="212"/>
      <c r="AD474" s="212"/>
      <c r="AE474" s="212"/>
      <c r="AF474" s="212"/>
      <c r="AG474" s="212"/>
      <c r="AH474" s="212"/>
      <c r="AI474" s="212"/>
      <c r="AJ474" s="212"/>
      <c r="AK474" s="212"/>
      <c r="AL474" s="212"/>
      <c r="AM474" s="212"/>
      <c r="AN474" s="212"/>
      <c r="AO474" s="212"/>
      <c r="AP474" s="212"/>
      <c r="AQ474" s="212"/>
      <c r="AR474" s="212"/>
      <c r="AS474" s="212"/>
      <c r="AT474" s="212"/>
      <c r="AU474" s="212"/>
      <c r="AV474" s="212"/>
      <c r="AW474" s="212"/>
      <c r="AX474" s="212"/>
      <c r="AY474" s="212"/>
      <c r="AZ474" s="212"/>
      <c r="BA474" s="212"/>
      <c r="BB474" s="212"/>
      <c r="BC474" s="212"/>
      <c r="BD474" s="212"/>
      <c r="BE474" s="212"/>
      <c r="BF474" s="212"/>
      <c r="BG474" s="212"/>
      <c r="BH474" s="212"/>
      <c r="BI474" s="231" t="str">
        <f>HYPERLINK("#자재조서!A43","MZZ1003409 →")</f>
        <v>MZZ1003409 →</v>
      </c>
    </row>
    <row r="475" spans="1:61" ht="24" customHeight="1">
      <c r="A475" s="218" t="s">
        <v>2158</v>
      </c>
      <c r="B475" s="218" t="s">
        <v>1946</v>
      </c>
      <c r="C475" s="229">
        <v>3.9E-2</v>
      </c>
      <c r="D475" s="213" t="s">
        <v>1286</v>
      </c>
      <c r="E475" s="217">
        <v>0</v>
      </c>
      <c r="F475" s="217"/>
      <c r="G475" s="217">
        <f>노임!D17</f>
        <v>0</v>
      </c>
      <c r="H475" s="217">
        <f>TRUNC(G475*C475,0)</f>
        <v>0</v>
      </c>
      <c r="I475" s="217">
        <v>0</v>
      </c>
      <c r="J475" s="217"/>
      <c r="K475" s="217">
        <f>E475+G475+I475</f>
        <v>0</v>
      </c>
      <c r="L475" s="217">
        <f t="shared" si="57"/>
        <v>0</v>
      </c>
      <c r="M475" s="215" t="s">
        <v>68</v>
      </c>
      <c r="N475" s="212" t="s">
        <v>68</v>
      </c>
      <c r="O475" s="212"/>
      <c r="P475" s="212" t="s">
        <v>1101</v>
      </c>
      <c r="Q475" s="212" t="s">
        <v>68</v>
      </c>
      <c r="R475" s="212" t="s">
        <v>2159</v>
      </c>
      <c r="S475" s="212"/>
      <c r="T475" s="212"/>
      <c r="U475" s="212"/>
      <c r="V475" s="212"/>
      <c r="W475" s="212"/>
      <c r="X475" s="212"/>
      <c r="Y475" s="212"/>
      <c r="Z475" s="212"/>
      <c r="AA475" s="212"/>
      <c r="AB475" s="212"/>
      <c r="AC475" s="212"/>
      <c r="AD475" s="212"/>
      <c r="AE475" s="212"/>
      <c r="AF475" s="212"/>
      <c r="AG475" s="212"/>
      <c r="AH475" s="212"/>
      <c r="AI475" s="212"/>
      <c r="AJ475" s="212"/>
      <c r="AK475" s="212"/>
      <c r="AL475" s="212"/>
      <c r="AM475" s="212"/>
      <c r="AN475" s="212"/>
      <c r="AO475" s="212"/>
      <c r="AP475" s="212"/>
      <c r="AQ475" s="212"/>
      <c r="AR475" s="212"/>
      <c r="AS475" s="212"/>
      <c r="AT475" s="212"/>
      <c r="AU475" s="212"/>
      <c r="AV475" s="212"/>
      <c r="AW475" s="212"/>
      <c r="AX475" s="212"/>
      <c r="AY475" s="212"/>
      <c r="AZ475" s="212"/>
      <c r="BA475" s="212"/>
      <c r="BB475" s="212"/>
      <c r="BC475" s="212"/>
      <c r="BD475" s="212"/>
      <c r="BE475" s="212"/>
      <c r="BF475" s="212"/>
      <c r="BG475" s="212"/>
      <c r="BH475" s="212"/>
      <c r="BI475" s="231" t="str">
        <f>HYPERLINK("#노임!A17","L001010101000029 →")</f>
        <v>L001010101000029 →</v>
      </c>
    </row>
    <row r="476" spans="1:61" ht="24" customHeight="1">
      <c r="A476" s="218" t="s">
        <v>1967</v>
      </c>
      <c r="B476" s="218" t="s">
        <v>1946</v>
      </c>
      <c r="C476" s="229">
        <v>8.0000000000000002E-3</v>
      </c>
      <c r="D476" s="213" t="s">
        <v>1286</v>
      </c>
      <c r="E476" s="217">
        <v>0</v>
      </c>
      <c r="F476" s="217"/>
      <c r="G476" s="217">
        <f>노임!D3</f>
        <v>0</v>
      </c>
      <c r="H476" s="217">
        <f>TRUNC(G476*C476,0)</f>
        <v>0</v>
      </c>
      <c r="I476" s="217">
        <v>0</v>
      </c>
      <c r="J476" s="217"/>
      <c r="K476" s="217">
        <f>E476+G476+I476</f>
        <v>0</v>
      </c>
      <c r="L476" s="217">
        <f t="shared" si="57"/>
        <v>0</v>
      </c>
      <c r="M476" s="215" t="s">
        <v>68</v>
      </c>
      <c r="N476" s="212" t="s">
        <v>68</v>
      </c>
      <c r="O476" s="212"/>
      <c r="P476" s="212" t="s">
        <v>1104</v>
      </c>
      <c r="Q476" s="212" t="s">
        <v>68</v>
      </c>
      <c r="R476" s="212" t="s">
        <v>1968</v>
      </c>
      <c r="S476" s="212"/>
      <c r="T476" s="212"/>
      <c r="U476" s="212"/>
      <c r="V476" s="212"/>
      <c r="W476" s="212"/>
      <c r="X476" s="212"/>
      <c r="Y476" s="212"/>
      <c r="Z476" s="212"/>
      <c r="AA476" s="220" t="s">
        <v>1955</v>
      </c>
      <c r="AB476" s="212">
        <f>(호표!H475+호표!H476)*0.02</f>
        <v>0</v>
      </c>
      <c r="AC476" s="220" t="s">
        <v>1956</v>
      </c>
      <c r="AD476" s="212">
        <f>$AB476</f>
        <v>0</v>
      </c>
      <c r="AE476" s="212"/>
      <c r="AF476" s="212"/>
      <c r="AG476" s="212"/>
      <c r="AH476" s="212"/>
      <c r="AI476" s="212"/>
      <c r="AJ476" s="212"/>
      <c r="AK476" s="212"/>
      <c r="AL476" s="212"/>
      <c r="AM476" s="212"/>
      <c r="AN476" s="212"/>
      <c r="AO476" s="212"/>
      <c r="AP476" s="212"/>
      <c r="AQ476" s="212"/>
      <c r="AR476" s="212"/>
      <c r="AS476" s="212"/>
      <c r="AT476" s="212"/>
      <c r="AU476" s="212"/>
      <c r="AV476" s="212"/>
      <c r="AW476" s="212"/>
      <c r="AX476" s="212"/>
      <c r="AY476" s="212"/>
      <c r="AZ476" s="212"/>
      <c r="BA476" s="212"/>
      <c r="BB476" s="212"/>
      <c r="BC476" s="212"/>
      <c r="BD476" s="212"/>
      <c r="BE476" s="212"/>
      <c r="BF476" s="212"/>
      <c r="BG476" s="212"/>
      <c r="BH476" s="212"/>
      <c r="BI476" s="231" t="str">
        <f>HYPERLINK("#노임!A3","L001010101000002 →")</f>
        <v>L001010101000002 →</v>
      </c>
    </row>
    <row r="477" spans="1:61" ht="24" customHeight="1">
      <c r="A477" s="218" t="s">
        <v>1948</v>
      </c>
      <c r="B477" s="218" t="s">
        <v>1958</v>
      </c>
      <c r="C477" s="228">
        <v>2</v>
      </c>
      <c r="D477" s="213" t="s">
        <v>1950</v>
      </c>
      <c r="E477" s="213"/>
      <c r="F477" s="217">
        <v>0</v>
      </c>
      <c r="G477" s="213"/>
      <c r="H477" s="217">
        <v>0</v>
      </c>
      <c r="I477" s="213"/>
      <c r="J477" s="217">
        <f>TRUNC(((H475+H476)*0.02),0)</f>
        <v>0</v>
      </c>
      <c r="K477" s="217">
        <f>E477+G477+I477</f>
        <v>0</v>
      </c>
      <c r="L477" s="217">
        <f t="shared" si="57"/>
        <v>0</v>
      </c>
      <c r="M477" s="215" t="s">
        <v>68</v>
      </c>
      <c r="N477" s="212" t="s">
        <v>68</v>
      </c>
      <c r="O477" s="212"/>
      <c r="P477" s="212" t="s">
        <v>1107</v>
      </c>
      <c r="Q477" s="212" t="s">
        <v>68</v>
      </c>
      <c r="R477" s="212" t="s">
        <v>1121</v>
      </c>
      <c r="S477" s="212"/>
      <c r="T477" s="212"/>
      <c r="U477" s="212"/>
      <c r="V477" s="212"/>
      <c r="W477" s="212"/>
      <c r="X477" s="212" t="s">
        <v>2166</v>
      </c>
      <c r="Y477" s="212"/>
      <c r="Z477" s="212"/>
      <c r="AA477" s="212"/>
      <c r="AB477" s="212"/>
      <c r="AC477" s="212"/>
      <c r="AD477" s="212"/>
      <c r="AE477" s="212"/>
      <c r="AF477" s="212"/>
      <c r="AG477" s="212"/>
      <c r="AH477" s="212"/>
      <c r="AI477" s="212"/>
      <c r="AJ477" s="212"/>
      <c r="AK477" s="212"/>
      <c r="AL477" s="212"/>
      <c r="AM477" s="212"/>
      <c r="AN477" s="212"/>
      <c r="AO477" s="212"/>
      <c r="AP477" s="212"/>
      <c r="AQ477" s="212"/>
      <c r="AR477" s="212"/>
      <c r="AS477" s="212"/>
      <c r="AT477" s="212"/>
      <c r="AU477" s="212"/>
      <c r="AV477" s="212"/>
      <c r="AW477" s="212"/>
      <c r="AX477" s="212"/>
      <c r="AY477" s="212"/>
      <c r="AZ477" s="212"/>
      <c r="BA477" s="212"/>
      <c r="BB477" s="212"/>
      <c r="BC477" s="212"/>
      <c r="BD477" s="212"/>
      <c r="BE477" s="212"/>
      <c r="BF477" s="212"/>
      <c r="BG477" s="212"/>
      <c r="BH477" s="212"/>
      <c r="BI477" s="212"/>
    </row>
    <row r="478" spans="1:61" ht="24" customHeight="1">
      <c r="A478" s="215"/>
      <c r="B478" s="215"/>
      <c r="C478" s="229"/>
      <c r="D478" s="213"/>
      <c r="E478" s="213"/>
      <c r="F478" s="213"/>
      <c r="G478" s="213"/>
      <c r="H478" s="213"/>
      <c r="I478" s="213"/>
      <c r="J478" s="213"/>
      <c r="K478" s="213"/>
      <c r="L478" s="213"/>
      <c r="M478" s="215"/>
      <c r="N478" s="212"/>
      <c r="O478" s="212"/>
      <c r="P478" s="212"/>
      <c r="Q478" s="212"/>
      <c r="R478" s="212"/>
      <c r="S478" s="212"/>
      <c r="T478" s="212"/>
      <c r="U478" s="212"/>
      <c r="V478" s="212"/>
      <c r="W478" s="212"/>
      <c r="X478" s="212"/>
      <c r="Y478" s="212"/>
      <c r="Z478" s="212"/>
      <c r="AA478" s="212"/>
      <c r="AB478" s="212"/>
      <c r="AC478" s="212"/>
      <c r="AD478" s="212"/>
      <c r="AE478" s="212"/>
      <c r="AF478" s="212"/>
      <c r="AG478" s="212"/>
      <c r="AH478" s="212"/>
      <c r="AI478" s="212"/>
      <c r="AJ478" s="212"/>
      <c r="AK478" s="212"/>
      <c r="AL478" s="212"/>
      <c r="AM478" s="212"/>
      <c r="AN478" s="212"/>
      <c r="AO478" s="212"/>
      <c r="AP478" s="212"/>
      <c r="AQ478" s="212"/>
      <c r="AR478" s="212"/>
      <c r="AS478" s="212"/>
      <c r="AT478" s="212"/>
      <c r="AU478" s="212"/>
      <c r="AV478" s="212"/>
      <c r="AW478" s="212"/>
      <c r="AX478" s="212"/>
      <c r="AY478" s="212"/>
      <c r="AZ478" s="212"/>
      <c r="BA478" s="212"/>
      <c r="BB478" s="212"/>
      <c r="BC478" s="212"/>
      <c r="BD478" s="212"/>
      <c r="BE478" s="212"/>
      <c r="BF478" s="212"/>
      <c r="BG478" s="212"/>
      <c r="BH478" s="212"/>
      <c r="BI478" s="212"/>
    </row>
    <row r="479" spans="1:61" ht="24" customHeight="1">
      <c r="A479" s="218" t="s">
        <v>2239</v>
      </c>
      <c r="B479" s="218" t="s">
        <v>1313</v>
      </c>
      <c r="C479" s="228">
        <v>1</v>
      </c>
      <c r="D479" s="213" t="s">
        <v>9</v>
      </c>
      <c r="E479" s="212"/>
      <c r="F479" s="217">
        <f>TRUNC(F480+F481+F482+F483,0)</f>
        <v>0</v>
      </c>
      <c r="G479" s="212"/>
      <c r="H479" s="217">
        <f>TRUNC(H480+H481+H482+H483,0)</f>
        <v>0</v>
      </c>
      <c r="I479" s="212"/>
      <c r="J479" s="217">
        <f>TRUNC(J480+J481+J482+J483,0)</f>
        <v>0</v>
      </c>
      <c r="K479" s="212"/>
      <c r="L479" s="217">
        <f>F479+H479+J479</f>
        <v>0</v>
      </c>
      <c r="M479" s="215" t="s">
        <v>68</v>
      </c>
      <c r="N479" s="212" t="s">
        <v>68</v>
      </c>
      <c r="O479" s="212" t="s">
        <v>1314</v>
      </c>
      <c r="P479" s="212"/>
      <c r="Q479" s="212"/>
      <c r="R479" s="212"/>
      <c r="S479" s="212"/>
      <c r="T479" s="212"/>
      <c r="U479" s="212"/>
      <c r="V479" s="212"/>
      <c r="W479" s="212"/>
      <c r="X479" s="212"/>
      <c r="Y479" s="212"/>
      <c r="Z479" s="212"/>
      <c r="AA479" s="212"/>
      <c r="AB479" s="212"/>
      <c r="AC479" s="212"/>
      <c r="AD479" s="212"/>
      <c r="AE479" s="212"/>
      <c r="AF479" s="212"/>
      <c r="AG479" s="212"/>
      <c r="AH479" s="212"/>
      <c r="AI479" s="212"/>
      <c r="AJ479" s="212"/>
      <c r="AK479" s="212"/>
      <c r="AL479" s="212"/>
      <c r="AM479" s="212"/>
      <c r="AN479" s="212"/>
      <c r="AO479" s="212"/>
      <c r="AP479" s="212"/>
      <c r="AQ479" s="212"/>
      <c r="AR479" s="212"/>
      <c r="AS479" s="212"/>
      <c r="AT479" s="212"/>
      <c r="AU479" s="212"/>
      <c r="AV479" s="212"/>
      <c r="AW479" s="212"/>
      <c r="AX479" s="212"/>
      <c r="AY479" s="212"/>
      <c r="AZ479" s="212"/>
      <c r="BA479" s="212"/>
      <c r="BB479" s="212"/>
      <c r="BC479" s="212"/>
      <c r="BD479" s="212"/>
      <c r="BE479" s="212"/>
      <c r="BF479" s="212"/>
      <c r="BG479" s="212"/>
      <c r="BH479" s="212"/>
      <c r="BI479" s="212"/>
    </row>
    <row r="480" spans="1:61" ht="24" customHeight="1">
      <c r="A480" s="218" t="s">
        <v>2240</v>
      </c>
      <c r="B480" s="218" t="s">
        <v>1895</v>
      </c>
      <c r="C480" s="228">
        <v>1</v>
      </c>
      <c r="D480" s="213" t="s">
        <v>9</v>
      </c>
      <c r="E480" s="217">
        <f>일위목록!E148</f>
        <v>0</v>
      </c>
      <c r="F480" s="217">
        <f>TRUNC(E480*C480,0)</f>
        <v>0</v>
      </c>
      <c r="G480" s="217">
        <f>일위목록!F148</f>
        <v>0</v>
      </c>
      <c r="H480" s="217">
        <f>TRUNC(G480*C480,0)</f>
        <v>0</v>
      </c>
      <c r="I480" s="217">
        <f>일위목록!G148</f>
        <v>0</v>
      </c>
      <c r="J480" s="217">
        <f>TRUNC(I480*C480,0)</f>
        <v>0</v>
      </c>
      <c r="K480" s="217">
        <f>E480+G480+I480</f>
        <v>0</v>
      </c>
      <c r="L480" s="217">
        <f>F480+H480+J480</f>
        <v>0</v>
      </c>
      <c r="M480" s="215" t="s">
        <v>1896</v>
      </c>
      <c r="N480" s="212" t="s">
        <v>68</v>
      </c>
      <c r="O480" s="212"/>
      <c r="P480" s="212" t="s">
        <v>1095</v>
      </c>
      <c r="Q480" s="212" t="s">
        <v>68</v>
      </c>
      <c r="R480" s="212" t="s">
        <v>1897</v>
      </c>
      <c r="S480" s="212"/>
      <c r="T480" s="212" t="s">
        <v>1129</v>
      </c>
      <c r="U480" s="212"/>
      <c r="V480" s="212"/>
      <c r="W480" s="212"/>
      <c r="X480" s="212"/>
      <c r="Y480" s="212"/>
      <c r="Z480" s="212"/>
      <c r="AA480" s="212"/>
      <c r="AB480" s="212"/>
      <c r="AC480" s="212"/>
      <c r="AD480" s="212"/>
      <c r="AE480" s="212"/>
      <c r="AF480" s="212"/>
      <c r="AG480" s="212"/>
      <c r="AH480" s="212"/>
      <c r="AI480" s="212"/>
      <c r="AJ480" s="212"/>
      <c r="AK480" s="212"/>
      <c r="AL480" s="212"/>
      <c r="AM480" s="212"/>
      <c r="AN480" s="212"/>
      <c r="AO480" s="212"/>
      <c r="AP480" s="212"/>
      <c r="AQ480" s="212"/>
      <c r="AR480" s="212"/>
      <c r="AS480" s="212"/>
      <c r="AT480" s="212"/>
      <c r="AU480" s="212"/>
      <c r="AV480" s="212"/>
      <c r="AW480" s="212"/>
      <c r="AX480" s="212"/>
      <c r="AY480" s="212"/>
      <c r="AZ480" s="212"/>
      <c r="BA480" s="212"/>
      <c r="BB480" s="212"/>
      <c r="BC480" s="212"/>
      <c r="BD480" s="212"/>
      <c r="BE480" s="212"/>
      <c r="BF480" s="212"/>
      <c r="BG480" s="212"/>
      <c r="BH480" s="212"/>
      <c r="BI480" s="231" t="str">
        <f>HYPERLINK("#일위대가목록!A148","P3-1-1/10 →")</f>
        <v>P3-1-1/10 →</v>
      </c>
    </row>
    <row r="481" spans="1:61" ht="24" customHeight="1">
      <c r="A481" s="218" t="s">
        <v>1542</v>
      </c>
      <c r="B481" s="218" t="s">
        <v>1313</v>
      </c>
      <c r="C481" s="228">
        <v>1</v>
      </c>
      <c r="D481" s="213" t="s">
        <v>9</v>
      </c>
      <c r="E481" s="217">
        <f>일위목록!E149</f>
        <v>0</v>
      </c>
      <c r="F481" s="217">
        <f>TRUNC(E481*C481,0)</f>
        <v>0</v>
      </c>
      <c r="G481" s="217">
        <f>일위목록!F149</f>
        <v>0</v>
      </c>
      <c r="H481" s="217">
        <f>TRUNC(G481*C481,0)</f>
        <v>0</v>
      </c>
      <c r="I481" s="217">
        <f>일위목록!G149</f>
        <v>0</v>
      </c>
      <c r="J481" s="217">
        <f>TRUNC(I481*C481,0)</f>
        <v>0</v>
      </c>
      <c r="K481" s="217">
        <f>E481+G481+I481</f>
        <v>0</v>
      </c>
      <c r="L481" s="217">
        <f>F481+H481+J481</f>
        <v>0</v>
      </c>
      <c r="M481" s="215" t="s">
        <v>1882</v>
      </c>
      <c r="N481" s="212" t="s">
        <v>68</v>
      </c>
      <c r="O481" s="212"/>
      <c r="P481" s="212" t="s">
        <v>1098</v>
      </c>
      <c r="Q481" s="212" t="s">
        <v>68</v>
      </c>
      <c r="R481" s="212" t="s">
        <v>1899</v>
      </c>
      <c r="S481" s="212"/>
      <c r="T481" s="212" t="s">
        <v>1129</v>
      </c>
      <c r="U481" s="212"/>
      <c r="V481" s="212"/>
      <c r="W481" s="212"/>
      <c r="X481" s="212"/>
      <c r="Y481" s="212"/>
      <c r="Z481" s="212"/>
      <c r="AA481" s="212"/>
      <c r="AB481" s="212"/>
      <c r="AC481" s="212"/>
      <c r="AD481" s="212"/>
      <c r="AE481" s="212"/>
      <c r="AF481" s="212"/>
      <c r="AG481" s="212"/>
      <c r="AH481" s="212"/>
      <c r="AI481" s="212"/>
      <c r="AJ481" s="212"/>
      <c r="AK481" s="212"/>
      <c r="AL481" s="212"/>
      <c r="AM481" s="212"/>
      <c r="AN481" s="212"/>
      <c r="AO481" s="212"/>
      <c r="AP481" s="212"/>
      <c r="AQ481" s="212"/>
      <c r="AR481" s="212"/>
      <c r="AS481" s="212"/>
      <c r="AT481" s="212"/>
      <c r="AU481" s="212"/>
      <c r="AV481" s="212"/>
      <c r="AW481" s="212"/>
      <c r="AX481" s="212"/>
      <c r="AY481" s="212"/>
      <c r="AZ481" s="212"/>
      <c r="BA481" s="212"/>
      <c r="BB481" s="212"/>
      <c r="BC481" s="212"/>
      <c r="BD481" s="212"/>
      <c r="BE481" s="212"/>
      <c r="BF481" s="212"/>
      <c r="BG481" s="212"/>
      <c r="BH481" s="212"/>
      <c r="BI481" s="231" t="str">
        <f>HYPERLINK("#일위대가목록!A149","P3-1-1/11 →")</f>
        <v>P3-1-1/11 →</v>
      </c>
    </row>
    <row r="482" spans="1:61" ht="24" customHeight="1">
      <c r="A482" s="218" t="s">
        <v>2241</v>
      </c>
      <c r="B482" s="218" t="s">
        <v>1901</v>
      </c>
      <c r="C482" s="228">
        <v>1</v>
      </c>
      <c r="D482" s="213" t="s">
        <v>9</v>
      </c>
      <c r="E482" s="217">
        <f>일위목록!E150</f>
        <v>0</v>
      </c>
      <c r="F482" s="217">
        <f>TRUNC(E482*C482,0)</f>
        <v>0</v>
      </c>
      <c r="G482" s="217">
        <f>일위목록!F150</f>
        <v>0</v>
      </c>
      <c r="H482" s="217">
        <f>TRUNC(G482*C482,0)</f>
        <v>0</v>
      </c>
      <c r="I482" s="217">
        <f>일위목록!G150</f>
        <v>0</v>
      </c>
      <c r="J482" s="217">
        <f>TRUNC(I482*C482,0)</f>
        <v>0</v>
      </c>
      <c r="K482" s="217">
        <f>E482+G482+I482</f>
        <v>0</v>
      </c>
      <c r="L482" s="217">
        <f>F482+H482+J482</f>
        <v>0</v>
      </c>
      <c r="M482" s="215" t="s">
        <v>1902</v>
      </c>
      <c r="N482" s="212" t="s">
        <v>68</v>
      </c>
      <c r="O482" s="212"/>
      <c r="P482" s="212" t="s">
        <v>1101</v>
      </c>
      <c r="Q482" s="212" t="s">
        <v>68</v>
      </c>
      <c r="R482" s="212" t="s">
        <v>1903</v>
      </c>
      <c r="S482" s="212"/>
      <c r="T482" s="212" t="s">
        <v>1129</v>
      </c>
      <c r="U482" s="212"/>
      <c r="V482" s="212"/>
      <c r="W482" s="212"/>
      <c r="X482" s="212"/>
      <c r="Y482" s="212"/>
      <c r="Z482" s="212"/>
      <c r="AA482" s="212"/>
      <c r="AB482" s="212"/>
      <c r="AC482" s="212"/>
      <c r="AD482" s="212"/>
      <c r="AE482" s="212"/>
      <c r="AF482" s="212"/>
      <c r="AG482" s="212"/>
      <c r="AH482" s="212"/>
      <c r="AI482" s="212"/>
      <c r="AJ482" s="212"/>
      <c r="AK482" s="212"/>
      <c r="AL482" s="212"/>
      <c r="AM482" s="212"/>
      <c r="AN482" s="212"/>
      <c r="AO482" s="212"/>
      <c r="AP482" s="212"/>
      <c r="AQ482" s="212"/>
      <c r="AR482" s="212"/>
      <c r="AS482" s="212"/>
      <c r="AT482" s="212"/>
      <c r="AU482" s="212"/>
      <c r="AV482" s="212"/>
      <c r="AW482" s="212"/>
      <c r="AX482" s="212"/>
      <c r="AY482" s="212"/>
      <c r="AZ482" s="212"/>
      <c r="BA482" s="212"/>
      <c r="BB482" s="212"/>
      <c r="BC482" s="212"/>
      <c r="BD482" s="212"/>
      <c r="BE482" s="212"/>
      <c r="BF482" s="212"/>
      <c r="BG482" s="212"/>
      <c r="BH482" s="212"/>
      <c r="BI482" s="231" t="str">
        <f>HYPERLINK("#일위대가목록!A150","P3-1-1/15 →")</f>
        <v>P3-1-1/15 →</v>
      </c>
    </row>
    <row r="483" spans="1:61" ht="24" customHeight="1">
      <c r="A483" s="218" t="s">
        <v>2242</v>
      </c>
      <c r="B483" s="218" t="s">
        <v>1905</v>
      </c>
      <c r="C483" s="228">
        <v>1</v>
      </c>
      <c r="D483" s="213" t="s">
        <v>9</v>
      </c>
      <c r="E483" s="217">
        <f>일위목록!E151</f>
        <v>0</v>
      </c>
      <c r="F483" s="217">
        <f>TRUNC(E483*C483,0)</f>
        <v>0</v>
      </c>
      <c r="G483" s="217">
        <f>일위목록!F151</f>
        <v>0</v>
      </c>
      <c r="H483" s="217">
        <f>TRUNC(G483*C483,0)</f>
        <v>0</v>
      </c>
      <c r="I483" s="217">
        <f>일위목록!G151</f>
        <v>0</v>
      </c>
      <c r="J483" s="217">
        <f>TRUNC(I483*C483,0)</f>
        <v>0</v>
      </c>
      <c r="K483" s="217">
        <f>E483+G483+I483</f>
        <v>0</v>
      </c>
      <c r="L483" s="217">
        <f>F483+H483+J483</f>
        <v>0</v>
      </c>
      <c r="M483" s="215" t="s">
        <v>1902</v>
      </c>
      <c r="N483" s="212" t="s">
        <v>68</v>
      </c>
      <c r="O483" s="212"/>
      <c r="P483" s="212" t="s">
        <v>1104</v>
      </c>
      <c r="Q483" s="212" t="s">
        <v>68</v>
      </c>
      <c r="R483" s="212" t="s">
        <v>1906</v>
      </c>
      <c r="S483" s="212"/>
      <c r="T483" s="212" t="s">
        <v>1129</v>
      </c>
      <c r="U483" s="212"/>
      <c r="V483" s="212"/>
      <c r="W483" s="212"/>
      <c r="X483" s="212"/>
      <c r="Y483" s="212"/>
      <c r="Z483" s="212"/>
      <c r="AA483" s="212"/>
      <c r="AB483" s="212"/>
      <c r="AC483" s="212"/>
      <c r="AD483" s="212"/>
      <c r="AE483" s="212"/>
      <c r="AF483" s="212"/>
      <c r="AG483" s="212"/>
      <c r="AH483" s="212"/>
      <c r="AI483" s="212"/>
      <c r="AJ483" s="212"/>
      <c r="AK483" s="212"/>
      <c r="AL483" s="212"/>
      <c r="AM483" s="212"/>
      <c r="AN483" s="212"/>
      <c r="AO483" s="212"/>
      <c r="AP483" s="212"/>
      <c r="AQ483" s="212"/>
      <c r="AR483" s="212"/>
      <c r="AS483" s="212"/>
      <c r="AT483" s="212"/>
      <c r="AU483" s="212"/>
      <c r="AV483" s="212"/>
      <c r="AW483" s="212"/>
      <c r="AX483" s="212"/>
      <c r="AY483" s="212"/>
      <c r="AZ483" s="212"/>
      <c r="BA483" s="212"/>
      <c r="BB483" s="212"/>
      <c r="BC483" s="212"/>
      <c r="BD483" s="212"/>
      <c r="BE483" s="212"/>
      <c r="BF483" s="212"/>
      <c r="BG483" s="212"/>
      <c r="BH483" s="212"/>
      <c r="BI483" s="231" t="str">
        <f>HYPERLINK("#일위대가목록!A151","P3-1-1/16 →")</f>
        <v>P3-1-1/16 →</v>
      </c>
    </row>
    <row r="484" spans="1:61" ht="24" customHeight="1">
      <c r="A484" s="215"/>
      <c r="B484" s="215"/>
      <c r="C484" s="229"/>
      <c r="D484" s="213"/>
      <c r="E484" s="213"/>
      <c r="F484" s="213"/>
      <c r="G484" s="213"/>
      <c r="H484" s="213"/>
      <c r="I484" s="213"/>
      <c r="J484" s="213"/>
      <c r="K484" s="213"/>
      <c r="L484" s="213"/>
      <c r="M484" s="215"/>
      <c r="N484" s="212"/>
      <c r="O484" s="212"/>
      <c r="P484" s="212"/>
      <c r="Q484" s="212"/>
      <c r="R484" s="212"/>
      <c r="S484" s="212"/>
      <c r="T484" s="212"/>
      <c r="U484" s="212"/>
      <c r="V484" s="212"/>
      <c r="W484" s="212"/>
      <c r="X484" s="212"/>
      <c r="Y484" s="212"/>
      <c r="Z484" s="212"/>
      <c r="AA484" s="212"/>
      <c r="AB484" s="212"/>
      <c r="AC484" s="212"/>
      <c r="AD484" s="212"/>
      <c r="AE484" s="212"/>
      <c r="AF484" s="212"/>
      <c r="AG484" s="212"/>
      <c r="AH484" s="212"/>
      <c r="AI484" s="212"/>
      <c r="AJ484" s="212"/>
      <c r="AK484" s="212"/>
      <c r="AL484" s="212"/>
      <c r="AM484" s="212"/>
      <c r="AN484" s="212"/>
      <c r="AO484" s="212"/>
      <c r="AP484" s="212"/>
      <c r="AQ484" s="212"/>
      <c r="AR484" s="212"/>
      <c r="AS484" s="212"/>
      <c r="AT484" s="212"/>
      <c r="AU484" s="212"/>
      <c r="AV484" s="212"/>
      <c r="AW484" s="212"/>
      <c r="AX484" s="212"/>
      <c r="AY484" s="212"/>
      <c r="AZ484" s="212"/>
      <c r="BA484" s="212"/>
      <c r="BB484" s="212"/>
      <c r="BC484" s="212"/>
      <c r="BD484" s="212"/>
      <c r="BE484" s="212"/>
      <c r="BF484" s="212"/>
      <c r="BG484" s="212"/>
      <c r="BH484" s="212"/>
      <c r="BI484" s="212"/>
    </row>
    <row r="485" spans="1:61" ht="24" customHeight="1">
      <c r="A485" s="218" t="s">
        <v>2243</v>
      </c>
      <c r="B485" s="218" t="s">
        <v>1315</v>
      </c>
      <c r="C485" s="228">
        <v>1</v>
      </c>
      <c r="D485" s="213" t="s">
        <v>9</v>
      </c>
      <c r="E485" s="212"/>
      <c r="F485" s="217">
        <f>TRUNC(F486+F487+F488+F489,0)</f>
        <v>0</v>
      </c>
      <c r="G485" s="212"/>
      <c r="H485" s="217">
        <f>TRUNC(H486+H487+H488+H489,0)</f>
        <v>0</v>
      </c>
      <c r="I485" s="212"/>
      <c r="J485" s="217">
        <f>TRUNC(J486+J487+J488+J489,0)</f>
        <v>0</v>
      </c>
      <c r="K485" s="212"/>
      <c r="L485" s="217">
        <f>F485+H485+J485</f>
        <v>0</v>
      </c>
      <c r="M485" s="215" t="s">
        <v>68</v>
      </c>
      <c r="N485" s="212" t="s">
        <v>68</v>
      </c>
      <c r="O485" s="212" t="s">
        <v>1316</v>
      </c>
      <c r="P485" s="212"/>
      <c r="Q485" s="212"/>
      <c r="R485" s="212"/>
      <c r="S485" s="212"/>
      <c r="T485" s="212"/>
      <c r="U485" s="212"/>
      <c r="V485" s="212"/>
      <c r="W485" s="212"/>
      <c r="X485" s="212"/>
      <c r="Y485" s="212"/>
      <c r="Z485" s="212"/>
      <c r="AA485" s="212"/>
      <c r="AB485" s="212"/>
      <c r="AC485" s="212"/>
      <c r="AD485" s="212"/>
      <c r="AE485" s="212"/>
      <c r="AF485" s="212"/>
      <c r="AG485" s="212"/>
      <c r="AH485" s="212"/>
      <c r="AI485" s="212"/>
      <c r="AJ485" s="212"/>
      <c r="AK485" s="212"/>
      <c r="AL485" s="212"/>
      <c r="AM485" s="212"/>
      <c r="AN485" s="212"/>
      <c r="AO485" s="212"/>
      <c r="AP485" s="212"/>
      <c r="AQ485" s="212"/>
      <c r="AR485" s="212"/>
      <c r="AS485" s="212"/>
      <c r="AT485" s="212"/>
      <c r="AU485" s="212"/>
      <c r="AV485" s="212"/>
      <c r="AW485" s="212"/>
      <c r="AX485" s="212"/>
      <c r="AY485" s="212"/>
      <c r="AZ485" s="212"/>
      <c r="BA485" s="212"/>
      <c r="BB485" s="212"/>
      <c r="BC485" s="212"/>
      <c r="BD485" s="212"/>
      <c r="BE485" s="212"/>
      <c r="BF485" s="212"/>
      <c r="BG485" s="212"/>
      <c r="BH485" s="212"/>
      <c r="BI485" s="212"/>
    </row>
    <row r="486" spans="1:61" ht="24" customHeight="1">
      <c r="A486" s="218" t="s">
        <v>2240</v>
      </c>
      <c r="B486" s="218" t="s">
        <v>1895</v>
      </c>
      <c r="C486" s="228">
        <v>1</v>
      </c>
      <c r="D486" s="213" t="s">
        <v>9</v>
      </c>
      <c r="E486" s="217">
        <f>일위목록!E148</f>
        <v>0</v>
      </c>
      <c r="F486" s="217">
        <f>TRUNC(E486*C486,0)</f>
        <v>0</v>
      </c>
      <c r="G486" s="217">
        <f>일위목록!F148</f>
        <v>0</v>
      </c>
      <c r="H486" s="217">
        <f>TRUNC(G486*C486,0)</f>
        <v>0</v>
      </c>
      <c r="I486" s="217">
        <f>일위목록!G148</f>
        <v>0</v>
      </c>
      <c r="J486" s="217">
        <f>TRUNC(I486*C486,0)</f>
        <v>0</v>
      </c>
      <c r="K486" s="217">
        <f>E486+G486+I486</f>
        <v>0</v>
      </c>
      <c r="L486" s="217">
        <f>F486+H486+J486</f>
        <v>0</v>
      </c>
      <c r="M486" s="215" t="s">
        <v>1896</v>
      </c>
      <c r="N486" s="212" t="s">
        <v>68</v>
      </c>
      <c r="O486" s="212"/>
      <c r="P486" s="212" t="s">
        <v>1095</v>
      </c>
      <c r="Q486" s="212" t="s">
        <v>68</v>
      </c>
      <c r="R486" s="212" t="s">
        <v>1897</v>
      </c>
      <c r="S486" s="212"/>
      <c r="T486" s="212" t="s">
        <v>1129</v>
      </c>
      <c r="U486" s="212"/>
      <c r="V486" s="212"/>
      <c r="W486" s="212"/>
      <c r="X486" s="212"/>
      <c r="Y486" s="212"/>
      <c r="Z486" s="212"/>
      <c r="AA486" s="212"/>
      <c r="AB486" s="212"/>
      <c r="AC486" s="212"/>
      <c r="AD486" s="212"/>
      <c r="AE486" s="212"/>
      <c r="AF486" s="212"/>
      <c r="AG486" s="212"/>
      <c r="AH486" s="212"/>
      <c r="AI486" s="212"/>
      <c r="AJ486" s="212"/>
      <c r="AK486" s="212"/>
      <c r="AL486" s="212"/>
      <c r="AM486" s="212"/>
      <c r="AN486" s="212"/>
      <c r="AO486" s="212"/>
      <c r="AP486" s="212"/>
      <c r="AQ486" s="212"/>
      <c r="AR486" s="212"/>
      <c r="AS486" s="212"/>
      <c r="AT486" s="212"/>
      <c r="AU486" s="212"/>
      <c r="AV486" s="212"/>
      <c r="AW486" s="212"/>
      <c r="AX486" s="212"/>
      <c r="AY486" s="212"/>
      <c r="AZ486" s="212"/>
      <c r="BA486" s="212"/>
      <c r="BB486" s="212"/>
      <c r="BC486" s="212"/>
      <c r="BD486" s="212"/>
      <c r="BE486" s="212"/>
      <c r="BF486" s="212"/>
      <c r="BG486" s="212"/>
      <c r="BH486" s="212"/>
      <c r="BI486" s="231" t="str">
        <f>HYPERLINK("#일위대가목록!A148","P3-1-1/10 →")</f>
        <v>P3-1-1/10 →</v>
      </c>
    </row>
    <row r="487" spans="1:61" ht="24" customHeight="1">
      <c r="A487" s="218" t="s">
        <v>1542</v>
      </c>
      <c r="B487" s="218" t="s">
        <v>1315</v>
      </c>
      <c r="C487" s="228">
        <v>1</v>
      </c>
      <c r="D487" s="213" t="s">
        <v>9</v>
      </c>
      <c r="E487" s="217">
        <f>일위목록!E152</f>
        <v>0</v>
      </c>
      <c r="F487" s="217">
        <f>TRUNC(E487*C487,0)</f>
        <v>0</v>
      </c>
      <c r="G487" s="217">
        <f>일위목록!F152</f>
        <v>0</v>
      </c>
      <c r="H487" s="217">
        <f>TRUNC(G487*C487,0)</f>
        <v>0</v>
      </c>
      <c r="I487" s="217">
        <f>일위목록!G152</f>
        <v>0</v>
      </c>
      <c r="J487" s="217">
        <f>TRUNC(I487*C487,0)</f>
        <v>0</v>
      </c>
      <c r="K487" s="217">
        <f>E487+G487+I487</f>
        <v>0</v>
      </c>
      <c r="L487" s="217">
        <f>F487+H487+J487</f>
        <v>0</v>
      </c>
      <c r="M487" s="215" t="s">
        <v>1882</v>
      </c>
      <c r="N487" s="212" t="s">
        <v>68</v>
      </c>
      <c r="O487" s="212"/>
      <c r="P487" s="212" t="s">
        <v>1098</v>
      </c>
      <c r="Q487" s="212" t="s">
        <v>68</v>
      </c>
      <c r="R487" s="212" t="s">
        <v>1908</v>
      </c>
      <c r="S487" s="212"/>
      <c r="T487" s="212" t="s">
        <v>1129</v>
      </c>
      <c r="U487" s="212"/>
      <c r="V487" s="212"/>
      <c r="W487" s="212"/>
      <c r="X487" s="212"/>
      <c r="Y487" s="212"/>
      <c r="Z487" s="212"/>
      <c r="AA487" s="212"/>
      <c r="AB487" s="212"/>
      <c r="AC487" s="212"/>
      <c r="AD487" s="212"/>
      <c r="AE487" s="212"/>
      <c r="AF487" s="212"/>
      <c r="AG487" s="212"/>
      <c r="AH487" s="212"/>
      <c r="AI487" s="212"/>
      <c r="AJ487" s="212"/>
      <c r="AK487" s="212"/>
      <c r="AL487" s="212"/>
      <c r="AM487" s="212"/>
      <c r="AN487" s="212"/>
      <c r="AO487" s="212"/>
      <c r="AP487" s="212"/>
      <c r="AQ487" s="212"/>
      <c r="AR487" s="212"/>
      <c r="AS487" s="212"/>
      <c r="AT487" s="212"/>
      <c r="AU487" s="212"/>
      <c r="AV487" s="212"/>
      <c r="AW487" s="212"/>
      <c r="AX487" s="212"/>
      <c r="AY487" s="212"/>
      <c r="AZ487" s="212"/>
      <c r="BA487" s="212"/>
      <c r="BB487" s="212"/>
      <c r="BC487" s="212"/>
      <c r="BD487" s="212"/>
      <c r="BE487" s="212"/>
      <c r="BF487" s="212"/>
      <c r="BG487" s="212"/>
      <c r="BH487" s="212"/>
      <c r="BI487" s="231" t="str">
        <f>HYPERLINK("#일위대가목록!A152","P3-1-1/12 →")</f>
        <v>P3-1-1/12 →</v>
      </c>
    </row>
    <row r="488" spans="1:61" ht="24" customHeight="1">
      <c r="A488" s="218" t="s">
        <v>2241</v>
      </c>
      <c r="B488" s="218" t="s">
        <v>1901</v>
      </c>
      <c r="C488" s="228">
        <v>1</v>
      </c>
      <c r="D488" s="213" t="s">
        <v>9</v>
      </c>
      <c r="E488" s="217">
        <f>일위목록!E150</f>
        <v>0</v>
      </c>
      <c r="F488" s="217">
        <f>TRUNC(E488*C488,0)</f>
        <v>0</v>
      </c>
      <c r="G488" s="217">
        <f>일위목록!F150</f>
        <v>0</v>
      </c>
      <c r="H488" s="217">
        <f>TRUNC(G488*C488,0)</f>
        <v>0</v>
      </c>
      <c r="I488" s="217">
        <f>일위목록!G150</f>
        <v>0</v>
      </c>
      <c r="J488" s="217">
        <f>TRUNC(I488*C488,0)</f>
        <v>0</v>
      </c>
      <c r="K488" s="217">
        <f>E488+G488+I488</f>
        <v>0</v>
      </c>
      <c r="L488" s="217">
        <f>F488+H488+J488</f>
        <v>0</v>
      </c>
      <c r="M488" s="215" t="s">
        <v>1902</v>
      </c>
      <c r="N488" s="212" t="s">
        <v>68</v>
      </c>
      <c r="O488" s="212"/>
      <c r="P488" s="212" t="s">
        <v>1101</v>
      </c>
      <c r="Q488" s="212" t="s">
        <v>68</v>
      </c>
      <c r="R488" s="212" t="s">
        <v>1903</v>
      </c>
      <c r="S488" s="212"/>
      <c r="T488" s="212" t="s">
        <v>1129</v>
      </c>
      <c r="U488" s="212"/>
      <c r="V488" s="212"/>
      <c r="W488" s="212"/>
      <c r="X488" s="212"/>
      <c r="Y488" s="212"/>
      <c r="Z488" s="212"/>
      <c r="AA488" s="212"/>
      <c r="AB488" s="212"/>
      <c r="AC488" s="212"/>
      <c r="AD488" s="212"/>
      <c r="AE488" s="212"/>
      <c r="AF488" s="212"/>
      <c r="AG488" s="212"/>
      <c r="AH488" s="212"/>
      <c r="AI488" s="212"/>
      <c r="AJ488" s="212"/>
      <c r="AK488" s="212"/>
      <c r="AL488" s="212"/>
      <c r="AM488" s="212"/>
      <c r="AN488" s="212"/>
      <c r="AO488" s="212"/>
      <c r="AP488" s="212"/>
      <c r="AQ488" s="212"/>
      <c r="AR488" s="212"/>
      <c r="AS488" s="212"/>
      <c r="AT488" s="212"/>
      <c r="AU488" s="212"/>
      <c r="AV488" s="212"/>
      <c r="AW488" s="212"/>
      <c r="AX488" s="212"/>
      <c r="AY488" s="212"/>
      <c r="AZ488" s="212"/>
      <c r="BA488" s="212"/>
      <c r="BB488" s="212"/>
      <c r="BC488" s="212"/>
      <c r="BD488" s="212"/>
      <c r="BE488" s="212"/>
      <c r="BF488" s="212"/>
      <c r="BG488" s="212"/>
      <c r="BH488" s="212"/>
      <c r="BI488" s="231" t="str">
        <f>HYPERLINK("#일위대가목록!A150","P3-1-1/15 →")</f>
        <v>P3-1-1/15 →</v>
      </c>
    </row>
    <row r="489" spans="1:61" ht="24" customHeight="1">
      <c r="A489" s="218" t="s">
        <v>2242</v>
      </c>
      <c r="B489" s="218" t="s">
        <v>1905</v>
      </c>
      <c r="C489" s="228">
        <v>1</v>
      </c>
      <c r="D489" s="213" t="s">
        <v>9</v>
      </c>
      <c r="E489" s="217">
        <f>일위목록!E151</f>
        <v>0</v>
      </c>
      <c r="F489" s="217">
        <f>TRUNC(E489*C489,0)</f>
        <v>0</v>
      </c>
      <c r="G489" s="217">
        <f>일위목록!F151</f>
        <v>0</v>
      </c>
      <c r="H489" s="217">
        <f>TRUNC(G489*C489,0)</f>
        <v>0</v>
      </c>
      <c r="I489" s="217">
        <f>일위목록!G151</f>
        <v>0</v>
      </c>
      <c r="J489" s="217">
        <f>TRUNC(I489*C489,0)</f>
        <v>0</v>
      </c>
      <c r="K489" s="217">
        <f>E489+G489+I489</f>
        <v>0</v>
      </c>
      <c r="L489" s="217">
        <f>F489+H489+J489</f>
        <v>0</v>
      </c>
      <c r="M489" s="215" t="s">
        <v>1902</v>
      </c>
      <c r="N489" s="212" t="s">
        <v>68</v>
      </c>
      <c r="O489" s="212"/>
      <c r="P489" s="212" t="s">
        <v>1104</v>
      </c>
      <c r="Q489" s="212" t="s">
        <v>68</v>
      </c>
      <c r="R489" s="212" t="s">
        <v>1906</v>
      </c>
      <c r="S489" s="212"/>
      <c r="T489" s="212" t="s">
        <v>1129</v>
      </c>
      <c r="U489" s="212"/>
      <c r="V489" s="212"/>
      <c r="W489" s="212"/>
      <c r="X489" s="212"/>
      <c r="Y489" s="212"/>
      <c r="Z489" s="212"/>
      <c r="AA489" s="212"/>
      <c r="AB489" s="212"/>
      <c r="AC489" s="212"/>
      <c r="AD489" s="212"/>
      <c r="AE489" s="212"/>
      <c r="AF489" s="212"/>
      <c r="AG489" s="212"/>
      <c r="AH489" s="212"/>
      <c r="AI489" s="212"/>
      <c r="AJ489" s="212"/>
      <c r="AK489" s="212"/>
      <c r="AL489" s="212"/>
      <c r="AM489" s="212"/>
      <c r="AN489" s="212"/>
      <c r="AO489" s="212"/>
      <c r="AP489" s="212"/>
      <c r="AQ489" s="212"/>
      <c r="AR489" s="212"/>
      <c r="AS489" s="212"/>
      <c r="AT489" s="212"/>
      <c r="AU489" s="212"/>
      <c r="AV489" s="212"/>
      <c r="AW489" s="212"/>
      <c r="AX489" s="212"/>
      <c r="AY489" s="212"/>
      <c r="AZ489" s="212"/>
      <c r="BA489" s="212"/>
      <c r="BB489" s="212"/>
      <c r="BC489" s="212"/>
      <c r="BD489" s="212"/>
      <c r="BE489" s="212"/>
      <c r="BF489" s="212"/>
      <c r="BG489" s="212"/>
      <c r="BH489" s="212"/>
      <c r="BI489" s="231" t="str">
        <f>HYPERLINK("#일위대가목록!A151","P3-1-1/16 →")</f>
        <v>P3-1-1/16 →</v>
      </c>
    </row>
    <row r="490" spans="1:61" ht="24" customHeight="1">
      <c r="A490" s="215"/>
      <c r="B490" s="215"/>
      <c r="C490" s="229"/>
      <c r="D490" s="213"/>
      <c r="E490" s="213"/>
      <c r="F490" s="213"/>
      <c r="G490" s="213"/>
      <c r="H490" s="213"/>
      <c r="I490" s="213"/>
      <c r="J490" s="213"/>
      <c r="K490" s="213"/>
      <c r="L490" s="213"/>
      <c r="M490" s="215"/>
      <c r="N490" s="212"/>
      <c r="O490" s="212"/>
      <c r="P490" s="212"/>
      <c r="Q490" s="212"/>
      <c r="R490" s="212"/>
      <c r="S490" s="212"/>
      <c r="T490" s="212"/>
      <c r="U490" s="212"/>
      <c r="V490" s="212"/>
      <c r="W490" s="212"/>
      <c r="X490" s="212"/>
      <c r="Y490" s="212"/>
      <c r="Z490" s="212"/>
      <c r="AA490" s="212"/>
      <c r="AB490" s="212"/>
      <c r="AC490" s="212"/>
      <c r="AD490" s="212"/>
      <c r="AE490" s="212"/>
      <c r="AF490" s="212"/>
      <c r="AG490" s="212"/>
      <c r="AH490" s="212"/>
      <c r="AI490" s="212"/>
      <c r="AJ490" s="212"/>
      <c r="AK490" s="212"/>
      <c r="AL490" s="212"/>
      <c r="AM490" s="212"/>
      <c r="AN490" s="212"/>
      <c r="AO490" s="212"/>
      <c r="AP490" s="212"/>
      <c r="AQ490" s="212"/>
      <c r="AR490" s="212"/>
      <c r="AS490" s="212"/>
      <c r="AT490" s="212"/>
      <c r="AU490" s="212"/>
      <c r="AV490" s="212"/>
      <c r="AW490" s="212"/>
      <c r="AX490" s="212"/>
      <c r="AY490" s="212"/>
      <c r="AZ490" s="212"/>
      <c r="BA490" s="212"/>
      <c r="BB490" s="212"/>
      <c r="BC490" s="212"/>
      <c r="BD490" s="212"/>
      <c r="BE490" s="212"/>
      <c r="BF490" s="212"/>
      <c r="BG490" s="212"/>
      <c r="BH490" s="212"/>
      <c r="BI490" s="212"/>
    </row>
    <row r="491" spans="1:61" ht="24" customHeight="1">
      <c r="A491" s="218" t="s">
        <v>2244</v>
      </c>
      <c r="B491" s="218" t="s">
        <v>1318</v>
      </c>
      <c r="C491" s="228">
        <v>1</v>
      </c>
      <c r="D491" s="213" t="s">
        <v>1033</v>
      </c>
      <c r="E491" s="212"/>
      <c r="F491" s="217">
        <f>TRUNC(F492+F493+F494+F495,0)</f>
        <v>0</v>
      </c>
      <c r="G491" s="212"/>
      <c r="H491" s="217">
        <f>TRUNC(H492+H493+H494+H495,0)</f>
        <v>0</v>
      </c>
      <c r="I491" s="212"/>
      <c r="J491" s="217">
        <f>TRUNC(J492+J493+J494+J495,0)</f>
        <v>0</v>
      </c>
      <c r="K491" s="212"/>
      <c r="L491" s="217">
        <f>F491+H491+J491</f>
        <v>0</v>
      </c>
      <c r="M491" s="215" t="s">
        <v>1809</v>
      </c>
      <c r="N491" s="212" t="s">
        <v>68</v>
      </c>
      <c r="O491" s="212" t="s">
        <v>1319</v>
      </c>
      <c r="P491" s="212"/>
      <c r="Q491" s="212"/>
      <c r="R491" s="212"/>
      <c r="S491" s="212"/>
      <c r="T491" s="212"/>
      <c r="U491" s="212"/>
      <c r="V491" s="212"/>
      <c r="W491" s="212"/>
      <c r="X491" s="212"/>
      <c r="Y491" s="212"/>
      <c r="Z491" s="212"/>
      <c r="AA491" s="212"/>
      <c r="AB491" s="212"/>
      <c r="AC491" s="212"/>
      <c r="AD491" s="212"/>
      <c r="AE491" s="212"/>
      <c r="AF491" s="212"/>
      <c r="AG491" s="212"/>
      <c r="AH491" s="212"/>
      <c r="AI491" s="212"/>
      <c r="AJ491" s="212"/>
      <c r="AK491" s="212"/>
      <c r="AL491" s="212"/>
      <c r="AM491" s="212"/>
      <c r="AN491" s="212"/>
      <c r="AO491" s="212"/>
      <c r="AP491" s="212"/>
      <c r="AQ491" s="212"/>
      <c r="AR491" s="212"/>
      <c r="AS491" s="212"/>
      <c r="AT491" s="212"/>
      <c r="AU491" s="212"/>
      <c r="AV491" s="212"/>
      <c r="AW491" s="212"/>
      <c r="AX491" s="212"/>
      <c r="AY491" s="212"/>
      <c r="AZ491" s="212"/>
      <c r="BA491" s="212"/>
      <c r="BB491" s="212"/>
      <c r="BC491" s="212"/>
      <c r="BD491" s="212"/>
      <c r="BE491" s="212"/>
      <c r="BF491" s="212"/>
      <c r="BG491" s="212"/>
      <c r="BH491" s="212"/>
      <c r="BI491" s="212"/>
    </row>
    <row r="492" spans="1:61" ht="24" customHeight="1">
      <c r="A492" s="218" t="s">
        <v>1317</v>
      </c>
      <c r="B492" s="218" t="s">
        <v>68</v>
      </c>
      <c r="C492" s="228">
        <v>1</v>
      </c>
      <c r="D492" s="213" t="s">
        <v>1033</v>
      </c>
      <c r="E492" s="217">
        <f>자재!D81</f>
        <v>0</v>
      </c>
      <c r="F492" s="217">
        <f>TRUNC(E492*C492,0)</f>
        <v>0</v>
      </c>
      <c r="G492" s="217">
        <v>0</v>
      </c>
      <c r="H492" s="217"/>
      <c r="I492" s="217">
        <v>0</v>
      </c>
      <c r="J492" s="217"/>
      <c r="K492" s="217">
        <f>E492+G492+I492</f>
        <v>0</v>
      </c>
      <c r="L492" s="217">
        <f>F492+H492+J492</f>
        <v>0</v>
      </c>
      <c r="M492" s="215" t="s">
        <v>68</v>
      </c>
      <c r="N492" s="212" t="s">
        <v>68</v>
      </c>
      <c r="O492" s="212"/>
      <c r="P492" s="212" t="s">
        <v>2245</v>
      </c>
      <c r="Q492" s="212" t="s">
        <v>68</v>
      </c>
      <c r="R492" s="212" t="s">
        <v>2246</v>
      </c>
      <c r="S492" s="212"/>
      <c r="T492" s="212"/>
      <c r="U492" s="212"/>
      <c r="V492" s="212"/>
      <c r="W492" s="212"/>
      <c r="X492" s="212"/>
      <c r="Y492" s="212"/>
      <c r="Z492" s="212"/>
      <c r="AA492" s="212"/>
      <c r="AB492" s="212"/>
      <c r="AC492" s="212"/>
      <c r="AD492" s="212"/>
      <c r="AE492" s="212"/>
      <c r="AF492" s="212"/>
      <c r="AG492" s="212"/>
      <c r="AH492" s="212"/>
      <c r="AI492" s="212"/>
      <c r="AJ492" s="212"/>
      <c r="AK492" s="212"/>
      <c r="AL492" s="212"/>
      <c r="AM492" s="212"/>
      <c r="AN492" s="212"/>
      <c r="AO492" s="212"/>
      <c r="AP492" s="212"/>
      <c r="AQ492" s="212"/>
      <c r="AR492" s="212"/>
      <c r="AS492" s="212"/>
      <c r="AT492" s="212"/>
      <c r="AU492" s="212"/>
      <c r="AV492" s="212"/>
      <c r="AW492" s="212"/>
      <c r="AX492" s="212"/>
      <c r="AY492" s="212"/>
      <c r="AZ492" s="212"/>
      <c r="BA492" s="212"/>
      <c r="BB492" s="212"/>
      <c r="BC492" s="212"/>
      <c r="BD492" s="212"/>
      <c r="BE492" s="212"/>
      <c r="BF492" s="212"/>
      <c r="BG492" s="212"/>
      <c r="BH492" s="212"/>
      <c r="BI492" s="231" t="str">
        <f>HYPERLINK("#자재!A81","MZZ9000018 →")</f>
        <v>MZZ9000018 →</v>
      </c>
    </row>
    <row r="493" spans="1:61" ht="24" customHeight="1">
      <c r="A493" s="218" t="s">
        <v>2121</v>
      </c>
      <c r="B493" s="218" t="s">
        <v>1946</v>
      </c>
      <c r="C493" s="229">
        <v>3.6999999999999998E-2</v>
      </c>
      <c r="D493" s="213" t="s">
        <v>1286</v>
      </c>
      <c r="E493" s="217">
        <v>0</v>
      </c>
      <c r="F493" s="217"/>
      <c r="G493" s="217">
        <f>노임!D12</f>
        <v>0</v>
      </c>
      <c r="H493" s="217">
        <f>TRUNC(G493*C493,0)</f>
        <v>0</v>
      </c>
      <c r="I493" s="217">
        <v>0</v>
      </c>
      <c r="J493" s="217"/>
      <c r="K493" s="217">
        <f>E493+G493+I493</f>
        <v>0</v>
      </c>
      <c r="L493" s="217">
        <f>F493+H493+J493</f>
        <v>0</v>
      </c>
      <c r="M493" s="215" t="s">
        <v>68</v>
      </c>
      <c r="N493" s="212" t="s">
        <v>68</v>
      </c>
      <c r="O493" s="212"/>
      <c r="P493" s="212" t="s">
        <v>1095</v>
      </c>
      <c r="Q493" s="212" t="s">
        <v>68</v>
      </c>
      <c r="R493" s="212" t="s">
        <v>2122</v>
      </c>
      <c r="S493" s="212"/>
      <c r="T493" s="212"/>
      <c r="U493" s="212"/>
      <c r="V493" s="212"/>
      <c r="W493" s="212"/>
      <c r="X493" s="212"/>
      <c r="Y493" s="212"/>
      <c r="Z493" s="212"/>
      <c r="AA493" s="212"/>
      <c r="AB493" s="212"/>
      <c r="AC493" s="212"/>
      <c r="AD493" s="212"/>
      <c r="AE493" s="212"/>
      <c r="AF493" s="212"/>
      <c r="AG493" s="212"/>
      <c r="AH493" s="212"/>
      <c r="AI493" s="212"/>
      <c r="AJ493" s="212"/>
      <c r="AK493" s="212"/>
      <c r="AL493" s="212"/>
      <c r="AM493" s="212"/>
      <c r="AN493" s="212"/>
      <c r="AO493" s="212"/>
      <c r="AP493" s="212"/>
      <c r="AQ493" s="212"/>
      <c r="AR493" s="212"/>
      <c r="AS493" s="212"/>
      <c r="AT493" s="212"/>
      <c r="AU493" s="212"/>
      <c r="AV493" s="212"/>
      <c r="AW493" s="212"/>
      <c r="AX493" s="212"/>
      <c r="AY493" s="212"/>
      <c r="AZ493" s="212"/>
      <c r="BA493" s="212"/>
      <c r="BB493" s="212"/>
      <c r="BC493" s="212"/>
      <c r="BD493" s="212"/>
      <c r="BE493" s="212"/>
      <c r="BF493" s="212"/>
      <c r="BG493" s="212"/>
      <c r="BH493" s="212"/>
      <c r="BI493" s="231" t="str">
        <f>HYPERLINK("#노임!A12","L001010101000023 →")</f>
        <v>L001010101000023 →</v>
      </c>
    </row>
    <row r="494" spans="1:61" ht="24" customHeight="1">
      <c r="A494" s="218" t="s">
        <v>1967</v>
      </c>
      <c r="B494" s="218" t="s">
        <v>1946</v>
      </c>
      <c r="C494" s="229">
        <v>4.0000000000000001E-3</v>
      </c>
      <c r="D494" s="213" t="s">
        <v>1286</v>
      </c>
      <c r="E494" s="217">
        <v>0</v>
      </c>
      <c r="F494" s="217"/>
      <c r="G494" s="217">
        <f>노임!D3</f>
        <v>0</v>
      </c>
      <c r="H494" s="217">
        <f>TRUNC(G494*C494,0)</f>
        <v>0</v>
      </c>
      <c r="I494" s="217">
        <v>0</v>
      </c>
      <c r="J494" s="217"/>
      <c r="K494" s="217">
        <f>E494+G494+I494</f>
        <v>0</v>
      </c>
      <c r="L494" s="217">
        <f>F494+H494+J494</f>
        <v>0</v>
      </c>
      <c r="M494" s="215" t="s">
        <v>68</v>
      </c>
      <c r="N494" s="212" t="s">
        <v>68</v>
      </c>
      <c r="O494" s="212"/>
      <c r="P494" s="212" t="s">
        <v>1098</v>
      </c>
      <c r="Q494" s="212" t="s">
        <v>68</v>
      </c>
      <c r="R494" s="212" t="s">
        <v>1968</v>
      </c>
      <c r="S494" s="212"/>
      <c r="T494" s="212"/>
      <c r="U494" s="212"/>
      <c r="V494" s="212"/>
      <c r="W494" s="212"/>
      <c r="X494" s="212"/>
      <c r="Y494" s="212"/>
      <c r="Z494" s="212"/>
      <c r="AA494" s="220" t="s">
        <v>1955</v>
      </c>
      <c r="AB494" s="212">
        <f>(호표!H493+호표!H494)*0.02</f>
        <v>0</v>
      </c>
      <c r="AC494" s="220" t="s">
        <v>1956</v>
      </c>
      <c r="AD494" s="212">
        <f>$AB494</f>
        <v>0</v>
      </c>
      <c r="AE494" s="212"/>
      <c r="AF494" s="212"/>
      <c r="AG494" s="212"/>
      <c r="AH494" s="212"/>
      <c r="AI494" s="212"/>
      <c r="AJ494" s="212"/>
      <c r="AK494" s="212"/>
      <c r="AL494" s="212"/>
      <c r="AM494" s="212"/>
      <c r="AN494" s="212"/>
      <c r="AO494" s="212"/>
      <c r="AP494" s="212"/>
      <c r="AQ494" s="212"/>
      <c r="AR494" s="212"/>
      <c r="AS494" s="212"/>
      <c r="AT494" s="212"/>
      <c r="AU494" s="212"/>
      <c r="AV494" s="212"/>
      <c r="AW494" s="212"/>
      <c r="AX494" s="212"/>
      <c r="AY494" s="212"/>
      <c r="AZ494" s="212"/>
      <c r="BA494" s="212"/>
      <c r="BB494" s="212"/>
      <c r="BC494" s="212"/>
      <c r="BD494" s="212"/>
      <c r="BE494" s="212"/>
      <c r="BF494" s="212"/>
      <c r="BG494" s="212"/>
      <c r="BH494" s="212"/>
      <c r="BI494" s="231" t="str">
        <f>HYPERLINK("#노임!A3","L001010101000002 →")</f>
        <v>L001010101000002 →</v>
      </c>
    </row>
    <row r="495" spans="1:61" ht="24" customHeight="1">
      <c r="A495" s="218" t="s">
        <v>1974</v>
      </c>
      <c r="B495" s="218" t="s">
        <v>1958</v>
      </c>
      <c r="C495" s="228">
        <v>2</v>
      </c>
      <c r="D495" s="213" t="s">
        <v>1950</v>
      </c>
      <c r="E495" s="213"/>
      <c r="F495" s="217">
        <v>0</v>
      </c>
      <c r="G495" s="213"/>
      <c r="H495" s="217">
        <v>0</v>
      </c>
      <c r="I495" s="213"/>
      <c r="J495" s="217">
        <f>TRUNC(((H493+H494)*0.02),0)</f>
        <v>0</v>
      </c>
      <c r="K495" s="217">
        <f>E495+G495+I495</f>
        <v>0</v>
      </c>
      <c r="L495" s="217">
        <f>F495+H495+J495</f>
        <v>0</v>
      </c>
      <c r="M495" s="215" t="s">
        <v>68</v>
      </c>
      <c r="N495" s="212" t="s">
        <v>68</v>
      </c>
      <c r="O495" s="212"/>
      <c r="P495" s="212" t="s">
        <v>1101</v>
      </c>
      <c r="Q495" s="212" t="s">
        <v>68</v>
      </c>
      <c r="R495" s="212" t="s">
        <v>1121</v>
      </c>
      <c r="S495" s="212"/>
      <c r="T495" s="212"/>
      <c r="U495" s="212"/>
      <c r="V495" s="212"/>
      <c r="W495" s="212"/>
      <c r="X495" s="212" t="s">
        <v>1975</v>
      </c>
      <c r="Y495" s="212"/>
      <c r="Z495" s="212"/>
      <c r="AA495" s="212"/>
      <c r="AB495" s="212"/>
      <c r="AC495" s="212"/>
      <c r="AD495" s="212"/>
      <c r="AE495" s="212"/>
      <c r="AF495" s="212"/>
      <c r="AG495" s="212"/>
      <c r="AH495" s="212"/>
      <c r="AI495" s="212"/>
      <c r="AJ495" s="212"/>
      <c r="AK495" s="212"/>
      <c r="AL495" s="212"/>
      <c r="AM495" s="212"/>
      <c r="AN495" s="212"/>
      <c r="AO495" s="212"/>
      <c r="AP495" s="212"/>
      <c r="AQ495" s="212"/>
      <c r="AR495" s="212"/>
      <c r="AS495" s="212"/>
      <c r="AT495" s="212"/>
      <c r="AU495" s="212"/>
      <c r="AV495" s="212"/>
      <c r="AW495" s="212"/>
      <c r="AX495" s="212"/>
      <c r="AY495" s="212"/>
      <c r="AZ495" s="212"/>
      <c r="BA495" s="212"/>
      <c r="BB495" s="212"/>
      <c r="BC495" s="212"/>
      <c r="BD495" s="212"/>
      <c r="BE495" s="212"/>
      <c r="BF495" s="212"/>
      <c r="BG495" s="212"/>
      <c r="BH495" s="212"/>
      <c r="BI495" s="212"/>
    </row>
    <row r="496" spans="1:61" ht="24" customHeight="1">
      <c r="A496" s="215"/>
      <c r="B496" s="215"/>
      <c r="C496" s="229"/>
      <c r="D496" s="213"/>
      <c r="E496" s="213"/>
      <c r="F496" s="213"/>
      <c r="G496" s="213"/>
      <c r="H496" s="213"/>
      <c r="I496" s="213"/>
      <c r="J496" s="213"/>
      <c r="K496" s="213"/>
      <c r="L496" s="213"/>
      <c r="M496" s="215"/>
      <c r="N496" s="212"/>
      <c r="O496" s="212"/>
      <c r="P496" s="212"/>
      <c r="Q496" s="212"/>
      <c r="R496" s="212"/>
      <c r="S496" s="212"/>
      <c r="T496" s="212"/>
      <c r="U496" s="212"/>
      <c r="V496" s="212"/>
      <c r="W496" s="212"/>
      <c r="X496" s="212"/>
      <c r="Y496" s="212"/>
      <c r="Z496" s="212"/>
      <c r="AA496" s="212"/>
      <c r="AB496" s="212"/>
      <c r="AC496" s="212"/>
      <c r="AD496" s="212"/>
      <c r="AE496" s="212"/>
      <c r="AF496" s="212"/>
      <c r="AG496" s="212"/>
      <c r="AH496" s="212"/>
      <c r="AI496" s="212"/>
      <c r="AJ496" s="212"/>
      <c r="AK496" s="212"/>
      <c r="AL496" s="212"/>
      <c r="AM496" s="212"/>
      <c r="AN496" s="212"/>
      <c r="AO496" s="212"/>
      <c r="AP496" s="212"/>
      <c r="AQ496" s="212"/>
      <c r="AR496" s="212"/>
      <c r="AS496" s="212"/>
      <c r="AT496" s="212"/>
      <c r="AU496" s="212"/>
      <c r="AV496" s="212"/>
      <c r="AW496" s="212"/>
      <c r="AX496" s="212"/>
      <c r="AY496" s="212"/>
      <c r="AZ496" s="212"/>
      <c r="BA496" s="212"/>
      <c r="BB496" s="212"/>
      <c r="BC496" s="212"/>
      <c r="BD496" s="212"/>
      <c r="BE496" s="212"/>
      <c r="BF496" s="212"/>
      <c r="BG496" s="212"/>
      <c r="BH496" s="212"/>
      <c r="BI496" s="212"/>
    </row>
    <row r="497" spans="1:61" ht="24" customHeight="1">
      <c r="A497" s="218" t="s">
        <v>2247</v>
      </c>
      <c r="B497" s="218" t="s">
        <v>1321</v>
      </c>
      <c r="C497" s="228">
        <v>1</v>
      </c>
      <c r="D497" s="213" t="s">
        <v>437</v>
      </c>
      <c r="E497" s="212"/>
      <c r="F497" s="217">
        <f>TRUNC(F498+F499+F500+F501+F502,0)</f>
        <v>0</v>
      </c>
      <c r="G497" s="212"/>
      <c r="H497" s="217">
        <f>TRUNC(H498+H499+H500+H501+H502,0)</f>
        <v>0</v>
      </c>
      <c r="I497" s="212"/>
      <c r="J497" s="217">
        <f>TRUNC(J498+J499+J500+J501+J502,0)</f>
        <v>0</v>
      </c>
      <c r="K497" s="212"/>
      <c r="L497" s="217">
        <f t="shared" ref="L497:L502" si="58">F497+H497+J497</f>
        <v>0</v>
      </c>
      <c r="M497" s="215" t="s">
        <v>68</v>
      </c>
      <c r="N497" s="212" t="s">
        <v>68</v>
      </c>
      <c r="O497" s="212" t="s">
        <v>1322</v>
      </c>
      <c r="P497" s="212"/>
      <c r="Q497" s="212"/>
      <c r="R497" s="212"/>
      <c r="S497" s="212"/>
      <c r="T497" s="212"/>
      <c r="U497" s="212"/>
      <c r="V497" s="212"/>
      <c r="W497" s="212"/>
      <c r="X497" s="212"/>
      <c r="Y497" s="212"/>
      <c r="Z497" s="212"/>
      <c r="AA497" s="212"/>
      <c r="AB497" s="212"/>
      <c r="AC497" s="212"/>
      <c r="AD497" s="212"/>
      <c r="AE497" s="212"/>
      <c r="AF497" s="212"/>
      <c r="AG497" s="212"/>
      <c r="AH497" s="212"/>
      <c r="AI497" s="212"/>
      <c r="AJ497" s="212"/>
      <c r="AK497" s="212"/>
      <c r="AL497" s="212"/>
      <c r="AM497" s="212"/>
      <c r="AN497" s="212"/>
      <c r="AO497" s="212"/>
      <c r="AP497" s="212"/>
      <c r="AQ497" s="212"/>
      <c r="AR497" s="212"/>
      <c r="AS497" s="212"/>
      <c r="AT497" s="212"/>
      <c r="AU497" s="212"/>
      <c r="AV497" s="212"/>
      <c r="AW497" s="212"/>
      <c r="AX497" s="212"/>
      <c r="AY497" s="212"/>
      <c r="AZ497" s="212"/>
      <c r="BA497" s="212"/>
      <c r="BB497" s="212"/>
      <c r="BC497" s="212"/>
      <c r="BD497" s="212"/>
      <c r="BE497" s="212"/>
      <c r="BF497" s="212"/>
      <c r="BG497" s="212"/>
      <c r="BH497" s="212"/>
      <c r="BI497" s="212"/>
    </row>
    <row r="498" spans="1:61" ht="24" customHeight="1">
      <c r="A498" s="218" t="s">
        <v>1320</v>
      </c>
      <c r="B498" s="218" t="s">
        <v>1324</v>
      </c>
      <c r="C498" s="228">
        <v>1</v>
      </c>
      <c r="D498" s="213" t="s">
        <v>437</v>
      </c>
      <c r="E498" s="217">
        <f>자재!D83</f>
        <v>0</v>
      </c>
      <c r="F498" s="217">
        <f>TRUNC(E498*C498,0)</f>
        <v>0</v>
      </c>
      <c r="G498" s="217">
        <v>0</v>
      </c>
      <c r="H498" s="217"/>
      <c r="I498" s="217">
        <v>0</v>
      </c>
      <c r="J498" s="217"/>
      <c r="K498" s="217">
        <f>E498+G498+I498</f>
        <v>0</v>
      </c>
      <c r="L498" s="217">
        <f t="shared" si="58"/>
        <v>0</v>
      </c>
      <c r="M498" s="215" t="s">
        <v>68</v>
      </c>
      <c r="N498" s="212" t="s">
        <v>68</v>
      </c>
      <c r="O498" s="212"/>
      <c r="P498" s="212" t="s">
        <v>1095</v>
      </c>
      <c r="Q498" s="212" t="s">
        <v>68</v>
      </c>
      <c r="R498" s="212" t="s">
        <v>2248</v>
      </c>
      <c r="S498" s="212"/>
      <c r="T498" s="212"/>
      <c r="U498" s="212"/>
      <c r="V498" s="212"/>
      <c r="W498" s="212"/>
      <c r="X498" s="212"/>
      <c r="Y498" s="212"/>
      <c r="Z498" s="212"/>
      <c r="AA498" s="212"/>
      <c r="AB498" s="212"/>
      <c r="AC498" s="212"/>
      <c r="AD498" s="212"/>
      <c r="AE498" s="212"/>
      <c r="AF498" s="212"/>
      <c r="AG498" s="212"/>
      <c r="AH498" s="212"/>
      <c r="AI498" s="212"/>
      <c r="AJ498" s="212"/>
      <c r="AK498" s="212"/>
      <c r="AL498" s="212"/>
      <c r="AM498" s="212"/>
      <c r="AN498" s="212"/>
      <c r="AO498" s="212"/>
      <c r="AP498" s="212"/>
      <c r="AQ498" s="212"/>
      <c r="AR498" s="212"/>
      <c r="AS498" s="212"/>
      <c r="AT498" s="212"/>
      <c r="AU498" s="212"/>
      <c r="AV498" s="212"/>
      <c r="AW498" s="212"/>
      <c r="AX498" s="212"/>
      <c r="AY498" s="212"/>
      <c r="AZ498" s="212"/>
      <c r="BA498" s="212"/>
      <c r="BB498" s="212"/>
      <c r="BC498" s="212"/>
      <c r="BD498" s="212"/>
      <c r="BE498" s="212"/>
      <c r="BF498" s="212"/>
      <c r="BG498" s="212"/>
      <c r="BH498" s="212"/>
      <c r="BI498" s="231" t="str">
        <f>HYPERLINK("#자재!A83","MZZ9000020 →")</f>
        <v>MZZ9000020 →</v>
      </c>
    </row>
    <row r="499" spans="1:61" ht="24" customHeight="1">
      <c r="A499" s="218" t="s">
        <v>2038</v>
      </c>
      <c r="B499" s="218" t="s">
        <v>1523</v>
      </c>
      <c r="C499" s="228">
        <v>1</v>
      </c>
      <c r="D499" s="213" t="s">
        <v>378</v>
      </c>
      <c r="E499" s="217">
        <f>일위목록!E75</f>
        <v>0</v>
      </c>
      <c r="F499" s="217">
        <f>TRUNC(E499*C499,0)</f>
        <v>0</v>
      </c>
      <c r="G499" s="217">
        <f>일위목록!F75</f>
        <v>0</v>
      </c>
      <c r="H499" s="217">
        <f>TRUNC(G499*C499,0)</f>
        <v>0</v>
      </c>
      <c r="I499" s="217">
        <f>일위목록!G75</f>
        <v>0</v>
      </c>
      <c r="J499" s="217">
        <f>TRUNC(I499*C499,0)</f>
        <v>0</v>
      </c>
      <c r="K499" s="217">
        <f>E499+G499+I499</f>
        <v>0</v>
      </c>
      <c r="L499" s="217">
        <f t="shared" si="58"/>
        <v>0</v>
      </c>
      <c r="M499" s="215" t="s">
        <v>68</v>
      </c>
      <c r="N499" s="212" t="s">
        <v>68</v>
      </c>
      <c r="O499" s="212"/>
      <c r="P499" s="212" t="s">
        <v>1098</v>
      </c>
      <c r="Q499" s="212" t="s">
        <v>68</v>
      </c>
      <c r="R499" s="212" t="s">
        <v>1776</v>
      </c>
      <c r="S499" s="212"/>
      <c r="T499" s="212" t="s">
        <v>1129</v>
      </c>
      <c r="U499" s="212"/>
      <c r="V499" s="212"/>
      <c r="W499" s="212"/>
      <c r="X499" s="212"/>
      <c r="Y499" s="212"/>
      <c r="Z499" s="212"/>
      <c r="AA499" s="212"/>
      <c r="AB499" s="212"/>
      <c r="AC499" s="212"/>
      <c r="AD499" s="212"/>
      <c r="AE499" s="212"/>
      <c r="AF499" s="212"/>
      <c r="AG499" s="212"/>
      <c r="AH499" s="212"/>
      <c r="AI499" s="212"/>
      <c r="AJ499" s="212"/>
      <c r="AK499" s="212"/>
      <c r="AL499" s="212"/>
      <c r="AM499" s="212"/>
      <c r="AN499" s="212"/>
      <c r="AO499" s="212"/>
      <c r="AP499" s="212"/>
      <c r="AQ499" s="212"/>
      <c r="AR499" s="212"/>
      <c r="AS499" s="212"/>
      <c r="AT499" s="212"/>
      <c r="AU499" s="212"/>
      <c r="AV499" s="212"/>
      <c r="AW499" s="212"/>
      <c r="AX499" s="212"/>
      <c r="AY499" s="212"/>
      <c r="AZ499" s="212"/>
      <c r="BA499" s="212"/>
      <c r="BB499" s="212"/>
      <c r="BC499" s="212"/>
      <c r="BD499" s="212"/>
      <c r="BE499" s="212"/>
      <c r="BF499" s="212"/>
      <c r="BG499" s="212"/>
      <c r="BH499" s="212"/>
      <c r="BI499" s="231" t="str">
        <f>HYPERLINK("#일위대가목록!A75","PP10-1-1/2 →")</f>
        <v>PP10-1-1/2 →</v>
      </c>
    </row>
    <row r="500" spans="1:61" ht="24" customHeight="1">
      <c r="A500" s="218" t="s">
        <v>2249</v>
      </c>
      <c r="B500" s="218" t="s">
        <v>2250</v>
      </c>
      <c r="C500" s="228">
        <v>3</v>
      </c>
      <c r="D500" s="213" t="s">
        <v>437</v>
      </c>
      <c r="E500" s="217">
        <f>자재조서!E20</f>
        <v>0</v>
      </c>
      <c r="F500" s="217">
        <f>TRUNC(E500*C500,0)</f>
        <v>0</v>
      </c>
      <c r="G500" s="217">
        <v>0</v>
      </c>
      <c r="H500" s="217"/>
      <c r="I500" s="217">
        <v>0</v>
      </c>
      <c r="J500" s="217"/>
      <c r="K500" s="217">
        <f>E500+G500+I500</f>
        <v>0</v>
      </c>
      <c r="L500" s="217">
        <f t="shared" si="58"/>
        <v>0</v>
      </c>
      <c r="M500" s="215" t="s">
        <v>68</v>
      </c>
      <c r="N500" s="212" t="s">
        <v>2251</v>
      </c>
      <c r="O500" s="212"/>
      <c r="P500" s="212" t="s">
        <v>1101</v>
      </c>
      <c r="Q500" s="212" t="s">
        <v>68</v>
      </c>
      <c r="R500" s="212" t="s">
        <v>2252</v>
      </c>
      <c r="S500" s="212"/>
      <c r="T500" s="212"/>
      <c r="U500" s="212"/>
      <c r="V500" s="212"/>
      <c r="W500" s="212"/>
      <c r="X500" s="212"/>
      <c r="Y500" s="212"/>
      <c r="Z500" s="212"/>
      <c r="AA500" s="212"/>
      <c r="AB500" s="212"/>
      <c r="AC500" s="212"/>
      <c r="AD500" s="212"/>
      <c r="AE500" s="212"/>
      <c r="AF500" s="212"/>
      <c r="AG500" s="212"/>
      <c r="AH500" s="212"/>
      <c r="AI500" s="212"/>
      <c r="AJ500" s="212"/>
      <c r="AK500" s="212"/>
      <c r="AL500" s="212"/>
      <c r="AM500" s="212"/>
      <c r="AN500" s="212"/>
      <c r="AO500" s="212"/>
      <c r="AP500" s="212"/>
      <c r="AQ500" s="212"/>
      <c r="AR500" s="212"/>
      <c r="AS500" s="212"/>
      <c r="AT500" s="212"/>
      <c r="AU500" s="212"/>
      <c r="AV500" s="212"/>
      <c r="AW500" s="212"/>
      <c r="AX500" s="212"/>
      <c r="AY500" s="212"/>
      <c r="AZ500" s="212"/>
      <c r="BA500" s="212"/>
      <c r="BB500" s="212"/>
      <c r="BC500" s="212"/>
      <c r="BD500" s="212"/>
      <c r="BE500" s="212"/>
      <c r="BF500" s="212"/>
      <c r="BG500" s="212"/>
      <c r="BH500" s="212"/>
      <c r="BI500" s="231" t="str">
        <f>HYPERLINK("#자재조서!A20","M3894003 →")</f>
        <v>M3894003 →</v>
      </c>
    </row>
    <row r="501" spans="1:61" ht="24" customHeight="1">
      <c r="A501" s="218" t="s">
        <v>2253</v>
      </c>
      <c r="B501" s="218" t="s">
        <v>2254</v>
      </c>
      <c r="C501" s="228">
        <v>1</v>
      </c>
      <c r="D501" s="213" t="s">
        <v>437</v>
      </c>
      <c r="E501" s="217">
        <f>자재조서!E119</f>
        <v>0</v>
      </c>
      <c r="F501" s="217">
        <f>TRUNC(E501*C501,0)</f>
        <v>0</v>
      </c>
      <c r="G501" s="217">
        <v>0</v>
      </c>
      <c r="H501" s="217"/>
      <c r="I501" s="217">
        <v>0</v>
      </c>
      <c r="J501" s="217"/>
      <c r="K501" s="217">
        <f>E501+G501+I501</f>
        <v>0</v>
      </c>
      <c r="L501" s="217">
        <f t="shared" si="58"/>
        <v>0</v>
      </c>
      <c r="M501" s="215" t="s">
        <v>68</v>
      </c>
      <c r="N501" s="212" t="s">
        <v>68</v>
      </c>
      <c r="O501" s="212"/>
      <c r="P501" s="212" t="s">
        <v>1104</v>
      </c>
      <c r="Q501" s="212" t="s">
        <v>68</v>
      </c>
      <c r="R501" s="212" t="s">
        <v>2255</v>
      </c>
      <c r="S501" s="212"/>
      <c r="T501" s="212"/>
      <c r="U501" s="212"/>
      <c r="V501" s="212"/>
      <c r="W501" s="212"/>
      <c r="X501" s="212"/>
      <c r="Y501" s="212"/>
      <c r="Z501" s="212"/>
      <c r="AA501" s="212"/>
      <c r="AB501" s="212"/>
      <c r="AC501" s="212"/>
      <c r="AD501" s="212"/>
      <c r="AE501" s="212"/>
      <c r="AF501" s="212"/>
      <c r="AG501" s="212"/>
      <c r="AH501" s="212"/>
      <c r="AI501" s="212"/>
      <c r="AJ501" s="212"/>
      <c r="AK501" s="212"/>
      <c r="AL501" s="212"/>
      <c r="AM501" s="212"/>
      <c r="AN501" s="212"/>
      <c r="AO501" s="212"/>
      <c r="AP501" s="212"/>
      <c r="AQ501" s="212"/>
      <c r="AR501" s="212"/>
      <c r="AS501" s="212"/>
      <c r="AT501" s="212"/>
      <c r="AU501" s="212"/>
      <c r="AV501" s="212"/>
      <c r="AW501" s="212"/>
      <c r="AX501" s="212"/>
      <c r="AY501" s="212"/>
      <c r="AZ501" s="212"/>
      <c r="BA501" s="212"/>
      <c r="BB501" s="212"/>
      <c r="BC501" s="212"/>
      <c r="BD501" s="212"/>
      <c r="BE501" s="212"/>
      <c r="BF501" s="212"/>
      <c r="BG501" s="212"/>
      <c r="BH501" s="212"/>
      <c r="BI501" s="231" t="str">
        <f>HYPERLINK("#자재조서!A119","MZZ9000076 →")</f>
        <v>MZZ9000076 →</v>
      </c>
    </row>
    <row r="502" spans="1:61" ht="24" customHeight="1">
      <c r="A502" s="218" t="s">
        <v>2095</v>
      </c>
      <c r="B502" s="218" t="s">
        <v>1910</v>
      </c>
      <c r="C502" s="228">
        <v>1</v>
      </c>
      <c r="D502" s="213" t="s">
        <v>378</v>
      </c>
      <c r="E502" s="217">
        <f>일위목록!E153</f>
        <v>0</v>
      </c>
      <c r="F502" s="217">
        <f>TRUNC(E502*C502,0)</f>
        <v>0</v>
      </c>
      <c r="G502" s="217">
        <f>일위목록!F153</f>
        <v>0</v>
      </c>
      <c r="H502" s="217">
        <f>TRUNC(G502*C502,0)</f>
        <v>0</v>
      </c>
      <c r="I502" s="217">
        <f>일위목록!G153</f>
        <v>0</v>
      </c>
      <c r="J502" s="217">
        <f>TRUNC(I502*C502,0)</f>
        <v>0</v>
      </c>
      <c r="K502" s="217">
        <f>E502+G502+I502</f>
        <v>0</v>
      </c>
      <c r="L502" s="217">
        <f t="shared" si="58"/>
        <v>0</v>
      </c>
      <c r="M502" s="215" t="s">
        <v>68</v>
      </c>
      <c r="N502" s="212" t="s">
        <v>68</v>
      </c>
      <c r="O502" s="212"/>
      <c r="P502" s="212" t="s">
        <v>1107</v>
      </c>
      <c r="Q502" s="212" t="s">
        <v>68</v>
      </c>
      <c r="R502" s="212" t="s">
        <v>1911</v>
      </c>
      <c r="S502" s="212"/>
      <c r="T502" s="212" t="s">
        <v>1129</v>
      </c>
      <c r="U502" s="212"/>
      <c r="V502" s="212"/>
      <c r="W502" s="212"/>
      <c r="X502" s="212"/>
      <c r="Y502" s="212"/>
      <c r="Z502" s="212"/>
      <c r="AA502" s="212"/>
      <c r="AB502" s="212"/>
      <c r="AC502" s="212"/>
      <c r="AD502" s="212"/>
      <c r="AE502" s="212"/>
      <c r="AF502" s="212"/>
      <c r="AG502" s="212"/>
      <c r="AH502" s="212"/>
      <c r="AI502" s="212"/>
      <c r="AJ502" s="212"/>
      <c r="AK502" s="212"/>
      <c r="AL502" s="212"/>
      <c r="AM502" s="212"/>
      <c r="AN502" s="212"/>
      <c r="AO502" s="212"/>
      <c r="AP502" s="212"/>
      <c r="AQ502" s="212"/>
      <c r="AR502" s="212"/>
      <c r="AS502" s="212"/>
      <c r="AT502" s="212"/>
      <c r="AU502" s="212"/>
      <c r="AV502" s="212"/>
      <c r="AW502" s="212"/>
      <c r="AX502" s="212"/>
      <c r="AY502" s="212"/>
      <c r="AZ502" s="212"/>
      <c r="BA502" s="212"/>
      <c r="BB502" s="212"/>
      <c r="BC502" s="212"/>
      <c r="BD502" s="212"/>
      <c r="BE502" s="212"/>
      <c r="BF502" s="212"/>
      <c r="BG502" s="212"/>
      <c r="BH502" s="212"/>
      <c r="BI502" s="231" t="str">
        <f>HYPERLINK("#일위대가목록!A153","PP10-2-3/1 →")</f>
        <v>PP10-2-3/1 →</v>
      </c>
    </row>
    <row r="503" spans="1:61" ht="24" customHeight="1">
      <c r="A503" s="215"/>
      <c r="B503" s="215"/>
      <c r="C503" s="229"/>
      <c r="D503" s="213"/>
      <c r="E503" s="213"/>
      <c r="F503" s="213"/>
      <c r="G503" s="213"/>
      <c r="H503" s="213"/>
      <c r="I503" s="213"/>
      <c r="J503" s="213"/>
      <c r="K503" s="213"/>
      <c r="L503" s="213"/>
      <c r="M503" s="215"/>
      <c r="N503" s="212"/>
      <c r="O503" s="212"/>
      <c r="P503" s="212"/>
      <c r="Q503" s="212"/>
      <c r="R503" s="212"/>
      <c r="S503" s="212"/>
      <c r="T503" s="212"/>
      <c r="U503" s="212"/>
      <c r="V503" s="212"/>
      <c r="W503" s="212"/>
      <c r="X503" s="212"/>
      <c r="Y503" s="212"/>
      <c r="Z503" s="212"/>
      <c r="AA503" s="212"/>
      <c r="AB503" s="212"/>
      <c r="AC503" s="212"/>
      <c r="AD503" s="212"/>
      <c r="AE503" s="212"/>
      <c r="AF503" s="212"/>
      <c r="AG503" s="212"/>
      <c r="AH503" s="212"/>
      <c r="AI503" s="212"/>
      <c r="AJ503" s="212"/>
      <c r="AK503" s="212"/>
      <c r="AL503" s="212"/>
      <c r="AM503" s="212"/>
      <c r="AN503" s="212"/>
      <c r="AO503" s="212"/>
      <c r="AP503" s="212"/>
      <c r="AQ503" s="212"/>
      <c r="AR503" s="212"/>
      <c r="AS503" s="212"/>
      <c r="AT503" s="212"/>
      <c r="AU503" s="212"/>
      <c r="AV503" s="212"/>
      <c r="AW503" s="212"/>
      <c r="AX503" s="212"/>
      <c r="AY503" s="212"/>
      <c r="AZ503" s="212"/>
      <c r="BA503" s="212"/>
      <c r="BB503" s="212"/>
      <c r="BC503" s="212"/>
      <c r="BD503" s="212"/>
      <c r="BE503" s="212"/>
      <c r="BF503" s="212"/>
      <c r="BG503" s="212"/>
      <c r="BH503" s="212"/>
      <c r="BI503" s="212"/>
    </row>
    <row r="504" spans="1:61" ht="24" customHeight="1">
      <c r="A504" s="218" t="s">
        <v>2256</v>
      </c>
      <c r="B504" s="218" t="s">
        <v>1324</v>
      </c>
      <c r="C504" s="228">
        <v>1</v>
      </c>
      <c r="D504" s="213" t="s">
        <v>437</v>
      </c>
      <c r="E504" s="212"/>
      <c r="F504" s="217">
        <f>TRUNC(F505+F506+F507+F508+F509,0)</f>
        <v>0</v>
      </c>
      <c r="G504" s="212"/>
      <c r="H504" s="217">
        <f>TRUNC(H505+H506+H507+H508+H509,0)</f>
        <v>0</v>
      </c>
      <c r="I504" s="212"/>
      <c r="J504" s="217">
        <f>TRUNC(J505+J506+J507+J508+J509,0)</f>
        <v>0</v>
      </c>
      <c r="K504" s="212"/>
      <c r="L504" s="217">
        <f t="shared" ref="L504:L509" si="59">F504+H504+J504</f>
        <v>0</v>
      </c>
      <c r="M504" s="215" t="s">
        <v>68</v>
      </c>
      <c r="N504" s="212" t="s">
        <v>68</v>
      </c>
      <c r="O504" s="212" t="s">
        <v>1325</v>
      </c>
      <c r="P504" s="212"/>
      <c r="Q504" s="212"/>
      <c r="R504" s="212"/>
      <c r="S504" s="212"/>
      <c r="T504" s="212"/>
      <c r="U504" s="212"/>
      <c r="V504" s="212"/>
      <c r="W504" s="212"/>
      <c r="X504" s="212"/>
      <c r="Y504" s="212"/>
      <c r="Z504" s="212"/>
      <c r="AA504" s="212"/>
      <c r="AB504" s="212"/>
      <c r="AC504" s="212"/>
      <c r="AD504" s="212"/>
      <c r="AE504" s="212"/>
      <c r="AF504" s="212"/>
      <c r="AG504" s="212"/>
      <c r="AH504" s="212"/>
      <c r="AI504" s="212"/>
      <c r="AJ504" s="212"/>
      <c r="AK504" s="212"/>
      <c r="AL504" s="212"/>
      <c r="AM504" s="212"/>
      <c r="AN504" s="212"/>
      <c r="AO504" s="212"/>
      <c r="AP504" s="212"/>
      <c r="AQ504" s="212"/>
      <c r="AR504" s="212"/>
      <c r="AS504" s="212"/>
      <c r="AT504" s="212"/>
      <c r="AU504" s="212"/>
      <c r="AV504" s="212"/>
      <c r="AW504" s="212"/>
      <c r="AX504" s="212"/>
      <c r="AY504" s="212"/>
      <c r="AZ504" s="212"/>
      <c r="BA504" s="212"/>
      <c r="BB504" s="212"/>
      <c r="BC504" s="212"/>
      <c r="BD504" s="212"/>
      <c r="BE504" s="212"/>
      <c r="BF504" s="212"/>
      <c r="BG504" s="212"/>
      <c r="BH504" s="212"/>
      <c r="BI504" s="212"/>
    </row>
    <row r="505" spans="1:61" ht="24" customHeight="1">
      <c r="A505" s="218" t="s">
        <v>1323</v>
      </c>
      <c r="B505" s="218" t="s">
        <v>1321</v>
      </c>
      <c r="C505" s="228">
        <v>1</v>
      </c>
      <c r="D505" s="213" t="s">
        <v>437</v>
      </c>
      <c r="E505" s="217">
        <f>자재!D82</f>
        <v>0</v>
      </c>
      <c r="F505" s="217">
        <f>TRUNC(E505*C505,0)</f>
        <v>0</v>
      </c>
      <c r="G505" s="217">
        <v>0</v>
      </c>
      <c r="H505" s="217"/>
      <c r="I505" s="217">
        <v>0</v>
      </c>
      <c r="J505" s="217"/>
      <c r="K505" s="217">
        <f>E505+G505+I505</f>
        <v>0</v>
      </c>
      <c r="L505" s="217">
        <f t="shared" si="59"/>
        <v>0</v>
      </c>
      <c r="M505" s="215" t="s">
        <v>68</v>
      </c>
      <c r="N505" s="212" t="s">
        <v>68</v>
      </c>
      <c r="O505" s="212"/>
      <c r="P505" s="212" t="s">
        <v>1095</v>
      </c>
      <c r="Q505" s="212" t="s">
        <v>68</v>
      </c>
      <c r="R505" s="212" t="s">
        <v>2257</v>
      </c>
      <c r="S505" s="212"/>
      <c r="T505" s="212"/>
      <c r="U505" s="212"/>
      <c r="V505" s="212"/>
      <c r="W505" s="212"/>
      <c r="X505" s="212"/>
      <c r="Y505" s="212"/>
      <c r="Z505" s="212"/>
      <c r="AA505" s="212"/>
      <c r="AB505" s="212"/>
      <c r="AC505" s="212"/>
      <c r="AD505" s="212"/>
      <c r="AE505" s="212"/>
      <c r="AF505" s="212"/>
      <c r="AG505" s="212"/>
      <c r="AH505" s="212"/>
      <c r="AI505" s="212"/>
      <c r="AJ505" s="212"/>
      <c r="AK505" s="212"/>
      <c r="AL505" s="212"/>
      <c r="AM505" s="212"/>
      <c r="AN505" s="212"/>
      <c r="AO505" s="212"/>
      <c r="AP505" s="212"/>
      <c r="AQ505" s="212"/>
      <c r="AR505" s="212"/>
      <c r="AS505" s="212"/>
      <c r="AT505" s="212"/>
      <c r="AU505" s="212"/>
      <c r="AV505" s="212"/>
      <c r="AW505" s="212"/>
      <c r="AX505" s="212"/>
      <c r="AY505" s="212"/>
      <c r="AZ505" s="212"/>
      <c r="BA505" s="212"/>
      <c r="BB505" s="212"/>
      <c r="BC505" s="212"/>
      <c r="BD505" s="212"/>
      <c r="BE505" s="212"/>
      <c r="BF505" s="212"/>
      <c r="BG505" s="212"/>
      <c r="BH505" s="212"/>
      <c r="BI505" s="231" t="str">
        <f>HYPERLINK("#자재!A82","MZZ9000019 →")</f>
        <v>MZZ9000019 →</v>
      </c>
    </row>
    <row r="506" spans="1:61" ht="24" customHeight="1">
      <c r="A506" s="218" t="s">
        <v>2038</v>
      </c>
      <c r="B506" s="218" t="s">
        <v>1523</v>
      </c>
      <c r="C506" s="228">
        <v>1</v>
      </c>
      <c r="D506" s="213" t="s">
        <v>378</v>
      </c>
      <c r="E506" s="217">
        <f>일위목록!E75</f>
        <v>0</v>
      </c>
      <c r="F506" s="217">
        <f>TRUNC(E506*C506,0)</f>
        <v>0</v>
      </c>
      <c r="G506" s="217">
        <f>일위목록!F75</f>
        <v>0</v>
      </c>
      <c r="H506" s="217">
        <f>TRUNC(G506*C506,0)</f>
        <v>0</v>
      </c>
      <c r="I506" s="217">
        <f>일위목록!G75</f>
        <v>0</v>
      </c>
      <c r="J506" s="217">
        <f>TRUNC(I506*C506,0)</f>
        <v>0</v>
      </c>
      <c r="K506" s="217">
        <f>E506+G506+I506</f>
        <v>0</v>
      </c>
      <c r="L506" s="217">
        <f t="shared" si="59"/>
        <v>0</v>
      </c>
      <c r="M506" s="215" t="s">
        <v>68</v>
      </c>
      <c r="N506" s="212" t="s">
        <v>68</v>
      </c>
      <c r="O506" s="212"/>
      <c r="P506" s="212" t="s">
        <v>1098</v>
      </c>
      <c r="Q506" s="212" t="s">
        <v>68</v>
      </c>
      <c r="R506" s="212" t="s">
        <v>1776</v>
      </c>
      <c r="S506" s="212"/>
      <c r="T506" s="212" t="s">
        <v>1129</v>
      </c>
      <c r="U506" s="212"/>
      <c r="V506" s="212"/>
      <c r="W506" s="212"/>
      <c r="X506" s="212"/>
      <c r="Y506" s="212"/>
      <c r="Z506" s="212"/>
      <c r="AA506" s="212"/>
      <c r="AB506" s="212"/>
      <c r="AC506" s="212"/>
      <c r="AD506" s="212"/>
      <c r="AE506" s="212"/>
      <c r="AF506" s="212"/>
      <c r="AG506" s="212"/>
      <c r="AH506" s="212"/>
      <c r="AI506" s="212"/>
      <c r="AJ506" s="212"/>
      <c r="AK506" s="212"/>
      <c r="AL506" s="212"/>
      <c r="AM506" s="212"/>
      <c r="AN506" s="212"/>
      <c r="AO506" s="212"/>
      <c r="AP506" s="212"/>
      <c r="AQ506" s="212"/>
      <c r="AR506" s="212"/>
      <c r="AS506" s="212"/>
      <c r="AT506" s="212"/>
      <c r="AU506" s="212"/>
      <c r="AV506" s="212"/>
      <c r="AW506" s="212"/>
      <c r="AX506" s="212"/>
      <c r="AY506" s="212"/>
      <c r="AZ506" s="212"/>
      <c r="BA506" s="212"/>
      <c r="BB506" s="212"/>
      <c r="BC506" s="212"/>
      <c r="BD506" s="212"/>
      <c r="BE506" s="212"/>
      <c r="BF506" s="212"/>
      <c r="BG506" s="212"/>
      <c r="BH506" s="212"/>
      <c r="BI506" s="231" t="str">
        <f>HYPERLINK("#일위대가목록!A75","PP10-1-1/2 →")</f>
        <v>PP10-1-1/2 →</v>
      </c>
    </row>
    <row r="507" spans="1:61" ht="24" customHeight="1">
      <c r="A507" s="218" t="s">
        <v>2249</v>
      </c>
      <c r="B507" s="218" t="s">
        <v>2250</v>
      </c>
      <c r="C507" s="228">
        <v>3</v>
      </c>
      <c r="D507" s="213" t="s">
        <v>437</v>
      </c>
      <c r="E507" s="217">
        <f>자재조서!E20</f>
        <v>0</v>
      </c>
      <c r="F507" s="217">
        <f>TRUNC(E507*C507,0)</f>
        <v>0</v>
      </c>
      <c r="G507" s="217">
        <v>0</v>
      </c>
      <c r="H507" s="217"/>
      <c r="I507" s="217">
        <v>0</v>
      </c>
      <c r="J507" s="217"/>
      <c r="K507" s="217">
        <f>E507+G507+I507</f>
        <v>0</v>
      </c>
      <c r="L507" s="217">
        <f t="shared" si="59"/>
        <v>0</v>
      </c>
      <c r="M507" s="215" t="s">
        <v>68</v>
      </c>
      <c r="N507" s="212" t="s">
        <v>2251</v>
      </c>
      <c r="O507" s="212"/>
      <c r="P507" s="212" t="s">
        <v>1101</v>
      </c>
      <c r="Q507" s="212" t="s">
        <v>68</v>
      </c>
      <c r="R507" s="212" t="s">
        <v>2252</v>
      </c>
      <c r="S507" s="212"/>
      <c r="T507" s="212"/>
      <c r="U507" s="212"/>
      <c r="V507" s="212"/>
      <c r="W507" s="212"/>
      <c r="X507" s="212"/>
      <c r="Y507" s="212"/>
      <c r="Z507" s="212"/>
      <c r="AA507" s="212"/>
      <c r="AB507" s="212"/>
      <c r="AC507" s="212"/>
      <c r="AD507" s="212"/>
      <c r="AE507" s="212"/>
      <c r="AF507" s="212"/>
      <c r="AG507" s="212"/>
      <c r="AH507" s="212"/>
      <c r="AI507" s="212"/>
      <c r="AJ507" s="212"/>
      <c r="AK507" s="212"/>
      <c r="AL507" s="212"/>
      <c r="AM507" s="212"/>
      <c r="AN507" s="212"/>
      <c r="AO507" s="212"/>
      <c r="AP507" s="212"/>
      <c r="AQ507" s="212"/>
      <c r="AR507" s="212"/>
      <c r="AS507" s="212"/>
      <c r="AT507" s="212"/>
      <c r="AU507" s="212"/>
      <c r="AV507" s="212"/>
      <c r="AW507" s="212"/>
      <c r="AX507" s="212"/>
      <c r="AY507" s="212"/>
      <c r="AZ507" s="212"/>
      <c r="BA507" s="212"/>
      <c r="BB507" s="212"/>
      <c r="BC507" s="212"/>
      <c r="BD507" s="212"/>
      <c r="BE507" s="212"/>
      <c r="BF507" s="212"/>
      <c r="BG507" s="212"/>
      <c r="BH507" s="212"/>
      <c r="BI507" s="231" t="str">
        <f>HYPERLINK("#자재조서!A20","M3894003 →")</f>
        <v>M3894003 →</v>
      </c>
    </row>
    <row r="508" spans="1:61" ht="24" customHeight="1">
      <c r="A508" s="218" t="s">
        <v>2253</v>
      </c>
      <c r="B508" s="218" t="s">
        <v>2254</v>
      </c>
      <c r="C508" s="228">
        <v>1</v>
      </c>
      <c r="D508" s="213" t="s">
        <v>437</v>
      </c>
      <c r="E508" s="217">
        <f>자재조서!E119</f>
        <v>0</v>
      </c>
      <c r="F508" s="217">
        <f>TRUNC(E508*C508,0)</f>
        <v>0</v>
      </c>
      <c r="G508" s="217">
        <v>0</v>
      </c>
      <c r="H508" s="217"/>
      <c r="I508" s="217">
        <v>0</v>
      </c>
      <c r="J508" s="217"/>
      <c r="K508" s="217">
        <f>E508+G508+I508</f>
        <v>0</v>
      </c>
      <c r="L508" s="217">
        <f t="shared" si="59"/>
        <v>0</v>
      </c>
      <c r="M508" s="215" t="s">
        <v>68</v>
      </c>
      <c r="N508" s="212" t="s">
        <v>68</v>
      </c>
      <c r="O508" s="212"/>
      <c r="P508" s="212" t="s">
        <v>1104</v>
      </c>
      <c r="Q508" s="212" t="s">
        <v>68</v>
      </c>
      <c r="R508" s="212" t="s">
        <v>2255</v>
      </c>
      <c r="S508" s="212"/>
      <c r="T508" s="212"/>
      <c r="U508" s="212"/>
      <c r="V508" s="212"/>
      <c r="W508" s="212"/>
      <c r="X508" s="212"/>
      <c r="Y508" s="212"/>
      <c r="Z508" s="212"/>
      <c r="AA508" s="212"/>
      <c r="AB508" s="212"/>
      <c r="AC508" s="212"/>
      <c r="AD508" s="212"/>
      <c r="AE508" s="212"/>
      <c r="AF508" s="212"/>
      <c r="AG508" s="212"/>
      <c r="AH508" s="212"/>
      <c r="AI508" s="212"/>
      <c r="AJ508" s="212"/>
      <c r="AK508" s="212"/>
      <c r="AL508" s="212"/>
      <c r="AM508" s="212"/>
      <c r="AN508" s="212"/>
      <c r="AO508" s="212"/>
      <c r="AP508" s="212"/>
      <c r="AQ508" s="212"/>
      <c r="AR508" s="212"/>
      <c r="AS508" s="212"/>
      <c r="AT508" s="212"/>
      <c r="AU508" s="212"/>
      <c r="AV508" s="212"/>
      <c r="AW508" s="212"/>
      <c r="AX508" s="212"/>
      <c r="AY508" s="212"/>
      <c r="AZ508" s="212"/>
      <c r="BA508" s="212"/>
      <c r="BB508" s="212"/>
      <c r="BC508" s="212"/>
      <c r="BD508" s="212"/>
      <c r="BE508" s="212"/>
      <c r="BF508" s="212"/>
      <c r="BG508" s="212"/>
      <c r="BH508" s="212"/>
      <c r="BI508" s="231" t="str">
        <f>HYPERLINK("#자재조서!A119","MZZ9000076 →")</f>
        <v>MZZ9000076 →</v>
      </c>
    </row>
    <row r="509" spans="1:61" ht="24" customHeight="1">
      <c r="A509" s="218" t="s">
        <v>2095</v>
      </c>
      <c r="B509" s="218" t="s">
        <v>1910</v>
      </c>
      <c r="C509" s="228">
        <v>1</v>
      </c>
      <c r="D509" s="213" t="s">
        <v>378</v>
      </c>
      <c r="E509" s="217">
        <f>일위목록!E153</f>
        <v>0</v>
      </c>
      <c r="F509" s="217">
        <f>TRUNC(E509*C509,0)</f>
        <v>0</v>
      </c>
      <c r="G509" s="217">
        <f>일위목록!F153</f>
        <v>0</v>
      </c>
      <c r="H509" s="217">
        <f>TRUNC(G509*C509,0)</f>
        <v>0</v>
      </c>
      <c r="I509" s="217">
        <f>일위목록!G153</f>
        <v>0</v>
      </c>
      <c r="J509" s="217">
        <f>TRUNC(I509*C509,0)</f>
        <v>0</v>
      </c>
      <c r="K509" s="217">
        <f>E509+G509+I509</f>
        <v>0</v>
      </c>
      <c r="L509" s="217">
        <f t="shared" si="59"/>
        <v>0</v>
      </c>
      <c r="M509" s="215" t="s">
        <v>68</v>
      </c>
      <c r="N509" s="212" t="s">
        <v>68</v>
      </c>
      <c r="O509" s="212"/>
      <c r="P509" s="212" t="s">
        <v>1107</v>
      </c>
      <c r="Q509" s="212" t="s">
        <v>68</v>
      </c>
      <c r="R509" s="212" t="s">
        <v>1911</v>
      </c>
      <c r="S509" s="212"/>
      <c r="T509" s="212" t="s">
        <v>1129</v>
      </c>
      <c r="U509" s="212"/>
      <c r="V509" s="212"/>
      <c r="W509" s="212"/>
      <c r="X509" s="212"/>
      <c r="Y509" s="212"/>
      <c r="Z509" s="212"/>
      <c r="AA509" s="212"/>
      <c r="AB509" s="212"/>
      <c r="AC509" s="212"/>
      <c r="AD509" s="212"/>
      <c r="AE509" s="212"/>
      <c r="AF509" s="212"/>
      <c r="AG509" s="212"/>
      <c r="AH509" s="212"/>
      <c r="AI509" s="212"/>
      <c r="AJ509" s="212"/>
      <c r="AK509" s="212"/>
      <c r="AL509" s="212"/>
      <c r="AM509" s="212"/>
      <c r="AN509" s="212"/>
      <c r="AO509" s="212"/>
      <c r="AP509" s="212"/>
      <c r="AQ509" s="212"/>
      <c r="AR509" s="212"/>
      <c r="AS509" s="212"/>
      <c r="AT509" s="212"/>
      <c r="AU509" s="212"/>
      <c r="AV509" s="212"/>
      <c r="AW509" s="212"/>
      <c r="AX509" s="212"/>
      <c r="AY509" s="212"/>
      <c r="AZ509" s="212"/>
      <c r="BA509" s="212"/>
      <c r="BB509" s="212"/>
      <c r="BC509" s="212"/>
      <c r="BD509" s="212"/>
      <c r="BE509" s="212"/>
      <c r="BF509" s="212"/>
      <c r="BG509" s="212"/>
      <c r="BH509" s="212"/>
      <c r="BI509" s="231" t="str">
        <f>HYPERLINK("#일위대가목록!A153","PP10-2-3/1 →")</f>
        <v>PP10-2-3/1 →</v>
      </c>
    </row>
    <row r="510" spans="1:61" ht="24" customHeight="1">
      <c r="A510" s="215"/>
      <c r="B510" s="215"/>
      <c r="C510" s="229"/>
      <c r="D510" s="213"/>
      <c r="E510" s="213"/>
      <c r="F510" s="213"/>
      <c r="G510" s="213"/>
      <c r="H510" s="213"/>
      <c r="I510" s="213"/>
      <c r="J510" s="213"/>
      <c r="K510" s="213"/>
      <c r="L510" s="213"/>
      <c r="M510" s="215"/>
      <c r="N510" s="212"/>
      <c r="O510" s="212"/>
      <c r="P510" s="212"/>
      <c r="Q510" s="212"/>
      <c r="R510" s="212"/>
      <c r="S510" s="212"/>
      <c r="T510" s="212"/>
      <c r="U510" s="212"/>
      <c r="V510" s="212"/>
      <c r="W510" s="212"/>
      <c r="X510" s="212"/>
      <c r="Y510" s="212"/>
      <c r="Z510" s="212"/>
      <c r="AA510" s="212"/>
      <c r="AB510" s="212"/>
      <c r="AC510" s="212"/>
      <c r="AD510" s="212"/>
      <c r="AE510" s="212"/>
      <c r="AF510" s="212"/>
      <c r="AG510" s="212"/>
      <c r="AH510" s="212"/>
      <c r="AI510" s="212"/>
      <c r="AJ510" s="212"/>
      <c r="AK510" s="212"/>
      <c r="AL510" s="212"/>
      <c r="AM510" s="212"/>
      <c r="AN510" s="212"/>
      <c r="AO510" s="212"/>
      <c r="AP510" s="212"/>
      <c r="AQ510" s="212"/>
      <c r="AR510" s="212"/>
      <c r="AS510" s="212"/>
      <c r="AT510" s="212"/>
      <c r="AU510" s="212"/>
      <c r="AV510" s="212"/>
      <c r="AW510" s="212"/>
      <c r="AX510" s="212"/>
      <c r="AY510" s="212"/>
      <c r="AZ510" s="212"/>
      <c r="BA510" s="212"/>
      <c r="BB510" s="212"/>
      <c r="BC510" s="212"/>
      <c r="BD510" s="212"/>
      <c r="BE510" s="212"/>
      <c r="BF510" s="212"/>
      <c r="BG510" s="212"/>
      <c r="BH510" s="212"/>
      <c r="BI510" s="212"/>
    </row>
    <row r="511" spans="1:61" ht="24" customHeight="1">
      <c r="A511" s="218" t="s">
        <v>2258</v>
      </c>
      <c r="B511" s="218" t="s">
        <v>1326</v>
      </c>
      <c r="C511" s="228">
        <v>1</v>
      </c>
      <c r="D511" s="213" t="s">
        <v>437</v>
      </c>
      <c r="E511" s="212"/>
      <c r="F511" s="217">
        <f>TRUNC(F512+F513+F514+F515+F516,0)</f>
        <v>0</v>
      </c>
      <c r="G511" s="212"/>
      <c r="H511" s="217">
        <f>TRUNC(H512+H513+H514+H515+H516,0)</f>
        <v>0</v>
      </c>
      <c r="I511" s="212"/>
      <c r="J511" s="217">
        <f>TRUNC(J512+J513+J514+J515+J516,0)</f>
        <v>0</v>
      </c>
      <c r="K511" s="212"/>
      <c r="L511" s="217">
        <f t="shared" ref="L511:L516" si="60">F511+H511+J511</f>
        <v>0</v>
      </c>
      <c r="M511" s="215" t="s">
        <v>68</v>
      </c>
      <c r="N511" s="212" t="s">
        <v>68</v>
      </c>
      <c r="O511" s="212" t="s">
        <v>1327</v>
      </c>
      <c r="P511" s="212"/>
      <c r="Q511" s="212"/>
      <c r="R511" s="212"/>
      <c r="S511" s="212"/>
      <c r="T511" s="212"/>
      <c r="U511" s="212"/>
      <c r="V511" s="212"/>
      <c r="W511" s="212"/>
      <c r="X511" s="212"/>
      <c r="Y511" s="212"/>
      <c r="Z511" s="212"/>
      <c r="AA511" s="212"/>
      <c r="AB511" s="212"/>
      <c r="AC511" s="212"/>
      <c r="AD511" s="212"/>
      <c r="AE511" s="212"/>
      <c r="AF511" s="212"/>
      <c r="AG511" s="212"/>
      <c r="AH511" s="212"/>
      <c r="AI511" s="212"/>
      <c r="AJ511" s="212"/>
      <c r="AK511" s="212"/>
      <c r="AL511" s="212"/>
      <c r="AM511" s="212"/>
      <c r="AN511" s="212"/>
      <c r="AO511" s="212"/>
      <c r="AP511" s="212"/>
      <c r="AQ511" s="212"/>
      <c r="AR511" s="212"/>
      <c r="AS511" s="212"/>
      <c r="AT511" s="212"/>
      <c r="AU511" s="212"/>
      <c r="AV511" s="212"/>
      <c r="AW511" s="212"/>
      <c r="AX511" s="212"/>
      <c r="AY511" s="212"/>
      <c r="AZ511" s="212"/>
      <c r="BA511" s="212"/>
      <c r="BB511" s="212"/>
      <c r="BC511" s="212"/>
      <c r="BD511" s="212"/>
      <c r="BE511" s="212"/>
      <c r="BF511" s="212"/>
      <c r="BG511" s="212"/>
      <c r="BH511" s="212"/>
      <c r="BI511" s="212"/>
    </row>
    <row r="512" spans="1:61" ht="24" customHeight="1">
      <c r="A512" s="218" t="s">
        <v>1323</v>
      </c>
      <c r="B512" s="218" t="s">
        <v>1326</v>
      </c>
      <c r="C512" s="228">
        <v>1</v>
      </c>
      <c r="D512" s="213" t="s">
        <v>437</v>
      </c>
      <c r="E512" s="217">
        <f>자재!D84</f>
        <v>0</v>
      </c>
      <c r="F512" s="217">
        <f>TRUNC(E512*C512,0)</f>
        <v>0</v>
      </c>
      <c r="G512" s="217">
        <v>0</v>
      </c>
      <c r="H512" s="217"/>
      <c r="I512" s="217">
        <v>0</v>
      </c>
      <c r="J512" s="217"/>
      <c r="K512" s="217">
        <f>E512+G512+I512</f>
        <v>0</v>
      </c>
      <c r="L512" s="217">
        <f t="shared" si="60"/>
        <v>0</v>
      </c>
      <c r="M512" s="215" t="s">
        <v>68</v>
      </c>
      <c r="N512" s="212" t="s">
        <v>68</v>
      </c>
      <c r="O512" s="212"/>
      <c r="P512" s="212" t="s">
        <v>1095</v>
      </c>
      <c r="Q512" s="212" t="s">
        <v>68</v>
      </c>
      <c r="R512" s="212" t="s">
        <v>2259</v>
      </c>
      <c r="S512" s="212"/>
      <c r="T512" s="212"/>
      <c r="U512" s="212"/>
      <c r="V512" s="212"/>
      <c r="W512" s="212"/>
      <c r="X512" s="212"/>
      <c r="Y512" s="212"/>
      <c r="Z512" s="212"/>
      <c r="AA512" s="212"/>
      <c r="AB512" s="212"/>
      <c r="AC512" s="212"/>
      <c r="AD512" s="212"/>
      <c r="AE512" s="212"/>
      <c r="AF512" s="212"/>
      <c r="AG512" s="212"/>
      <c r="AH512" s="212"/>
      <c r="AI512" s="212"/>
      <c r="AJ512" s="212"/>
      <c r="AK512" s="212"/>
      <c r="AL512" s="212"/>
      <c r="AM512" s="212"/>
      <c r="AN512" s="212"/>
      <c r="AO512" s="212"/>
      <c r="AP512" s="212"/>
      <c r="AQ512" s="212"/>
      <c r="AR512" s="212"/>
      <c r="AS512" s="212"/>
      <c r="AT512" s="212"/>
      <c r="AU512" s="212"/>
      <c r="AV512" s="212"/>
      <c r="AW512" s="212"/>
      <c r="AX512" s="212"/>
      <c r="AY512" s="212"/>
      <c r="AZ512" s="212"/>
      <c r="BA512" s="212"/>
      <c r="BB512" s="212"/>
      <c r="BC512" s="212"/>
      <c r="BD512" s="212"/>
      <c r="BE512" s="212"/>
      <c r="BF512" s="212"/>
      <c r="BG512" s="212"/>
      <c r="BH512" s="212"/>
      <c r="BI512" s="231" t="str">
        <f>HYPERLINK("#자재!A84","MZZ9000021 →")</f>
        <v>MZZ9000021 →</v>
      </c>
    </row>
    <row r="513" spans="1:61" ht="24" customHeight="1">
      <c r="A513" s="218" t="s">
        <v>2038</v>
      </c>
      <c r="B513" s="218" t="s">
        <v>1523</v>
      </c>
      <c r="C513" s="228">
        <v>1</v>
      </c>
      <c r="D513" s="213" t="s">
        <v>378</v>
      </c>
      <c r="E513" s="217">
        <f>일위목록!E75</f>
        <v>0</v>
      </c>
      <c r="F513" s="217">
        <f>TRUNC(E513*C513,0)</f>
        <v>0</v>
      </c>
      <c r="G513" s="217">
        <f>일위목록!F75</f>
        <v>0</v>
      </c>
      <c r="H513" s="217">
        <f>TRUNC(G513*C513,0)</f>
        <v>0</v>
      </c>
      <c r="I513" s="217">
        <f>일위목록!G75</f>
        <v>0</v>
      </c>
      <c r="J513" s="217">
        <f>TRUNC(I513*C513,0)</f>
        <v>0</v>
      </c>
      <c r="K513" s="217">
        <f>E513+G513+I513</f>
        <v>0</v>
      </c>
      <c r="L513" s="217">
        <f t="shared" si="60"/>
        <v>0</v>
      </c>
      <c r="M513" s="215" t="s">
        <v>68</v>
      </c>
      <c r="N513" s="212" t="s">
        <v>68</v>
      </c>
      <c r="O513" s="212"/>
      <c r="P513" s="212" t="s">
        <v>1098</v>
      </c>
      <c r="Q513" s="212" t="s">
        <v>68</v>
      </c>
      <c r="R513" s="212" t="s">
        <v>1776</v>
      </c>
      <c r="S513" s="212"/>
      <c r="T513" s="212" t="s">
        <v>1129</v>
      </c>
      <c r="U513" s="212"/>
      <c r="V513" s="212"/>
      <c r="W513" s="212"/>
      <c r="X513" s="212"/>
      <c r="Y513" s="212"/>
      <c r="Z513" s="212"/>
      <c r="AA513" s="212"/>
      <c r="AB513" s="212"/>
      <c r="AC513" s="212"/>
      <c r="AD513" s="212"/>
      <c r="AE513" s="212"/>
      <c r="AF513" s="212"/>
      <c r="AG513" s="212"/>
      <c r="AH513" s="212"/>
      <c r="AI513" s="212"/>
      <c r="AJ513" s="212"/>
      <c r="AK513" s="212"/>
      <c r="AL513" s="212"/>
      <c r="AM513" s="212"/>
      <c r="AN513" s="212"/>
      <c r="AO513" s="212"/>
      <c r="AP513" s="212"/>
      <c r="AQ513" s="212"/>
      <c r="AR513" s="212"/>
      <c r="AS513" s="212"/>
      <c r="AT513" s="212"/>
      <c r="AU513" s="212"/>
      <c r="AV513" s="212"/>
      <c r="AW513" s="212"/>
      <c r="AX513" s="212"/>
      <c r="AY513" s="212"/>
      <c r="AZ513" s="212"/>
      <c r="BA513" s="212"/>
      <c r="BB513" s="212"/>
      <c r="BC513" s="212"/>
      <c r="BD513" s="212"/>
      <c r="BE513" s="212"/>
      <c r="BF513" s="212"/>
      <c r="BG513" s="212"/>
      <c r="BH513" s="212"/>
      <c r="BI513" s="231" t="str">
        <f>HYPERLINK("#일위대가목록!A75","PP10-1-1/2 →")</f>
        <v>PP10-1-1/2 →</v>
      </c>
    </row>
    <row r="514" spans="1:61" ht="24" customHeight="1">
      <c r="A514" s="218" t="s">
        <v>2249</v>
      </c>
      <c r="B514" s="218" t="s">
        <v>2250</v>
      </c>
      <c r="C514" s="228">
        <v>3</v>
      </c>
      <c r="D514" s="213" t="s">
        <v>437</v>
      </c>
      <c r="E514" s="217">
        <f>자재조서!E20</f>
        <v>0</v>
      </c>
      <c r="F514" s="217">
        <f>TRUNC(E514*C514,0)</f>
        <v>0</v>
      </c>
      <c r="G514" s="217">
        <v>0</v>
      </c>
      <c r="H514" s="217"/>
      <c r="I514" s="217">
        <v>0</v>
      </c>
      <c r="J514" s="217"/>
      <c r="K514" s="217">
        <f>E514+G514+I514</f>
        <v>0</v>
      </c>
      <c r="L514" s="217">
        <f t="shared" si="60"/>
        <v>0</v>
      </c>
      <c r="M514" s="215" t="s">
        <v>68</v>
      </c>
      <c r="N514" s="212" t="s">
        <v>2251</v>
      </c>
      <c r="O514" s="212"/>
      <c r="P514" s="212" t="s">
        <v>1101</v>
      </c>
      <c r="Q514" s="212" t="s">
        <v>68</v>
      </c>
      <c r="R514" s="212" t="s">
        <v>2252</v>
      </c>
      <c r="S514" s="212"/>
      <c r="T514" s="212"/>
      <c r="U514" s="212"/>
      <c r="V514" s="212"/>
      <c r="W514" s="212"/>
      <c r="X514" s="212"/>
      <c r="Y514" s="212"/>
      <c r="Z514" s="212"/>
      <c r="AA514" s="212"/>
      <c r="AB514" s="212"/>
      <c r="AC514" s="212"/>
      <c r="AD514" s="212"/>
      <c r="AE514" s="212"/>
      <c r="AF514" s="212"/>
      <c r="AG514" s="212"/>
      <c r="AH514" s="212"/>
      <c r="AI514" s="212"/>
      <c r="AJ514" s="212"/>
      <c r="AK514" s="212"/>
      <c r="AL514" s="212"/>
      <c r="AM514" s="212"/>
      <c r="AN514" s="212"/>
      <c r="AO514" s="212"/>
      <c r="AP514" s="212"/>
      <c r="AQ514" s="212"/>
      <c r="AR514" s="212"/>
      <c r="AS514" s="212"/>
      <c r="AT514" s="212"/>
      <c r="AU514" s="212"/>
      <c r="AV514" s="212"/>
      <c r="AW514" s="212"/>
      <c r="AX514" s="212"/>
      <c r="AY514" s="212"/>
      <c r="AZ514" s="212"/>
      <c r="BA514" s="212"/>
      <c r="BB514" s="212"/>
      <c r="BC514" s="212"/>
      <c r="BD514" s="212"/>
      <c r="BE514" s="212"/>
      <c r="BF514" s="212"/>
      <c r="BG514" s="212"/>
      <c r="BH514" s="212"/>
      <c r="BI514" s="231" t="str">
        <f>HYPERLINK("#자재조서!A20","M3894003 →")</f>
        <v>M3894003 →</v>
      </c>
    </row>
    <row r="515" spans="1:61" ht="24" customHeight="1">
      <c r="A515" s="218" t="s">
        <v>2253</v>
      </c>
      <c r="B515" s="218" t="s">
        <v>2254</v>
      </c>
      <c r="C515" s="228">
        <v>1</v>
      </c>
      <c r="D515" s="213" t="s">
        <v>437</v>
      </c>
      <c r="E515" s="217">
        <f>자재조서!E119</f>
        <v>0</v>
      </c>
      <c r="F515" s="217">
        <f>TRUNC(E515*C515,0)</f>
        <v>0</v>
      </c>
      <c r="G515" s="217">
        <v>0</v>
      </c>
      <c r="H515" s="217"/>
      <c r="I515" s="217">
        <v>0</v>
      </c>
      <c r="J515" s="217"/>
      <c r="K515" s="217">
        <f>E515+G515+I515</f>
        <v>0</v>
      </c>
      <c r="L515" s="217">
        <f t="shared" si="60"/>
        <v>0</v>
      </c>
      <c r="M515" s="215" t="s">
        <v>68</v>
      </c>
      <c r="N515" s="212" t="s">
        <v>68</v>
      </c>
      <c r="O515" s="212"/>
      <c r="P515" s="212" t="s">
        <v>1104</v>
      </c>
      <c r="Q515" s="212" t="s">
        <v>68</v>
      </c>
      <c r="R515" s="212" t="s">
        <v>2255</v>
      </c>
      <c r="S515" s="212"/>
      <c r="T515" s="212"/>
      <c r="U515" s="212"/>
      <c r="V515" s="212"/>
      <c r="W515" s="212"/>
      <c r="X515" s="212"/>
      <c r="Y515" s="212"/>
      <c r="Z515" s="212"/>
      <c r="AA515" s="212"/>
      <c r="AB515" s="212"/>
      <c r="AC515" s="212"/>
      <c r="AD515" s="212"/>
      <c r="AE515" s="212"/>
      <c r="AF515" s="212"/>
      <c r="AG515" s="212"/>
      <c r="AH515" s="212"/>
      <c r="AI515" s="212"/>
      <c r="AJ515" s="212"/>
      <c r="AK515" s="212"/>
      <c r="AL515" s="212"/>
      <c r="AM515" s="212"/>
      <c r="AN515" s="212"/>
      <c r="AO515" s="212"/>
      <c r="AP515" s="212"/>
      <c r="AQ515" s="212"/>
      <c r="AR515" s="212"/>
      <c r="AS515" s="212"/>
      <c r="AT515" s="212"/>
      <c r="AU515" s="212"/>
      <c r="AV515" s="212"/>
      <c r="AW515" s="212"/>
      <c r="AX515" s="212"/>
      <c r="AY515" s="212"/>
      <c r="AZ515" s="212"/>
      <c r="BA515" s="212"/>
      <c r="BB515" s="212"/>
      <c r="BC515" s="212"/>
      <c r="BD515" s="212"/>
      <c r="BE515" s="212"/>
      <c r="BF515" s="212"/>
      <c r="BG515" s="212"/>
      <c r="BH515" s="212"/>
      <c r="BI515" s="231" t="str">
        <f>HYPERLINK("#자재조서!A119","MZZ9000076 →")</f>
        <v>MZZ9000076 →</v>
      </c>
    </row>
    <row r="516" spans="1:61" ht="24" customHeight="1">
      <c r="A516" s="218" t="s">
        <v>2095</v>
      </c>
      <c r="B516" s="218" t="s">
        <v>1910</v>
      </c>
      <c r="C516" s="228">
        <v>1</v>
      </c>
      <c r="D516" s="213" t="s">
        <v>378</v>
      </c>
      <c r="E516" s="217">
        <f>일위목록!E153</f>
        <v>0</v>
      </c>
      <c r="F516" s="217">
        <f>TRUNC(E516*C516,0)</f>
        <v>0</v>
      </c>
      <c r="G516" s="217">
        <f>일위목록!F153</f>
        <v>0</v>
      </c>
      <c r="H516" s="217">
        <f>TRUNC(G516*C516,0)</f>
        <v>0</v>
      </c>
      <c r="I516" s="217">
        <f>일위목록!G153</f>
        <v>0</v>
      </c>
      <c r="J516" s="217">
        <f>TRUNC(I516*C516,0)</f>
        <v>0</v>
      </c>
      <c r="K516" s="217">
        <f>E516+G516+I516</f>
        <v>0</v>
      </c>
      <c r="L516" s="217">
        <f t="shared" si="60"/>
        <v>0</v>
      </c>
      <c r="M516" s="215" t="s">
        <v>68</v>
      </c>
      <c r="N516" s="212" t="s">
        <v>68</v>
      </c>
      <c r="O516" s="212"/>
      <c r="P516" s="212" t="s">
        <v>1107</v>
      </c>
      <c r="Q516" s="212" t="s">
        <v>68</v>
      </c>
      <c r="R516" s="212" t="s">
        <v>1911</v>
      </c>
      <c r="S516" s="212"/>
      <c r="T516" s="212" t="s">
        <v>1129</v>
      </c>
      <c r="U516" s="212"/>
      <c r="V516" s="212"/>
      <c r="W516" s="212"/>
      <c r="X516" s="212"/>
      <c r="Y516" s="212"/>
      <c r="Z516" s="212"/>
      <c r="AA516" s="212"/>
      <c r="AB516" s="212"/>
      <c r="AC516" s="212"/>
      <c r="AD516" s="212"/>
      <c r="AE516" s="212"/>
      <c r="AF516" s="212"/>
      <c r="AG516" s="212"/>
      <c r="AH516" s="212"/>
      <c r="AI516" s="212"/>
      <c r="AJ516" s="212"/>
      <c r="AK516" s="212"/>
      <c r="AL516" s="212"/>
      <c r="AM516" s="212"/>
      <c r="AN516" s="212"/>
      <c r="AO516" s="212"/>
      <c r="AP516" s="212"/>
      <c r="AQ516" s="212"/>
      <c r="AR516" s="212"/>
      <c r="AS516" s="212"/>
      <c r="AT516" s="212"/>
      <c r="AU516" s="212"/>
      <c r="AV516" s="212"/>
      <c r="AW516" s="212"/>
      <c r="AX516" s="212"/>
      <c r="AY516" s="212"/>
      <c r="AZ516" s="212"/>
      <c r="BA516" s="212"/>
      <c r="BB516" s="212"/>
      <c r="BC516" s="212"/>
      <c r="BD516" s="212"/>
      <c r="BE516" s="212"/>
      <c r="BF516" s="212"/>
      <c r="BG516" s="212"/>
      <c r="BH516" s="212"/>
      <c r="BI516" s="231" t="str">
        <f>HYPERLINK("#일위대가목록!A153","PP10-2-3/1 →")</f>
        <v>PP10-2-3/1 →</v>
      </c>
    </row>
    <row r="517" spans="1:61" ht="24" customHeight="1">
      <c r="A517" s="215"/>
      <c r="B517" s="215"/>
      <c r="C517" s="229"/>
      <c r="D517" s="213"/>
      <c r="E517" s="213"/>
      <c r="F517" s="213"/>
      <c r="G517" s="213"/>
      <c r="H517" s="213"/>
      <c r="I517" s="213"/>
      <c r="J517" s="213"/>
      <c r="K517" s="213"/>
      <c r="L517" s="213"/>
      <c r="M517" s="215"/>
      <c r="N517" s="212"/>
      <c r="O517" s="212"/>
      <c r="P517" s="212"/>
      <c r="Q517" s="212"/>
      <c r="R517" s="212"/>
      <c r="S517" s="212"/>
      <c r="T517" s="212"/>
      <c r="U517" s="212"/>
      <c r="V517" s="212"/>
      <c r="W517" s="212"/>
      <c r="X517" s="212"/>
      <c r="Y517" s="212"/>
      <c r="Z517" s="212"/>
      <c r="AA517" s="212"/>
      <c r="AB517" s="212"/>
      <c r="AC517" s="212"/>
      <c r="AD517" s="212"/>
      <c r="AE517" s="212"/>
      <c r="AF517" s="212"/>
      <c r="AG517" s="212"/>
      <c r="AH517" s="212"/>
      <c r="AI517" s="212"/>
      <c r="AJ517" s="212"/>
      <c r="AK517" s="212"/>
      <c r="AL517" s="212"/>
      <c r="AM517" s="212"/>
      <c r="AN517" s="212"/>
      <c r="AO517" s="212"/>
      <c r="AP517" s="212"/>
      <c r="AQ517" s="212"/>
      <c r="AR517" s="212"/>
      <c r="AS517" s="212"/>
      <c r="AT517" s="212"/>
      <c r="AU517" s="212"/>
      <c r="AV517" s="212"/>
      <c r="AW517" s="212"/>
      <c r="AX517" s="212"/>
      <c r="AY517" s="212"/>
      <c r="AZ517" s="212"/>
      <c r="BA517" s="212"/>
      <c r="BB517" s="212"/>
      <c r="BC517" s="212"/>
      <c r="BD517" s="212"/>
      <c r="BE517" s="212"/>
      <c r="BF517" s="212"/>
      <c r="BG517" s="212"/>
      <c r="BH517" s="212"/>
      <c r="BI517" s="212"/>
    </row>
    <row r="518" spans="1:61" ht="24" customHeight="1">
      <c r="A518" s="218" t="s">
        <v>2260</v>
      </c>
      <c r="B518" s="218" t="s">
        <v>1020</v>
      </c>
      <c r="C518" s="228">
        <v>1</v>
      </c>
      <c r="D518" s="213" t="s">
        <v>437</v>
      </c>
      <c r="E518" s="212"/>
      <c r="F518" s="217">
        <f>TRUNC(F519+F520+F521+F522+F523,0)</f>
        <v>0</v>
      </c>
      <c r="G518" s="212"/>
      <c r="H518" s="217">
        <f>TRUNC(H519+H520+H521+H522+H523,0)</f>
        <v>0</v>
      </c>
      <c r="I518" s="212"/>
      <c r="J518" s="217">
        <f>TRUNC(J519+J520+J521+J522+J523,0)</f>
        <v>0</v>
      </c>
      <c r="K518" s="212"/>
      <c r="L518" s="217">
        <f t="shared" ref="L518:L523" si="61">F518+H518+J518</f>
        <v>0</v>
      </c>
      <c r="M518" s="215" t="s">
        <v>68</v>
      </c>
      <c r="N518" s="212" t="s">
        <v>68</v>
      </c>
      <c r="O518" s="212" t="s">
        <v>1328</v>
      </c>
      <c r="P518" s="212"/>
      <c r="Q518" s="212"/>
      <c r="R518" s="212"/>
      <c r="S518" s="212"/>
      <c r="T518" s="212"/>
      <c r="U518" s="212"/>
      <c r="V518" s="212"/>
      <c r="W518" s="212"/>
      <c r="X518" s="212"/>
      <c r="Y518" s="212"/>
      <c r="Z518" s="212"/>
      <c r="AA518" s="212"/>
      <c r="AB518" s="212"/>
      <c r="AC518" s="212"/>
      <c r="AD518" s="212"/>
      <c r="AE518" s="212"/>
      <c r="AF518" s="212"/>
      <c r="AG518" s="212"/>
      <c r="AH518" s="212"/>
      <c r="AI518" s="212"/>
      <c r="AJ518" s="212"/>
      <c r="AK518" s="212"/>
      <c r="AL518" s="212"/>
      <c r="AM518" s="212"/>
      <c r="AN518" s="212"/>
      <c r="AO518" s="212"/>
      <c r="AP518" s="212"/>
      <c r="AQ518" s="212"/>
      <c r="AR518" s="212"/>
      <c r="AS518" s="212"/>
      <c r="AT518" s="212"/>
      <c r="AU518" s="212"/>
      <c r="AV518" s="212"/>
      <c r="AW518" s="212"/>
      <c r="AX518" s="212"/>
      <c r="AY518" s="212"/>
      <c r="AZ518" s="212"/>
      <c r="BA518" s="212"/>
      <c r="BB518" s="212"/>
      <c r="BC518" s="212"/>
      <c r="BD518" s="212"/>
      <c r="BE518" s="212"/>
      <c r="BF518" s="212"/>
      <c r="BG518" s="212"/>
      <c r="BH518" s="212"/>
      <c r="BI518" s="212"/>
    </row>
    <row r="519" spans="1:61" ht="24" customHeight="1">
      <c r="A519" s="218" t="s">
        <v>1323</v>
      </c>
      <c r="B519" s="218" t="s">
        <v>1545</v>
      </c>
      <c r="C519" s="228">
        <v>1</v>
      </c>
      <c r="D519" s="213" t="s">
        <v>437</v>
      </c>
      <c r="E519" s="217">
        <f>자재!D85</f>
        <v>0</v>
      </c>
      <c r="F519" s="217">
        <f>TRUNC(E519*C519,0)</f>
        <v>0</v>
      </c>
      <c r="G519" s="217">
        <v>0</v>
      </c>
      <c r="H519" s="217"/>
      <c r="I519" s="217">
        <v>0</v>
      </c>
      <c r="J519" s="217"/>
      <c r="K519" s="217">
        <f>E519+G519+I519</f>
        <v>0</v>
      </c>
      <c r="L519" s="217">
        <f t="shared" si="61"/>
        <v>0</v>
      </c>
      <c r="M519" s="215" t="s">
        <v>68</v>
      </c>
      <c r="N519" s="212" t="s">
        <v>68</v>
      </c>
      <c r="O519" s="212"/>
      <c r="P519" s="212" t="s">
        <v>1095</v>
      </c>
      <c r="Q519" s="212" t="s">
        <v>68</v>
      </c>
      <c r="R519" s="212" t="s">
        <v>2261</v>
      </c>
      <c r="S519" s="212"/>
      <c r="T519" s="212"/>
      <c r="U519" s="212"/>
      <c r="V519" s="212"/>
      <c r="W519" s="212"/>
      <c r="X519" s="212"/>
      <c r="Y519" s="212"/>
      <c r="Z519" s="212"/>
      <c r="AA519" s="212"/>
      <c r="AB519" s="212"/>
      <c r="AC519" s="212"/>
      <c r="AD519" s="212"/>
      <c r="AE519" s="212"/>
      <c r="AF519" s="212"/>
      <c r="AG519" s="212"/>
      <c r="AH519" s="212"/>
      <c r="AI519" s="212"/>
      <c r="AJ519" s="212"/>
      <c r="AK519" s="212"/>
      <c r="AL519" s="212"/>
      <c r="AM519" s="212"/>
      <c r="AN519" s="212"/>
      <c r="AO519" s="212"/>
      <c r="AP519" s="212"/>
      <c r="AQ519" s="212"/>
      <c r="AR519" s="212"/>
      <c r="AS519" s="212"/>
      <c r="AT519" s="212"/>
      <c r="AU519" s="212"/>
      <c r="AV519" s="212"/>
      <c r="AW519" s="212"/>
      <c r="AX519" s="212"/>
      <c r="AY519" s="212"/>
      <c r="AZ519" s="212"/>
      <c r="BA519" s="212"/>
      <c r="BB519" s="212"/>
      <c r="BC519" s="212"/>
      <c r="BD519" s="212"/>
      <c r="BE519" s="212"/>
      <c r="BF519" s="212"/>
      <c r="BG519" s="212"/>
      <c r="BH519" s="212"/>
      <c r="BI519" s="231" t="str">
        <f>HYPERLINK("#자재!A85","MZZ9000023 →")</f>
        <v>MZZ9000023 →</v>
      </c>
    </row>
    <row r="520" spans="1:61" ht="24" customHeight="1">
      <c r="A520" s="218" t="s">
        <v>2038</v>
      </c>
      <c r="B520" s="218" t="s">
        <v>1523</v>
      </c>
      <c r="C520" s="228">
        <v>1</v>
      </c>
      <c r="D520" s="213" t="s">
        <v>378</v>
      </c>
      <c r="E520" s="217">
        <f>일위목록!E75</f>
        <v>0</v>
      </c>
      <c r="F520" s="217">
        <f>TRUNC(E520*C520,0)</f>
        <v>0</v>
      </c>
      <c r="G520" s="217">
        <f>일위목록!F75</f>
        <v>0</v>
      </c>
      <c r="H520" s="217">
        <f>TRUNC(G520*C520,0)</f>
        <v>0</v>
      </c>
      <c r="I520" s="217">
        <f>일위목록!G75</f>
        <v>0</v>
      </c>
      <c r="J520" s="217">
        <f>TRUNC(I520*C520,0)</f>
        <v>0</v>
      </c>
      <c r="K520" s="217">
        <f>E520+G520+I520</f>
        <v>0</v>
      </c>
      <c r="L520" s="217">
        <f t="shared" si="61"/>
        <v>0</v>
      </c>
      <c r="M520" s="215" t="s">
        <v>68</v>
      </c>
      <c r="N520" s="212" t="s">
        <v>68</v>
      </c>
      <c r="O520" s="212"/>
      <c r="P520" s="212" t="s">
        <v>1098</v>
      </c>
      <c r="Q520" s="212" t="s">
        <v>68</v>
      </c>
      <c r="R520" s="212" t="s">
        <v>1776</v>
      </c>
      <c r="S520" s="212"/>
      <c r="T520" s="212" t="s">
        <v>1129</v>
      </c>
      <c r="U520" s="212"/>
      <c r="V520" s="212"/>
      <c r="W520" s="212"/>
      <c r="X520" s="212"/>
      <c r="Y520" s="212"/>
      <c r="Z520" s="212"/>
      <c r="AA520" s="212"/>
      <c r="AB520" s="212"/>
      <c r="AC520" s="212"/>
      <c r="AD520" s="212"/>
      <c r="AE520" s="212"/>
      <c r="AF520" s="212"/>
      <c r="AG520" s="212"/>
      <c r="AH520" s="212"/>
      <c r="AI520" s="212"/>
      <c r="AJ520" s="212"/>
      <c r="AK520" s="212"/>
      <c r="AL520" s="212"/>
      <c r="AM520" s="212"/>
      <c r="AN520" s="212"/>
      <c r="AO520" s="212"/>
      <c r="AP520" s="212"/>
      <c r="AQ520" s="212"/>
      <c r="AR520" s="212"/>
      <c r="AS520" s="212"/>
      <c r="AT520" s="212"/>
      <c r="AU520" s="212"/>
      <c r="AV520" s="212"/>
      <c r="AW520" s="212"/>
      <c r="AX520" s="212"/>
      <c r="AY520" s="212"/>
      <c r="AZ520" s="212"/>
      <c r="BA520" s="212"/>
      <c r="BB520" s="212"/>
      <c r="BC520" s="212"/>
      <c r="BD520" s="212"/>
      <c r="BE520" s="212"/>
      <c r="BF520" s="212"/>
      <c r="BG520" s="212"/>
      <c r="BH520" s="212"/>
      <c r="BI520" s="231" t="str">
        <f>HYPERLINK("#일위대가목록!A75","PP10-1-1/2 →")</f>
        <v>PP10-1-1/2 →</v>
      </c>
    </row>
    <row r="521" spans="1:61" ht="24" customHeight="1">
      <c r="A521" s="218" t="s">
        <v>2249</v>
      </c>
      <c r="B521" s="218" t="s">
        <v>2250</v>
      </c>
      <c r="C521" s="228">
        <v>3</v>
      </c>
      <c r="D521" s="213" t="s">
        <v>437</v>
      </c>
      <c r="E521" s="217">
        <f>자재조서!E20</f>
        <v>0</v>
      </c>
      <c r="F521" s="217">
        <f>TRUNC(E521*C521,0)</f>
        <v>0</v>
      </c>
      <c r="G521" s="217">
        <v>0</v>
      </c>
      <c r="H521" s="217"/>
      <c r="I521" s="217">
        <v>0</v>
      </c>
      <c r="J521" s="217"/>
      <c r="K521" s="217">
        <f>E521+G521+I521</f>
        <v>0</v>
      </c>
      <c r="L521" s="217">
        <f t="shared" si="61"/>
        <v>0</v>
      </c>
      <c r="M521" s="215" t="s">
        <v>68</v>
      </c>
      <c r="N521" s="212" t="s">
        <v>2251</v>
      </c>
      <c r="O521" s="212"/>
      <c r="P521" s="212" t="s">
        <v>1101</v>
      </c>
      <c r="Q521" s="212" t="s">
        <v>68</v>
      </c>
      <c r="R521" s="212" t="s">
        <v>2252</v>
      </c>
      <c r="S521" s="212"/>
      <c r="T521" s="212"/>
      <c r="U521" s="212"/>
      <c r="V521" s="212"/>
      <c r="W521" s="212"/>
      <c r="X521" s="212"/>
      <c r="Y521" s="212"/>
      <c r="Z521" s="212"/>
      <c r="AA521" s="212"/>
      <c r="AB521" s="212"/>
      <c r="AC521" s="212"/>
      <c r="AD521" s="212"/>
      <c r="AE521" s="212"/>
      <c r="AF521" s="212"/>
      <c r="AG521" s="212"/>
      <c r="AH521" s="212"/>
      <c r="AI521" s="212"/>
      <c r="AJ521" s="212"/>
      <c r="AK521" s="212"/>
      <c r="AL521" s="212"/>
      <c r="AM521" s="212"/>
      <c r="AN521" s="212"/>
      <c r="AO521" s="212"/>
      <c r="AP521" s="212"/>
      <c r="AQ521" s="212"/>
      <c r="AR521" s="212"/>
      <c r="AS521" s="212"/>
      <c r="AT521" s="212"/>
      <c r="AU521" s="212"/>
      <c r="AV521" s="212"/>
      <c r="AW521" s="212"/>
      <c r="AX521" s="212"/>
      <c r="AY521" s="212"/>
      <c r="AZ521" s="212"/>
      <c r="BA521" s="212"/>
      <c r="BB521" s="212"/>
      <c r="BC521" s="212"/>
      <c r="BD521" s="212"/>
      <c r="BE521" s="212"/>
      <c r="BF521" s="212"/>
      <c r="BG521" s="212"/>
      <c r="BH521" s="212"/>
      <c r="BI521" s="231" t="str">
        <f>HYPERLINK("#자재조서!A20","M3894003 →")</f>
        <v>M3894003 →</v>
      </c>
    </row>
    <row r="522" spans="1:61" ht="24" customHeight="1">
      <c r="A522" s="218" t="s">
        <v>2253</v>
      </c>
      <c r="B522" s="218" t="s">
        <v>2254</v>
      </c>
      <c r="C522" s="228">
        <v>1</v>
      </c>
      <c r="D522" s="213" t="s">
        <v>437</v>
      </c>
      <c r="E522" s="217">
        <f>자재조서!E119</f>
        <v>0</v>
      </c>
      <c r="F522" s="217">
        <f>TRUNC(E522*C522,0)</f>
        <v>0</v>
      </c>
      <c r="G522" s="217">
        <v>0</v>
      </c>
      <c r="H522" s="217"/>
      <c r="I522" s="217">
        <v>0</v>
      </c>
      <c r="J522" s="217"/>
      <c r="K522" s="217">
        <f>E522+G522+I522</f>
        <v>0</v>
      </c>
      <c r="L522" s="217">
        <f t="shared" si="61"/>
        <v>0</v>
      </c>
      <c r="M522" s="215" t="s">
        <v>68</v>
      </c>
      <c r="N522" s="212" t="s">
        <v>68</v>
      </c>
      <c r="O522" s="212"/>
      <c r="P522" s="212" t="s">
        <v>1104</v>
      </c>
      <c r="Q522" s="212" t="s">
        <v>68</v>
      </c>
      <c r="R522" s="212" t="s">
        <v>2255</v>
      </c>
      <c r="S522" s="212"/>
      <c r="T522" s="212"/>
      <c r="U522" s="212"/>
      <c r="V522" s="212"/>
      <c r="W522" s="212"/>
      <c r="X522" s="212"/>
      <c r="Y522" s="212"/>
      <c r="Z522" s="212"/>
      <c r="AA522" s="212"/>
      <c r="AB522" s="212"/>
      <c r="AC522" s="212"/>
      <c r="AD522" s="212"/>
      <c r="AE522" s="212"/>
      <c r="AF522" s="212"/>
      <c r="AG522" s="212"/>
      <c r="AH522" s="212"/>
      <c r="AI522" s="212"/>
      <c r="AJ522" s="212"/>
      <c r="AK522" s="212"/>
      <c r="AL522" s="212"/>
      <c r="AM522" s="212"/>
      <c r="AN522" s="212"/>
      <c r="AO522" s="212"/>
      <c r="AP522" s="212"/>
      <c r="AQ522" s="212"/>
      <c r="AR522" s="212"/>
      <c r="AS522" s="212"/>
      <c r="AT522" s="212"/>
      <c r="AU522" s="212"/>
      <c r="AV522" s="212"/>
      <c r="AW522" s="212"/>
      <c r="AX522" s="212"/>
      <c r="AY522" s="212"/>
      <c r="AZ522" s="212"/>
      <c r="BA522" s="212"/>
      <c r="BB522" s="212"/>
      <c r="BC522" s="212"/>
      <c r="BD522" s="212"/>
      <c r="BE522" s="212"/>
      <c r="BF522" s="212"/>
      <c r="BG522" s="212"/>
      <c r="BH522" s="212"/>
      <c r="BI522" s="231" t="str">
        <f>HYPERLINK("#자재조서!A119","MZZ9000076 →")</f>
        <v>MZZ9000076 →</v>
      </c>
    </row>
    <row r="523" spans="1:61" ht="24" customHeight="1">
      <c r="A523" s="218" t="s">
        <v>2095</v>
      </c>
      <c r="B523" s="218" t="s">
        <v>1910</v>
      </c>
      <c r="C523" s="228">
        <v>1</v>
      </c>
      <c r="D523" s="213" t="s">
        <v>378</v>
      </c>
      <c r="E523" s="217">
        <f>일위목록!E153</f>
        <v>0</v>
      </c>
      <c r="F523" s="217">
        <f>TRUNC(E523*C523,0)</f>
        <v>0</v>
      </c>
      <c r="G523" s="217">
        <f>일위목록!F153</f>
        <v>0</v>
      </c>
      <c r="H523" s="217">
        <f>TRUNC(G523*C523,0)</f>
        <v>0</v>
      </c>
      <c r="I523" s="217">
        <f>일위목록!G153</f>
        <v>0</v>
      </c>
      <c r="J523" s="217">
        <f>TRUNC(I523*C523,0)</f>
        <v>0</v>
      </c>
      <c r="K523" s="217">
        <f>E523+G523+I523</f>
        <v>0</v>
      </c>
      <c r="L523" s="217">
        <f t="shared" si="61"/>
        <v>0</v>
      </c>
      <c r="M523" s="215" t="s">
        <v>68</v>
      </c>
      <c r="N523" s="212" t="s">
        <v>68</v>
      </c>
      <c r="O523" s="212"/>
      <c r="P523" s="212" t="s">
        <v>1107</v>
      </c>
      <c r="Q523" s="212" t="s">
        <v>68</v>
      </c>
      <c r="R523" s="212" t="s">
        <v>1911</v>
      </c>
      <c r="S523" s="212"/>
      <c r="T523" s="212" t="s">
        <v>1129</v>
      </c>
      <c r="U523" s="212"/>
      <c r="V523" s="212"/>
      <c r="W523" s="212"/>
      <c r="X523" s="212"/>
      <c r="Y523" s="212"/>
      <c r="Z523" s="212"/>
      <c r="AA523" s="212"/>
      <c r="AB523" s="212"/>
      <c r="AC523" s="212"/>
      <c r="AD523" s="212"/>
      <c r="AE523" s="212"/>
      <c r="AF523" s="212"/>
      <c r="AG523" s="212"/>
      <c r="AH523" s="212"/>
      <c r="AI523" s="212"/>
      <c r="AJ523" s="212"/>
      <c r="AK523" s="212"/>
      <c r="AL523" s="212"/>
      <c r="AM523" s="212"/>
      <c r="AN523" s="212"/>
      <c r="AO523" s="212"/>
      <c r="AP523" s="212"/>
      <c r="AQ523" s="212"/>
      <c r="AR523" s="212"/>
      <c r="AS523" s="212"/>
      <c r="AT523" s="212"/>
      <c r="AU523" s="212"/>
      <c r="AV523" s="212"/>
      <c r="AW523" s="212"/>
      <c r="AX523" s="212"/>
      <c r="AY523" s="212"/>
      <c r="AZ523" s="212"/>
      <c r="BA523" s="212"/>
      <c r="BB523" s="212"/>
      <c r="BC523" s="212"/>
      <c r="BD523" s="212"/>
      <c r="BE523" s="212"/>
      <c r="BF523" s="212"/>
      <c r="BG523" s="212"/>
      <c r="BH523" s="212"/>
      <c r="BI523" s="231" t="str">
        <f>HYPERLINK("#일위대가목록!A153","PP10-2-3/1 →")</f>
        <v>PP10-2-3/1 →</v>
      </c>
    </row>
    <row r="524" spans="1:61" ht="24" customHeight="1">
      <c r="A524" s="215"/>
      <c r="B524" s="215"/>
      <c r="C524" s="229"/>
      <c r="D524" s="213"/>
      <c r="E524" s="213"/>
      <c r="F524" s="213"/>
      <c r="G524" s="213"/>
      <c r="H524" s="213"/>
      <c r="I524" s="213"/>
      <c r="J524" s="213"/>
      <c r="K524" s="213"/>
      <c r="L524" s="213"/>
      <c r="M524" s="215"/>
      <c r="N524" s="212"/>
      <c r="O524" s="212"/>
      <c r="P524" s="212"/>
      <c r="Q524" s="212"/>
      <c r="R524" s="212"/>
      <c r="S524" s="212"/>
      <c r="T524" s="212"/>
      <c r="U524" s="212"/>
      <c r="V524" s="212"/>
      <c r="W524" s="212"/>
      <c r="X524" s="212"/>
      <c r="Y524" s="212"/>
      <c r="Z524" s="212"/>
      <c r="AA524" s="212"/>
      <c r="AB524" s="212"/>
      <c r="AC524" s="212"/>
      <c r="AD524" s="212"/>
      <c r="AE524" s="212"/>
      <c r="AF524" s="212"/>
      <c r="AG524" s="212"/>
      <c r="AH524" s="212"/>
      <c r="AI524" s="212"/>
      <c r="AJ524" s="212"/>
      <c r="AK524" s="212"/>
      <c r="AL524" s="212"/>
      <c r="AM524" s="212"/>
      <c r="AN524" s="212"/>
      <c r="AO524" s="212"/>
      <c r="AP524" s="212"/>
      <c r="AQ524" s="212"/>
      <c r="AR524" s="212"/>
      <c r="AS524" s="212"/>
      <c r="AT524" s="212"/>
      <c r="AU524" s="212"/>
      <c r="AV524" s="212"/>
      <c r="AW524" s="212"/>
      <c r="AX524" s="212"/>
      <c r="AY524" s="212"/>
      <c r="AZ524" s="212"/>
      <c r="BA524" s="212"/>
      <c r="BB524" s="212"/>
      <c r="BC524" s="212"/>
      <c r="BD524" s="212"/>
      <c r="BE524" s="212"/>
      <c r="BF524" s="212"/>
      <c r="BG524" s="212"/>
      <c r="BH524" s="212"/>
      <c r="BI524" s="212"/>
    </row>
    <row r="525" spans="1:61" ht="24" customHeight="1">
      <c r="A525" s="218" t="s">
        <v>2262</v>
      </c>
      <c r="B525" s="218" t="s">
        <v>1330</v>
      </c>
      <c r="C525" s="228">
        <v>1</v>
      </c>
      <c r="D525" s="213" t="s">
        <v>378</v>
      </c>
      <c r="E525" s="212"/>
      <c r="F525" s="217">
        <f>TRUNC(F526+F527,0)</f>
        <v>0</v>
      </c>
      <c r="G525" s="212"/>
      <c r="H525" s="217">
        <f>TRUNC(H526+H527,0)</f>
        <v>0</v>
      </c>
      <c r="I525" s="212"/>
      <c r="J525" s="217">
        <f>TRUNC(J526+J527,0)</f>
        <v>0</v>
      </c>
      <c r="K525" s="212"/>
      <c r="L525" s="217">
        <f>F525+H525+J525</f>
        <v>0</v>
      </c>
      <c r="M525" s="215" t="s">
        <v>68</v>
      </c>
      <c r="N525" s="212" t="s">
        <v>68</v>
      </c>
      <c r="O525" s="212" t="s">
        <v>1331</v>
      </c>
      <c r="P525" s="212"/>
      <c r="Q525" s="212"/>
      <c r="R525" s="212"/>
      <c r="S525" s="212"/>
      <c r="T525" s="212"/>
      <c r="U525" s="212"/>
      <c r="V525" s="212"/>
      <c r="W525" s="212"/>
      <c r="X525" s="212"/>
      <c r="Y525" s="212"/>
      <c r="Z525" s="212"/>
      <c r="AA525" s="212"/>
      <c r="AB525" s="212"/>
      <c r="AC525" s="212"/>
      <c r="AD525" s="212"/>
      <c r="AE525" s="212"/>
      <c r="AF525" s="212"/>
      <c r="AG525" s="212"/>
      <c r="AH525" s="212"/>
      <c r="AI525" s="212"/>
      <c r="AJ525" s="212"/>
      <c r="AK525" s="212"/>
      <c r="AL525" s="212"/>
      <c r="AM525" s="212"/>
      <c r="AN525" s="212"/>
      <c r="AO525" s="212"/>
      <c r="AP525" s="212"/>
      <c r="AQ525" s="212"/>
      <c r="AR525" s="212"/>
      <c r="AS525" s="212"/>
      <c r="AT525" s="212"/>
      <c r="AU525" s="212"/>
      <c r="AV525" s="212"/>
      <c r="AW525" s="212"/>
      <c r="AX525" s="212"/>
      <c r="AY525" s="212"/>
      <c r="AZ525" s="212"/>
      <c r="BA525" s="212"/>
      <c r="BB525" s="212"/>
      <c r="BC525" s="212"/>
      <c r="BD525" s="212"/>
      <c r="BE525" s="212"/>
      <c r="BF525" s="212"/>
      <c r="BG525" s="212"/>
      <c r="BH525" s="212"/>
      <c r="BI525" s="212"/>
    </row>
    <row r="526" spans="1:61" ht="24" customHeight="1">
      <c r="A526" s="218" t="s">
        <v>2071</v>
      </c>
      <c r="B526" s="218" t="s">
        <v>2072</v>
      </c>
      <c r="C526" s="229">
        <v>13.5</v>
      </c>
      <c r="D526" s="213" t="s">
        <v>1400</v>
      </c>
      <c r="E526" s="217">
        <f>자재조서!E7</f>
        <v>0</v>
      </c>
      <c r="F526" s="217">
        <f>TRUNC(E526*C526,0)</f>
        <v>0</v>
      </c>
      <c r="G526" s="217">
        <v>0</v>
      </c>
      <c r="H526" s="217"/>
      <c r="I526" s="217">
        <v>0</v>
      </c>
      <c r="J526" s="217"/>
      <c r="K526" s="217">
        <f>E526+G526+I526</f>
        <v>0</v>
      </c>
      <c r="L526" s="217">
        <f>F526+H526+J526</f>
        <v>0</v>
      </c>
      <c r="M526" s="215" t="s">
        <v>68</v>
      </c>
      <c r="N526" s="212" t="s">
        <v>68</v>
      </c>
      <c r="O526" s="212"/>
      <c r="P526" s="212" t="s">
        <v>1095</v>
      </c>
      <c r="Q526" s="212" t="s">
        <v>68</v>
      </c>
      <c r="R526" s="212" t="s">
        <v>2073</v>
      </c>
      <c r="S526" s="212"/>
      <c r="T526" s="212"/>
      <c r="U526" s="212"/>
      <c r="V526" s="212"/>
      <c r="W526" s="212"/>
      <c r="X526" s="212"/>
      <c r="Y526" s="212"/>
      <c r="Z526" s="212"/>
      <c r="AA526" s="212"/>
      <c r="AB526" s="212"/>
      <c r="AC526" s="212"/>
      <c r="AD526" s="212"/>
      <c r="AE526" s="212"/>
      <c r="AF526" s="212"/>
      <c r="AG526" s="212"/>
      <c r="AH526" s="212"/>
      <c r="AI526" s="212"/>
      <c r="AJ526" s="212"/>
      <c r="AK526" s="212"/>
      <c r="AL526" s="212"/>
      <c r="AM526" s="212"/>
      <c r="AN526" s="212"/>
      <c r="AO526" s="212"/>
      <c r="AP526" s="212"/>
      <c r="AQ526" s="212"/>
      <c r="AR526" s="212"/>
      <c r="AS526" s="212"/>
      <c r="AT526" s="212"/>
      <c r="AU526" s="212"/>
      <c r="AV526" s="212"/>
      <c r="AW526" s="212"/>
      <c r="AX526" s="212"/>
      <c r="AY526" s="212"/>
      <c r="AZ526" s="212"/>
      <c r="BA526" s="212"/>
      <c r="BB526" s="212"/>
      <c r="BC526" s="212"/>
      <c r="BD526" s="212"/>
      <c r="BE526" s="212"/>
      <c r="BF526" s="212"/>
      <c r="BG526" s="212"/>
      <c r="BH526" s="212"/>
      <c r="BI526" s="231" t="str">
        <f>HYPERLINK("#자재조서!A7","M0131019 →")</f>
        <v>M0131019 →</v>
      </c>
    </row>
    <row r="527" spans="1:61" ht="24" customHeight="1">
      <c r="A527" s="218" t="s">
        <v>1935</v>
      </c>
      <c r="B527" s="218" t="s">
        <v>1754</v>
      </c>
      <c r="C527" s="229">
        <v>3.5000000000000003E-2</v>
      </c>
      <c r="D527" s="213" t="s">
        <v>16</v>
      </c>
      <c r="E527" s="217">
        <f>일위목록!E67</f>
        <v>0</v>
      </c>
      <c r="F527" s="217">
        <f>TRUNC(E527*C527,0)</f>
        <v>0</v>
      </c>
      <c r="G527" s="217">
        <f>일위목록!F67</f>
        <v>0</v>
      </c>
      <c r="H527" s="217">
        <f>TRUNC(G527*C527,0)</f>
        <v>0</v>
      </c>
      <c r="I527" s="217">
        <f>일위목록!G67</f>
        <v>0</v>
      </c>
      <c r="J527" s="217">
        <f>TRUNC(I527*C527,0)</f>
        <v>0</v>
      </c>
      <c r="K527" s="217">
        <f>E527+G527+I527</f>
        <v>0</v>
      </c>
      <c r="L527" s="217">
        <f>F527+H527+J527</f>
        <v>0</v>
      </c>
      <c r="M527" s="215" t="s">
        <v>68</v>
      </c>
      <c r="N527" s="212" t="s">
        <v>68</v>
      </c>
      <c r="O527" s="212"/>
      <c r="P527" s="212" t="s">
        <v>1098</v>
      </c>
      <c r="Q527" s="212" t="s">
        <v>68</v>
      </c>
      <c r="R527" s="212" t="s">
        <v>1755</v>
      </c>
      <c r="S527" s="212"/>
      <c r="T527" s="212" t="s">
        <v>1129</v>
      </c>
      <c r="U527" s="212"/>
      <c r="V527" s="212"/>
      <c r="W527" s="212"/>
      <c r="X527" s="212"/>
      <c r="Y527" s="212"/>
      <c r="Z527" s="212"/>
      <c r="AA527" s="212"/>
      <c r="AB527" s="212"/>
      <c r="AC527" s="212"/>
      <c r="AD527" s="212"/>
      <c r="AE527" s="212"/>
      <c r="AF527" s="212"/>
      <c r="AG527" s="212"/>
      <c r="AH527" s="212"/>
      <c r="AI527" s="212"/>
      <c r="AJ527" s="212"/>
      <c r="AK527" s="212"/>
      <c r="AL527" s="212"/>
      <c r="AM527" s="212"/>
      <c r="AN527" s="212"/>
      <c r="AO527" s="212"/>
      <c r="AP527" s="212"/>
      <c r="AQ527" s="212"/>
      <c r="AR527" s="212"/>
      <c r="AS527" s="212"/>
      <c r="AT527" s="212"/>
      <c r="AU527" s="212"/>
      <c r="AV527" s="212"/>
      <c r="AW527" s="212"/>
      <c r="AX527" s="212"/>
      <c r="AY527" s="212"/>
      <c r="AZ527" s="212"/>
      <c r="BA527" s="212"/>
      <c r="BB527" s="212"/>
      <c r="BC527" s="212"/>
      <c r="BD527" s="212"/>
      <c r="BE527" s="212"/>
      <c r="BF527" s="212"/>
      <c r="BG527" s="212"/>
      <c r="BH527" s="212"/>
      <c r="BI527" s="231" t="str">
        <f>HYPERLINK("#일위대가목록!A67","P8-3-1/6 →")</f>
        <v>P8-3-1/6 →</v>
      </c>
    </row>
    <row r="528" spans="1:61" ht="24" customHeight="1">
      <c r="A528" s="215"/>
      <c r="B528" s="215"/>
      <c r="C528" s="229"/>
      <c r="D528" s="213"/>
      <c r="E528" s="213"/>
      <c r="F528" s="213"/>
      <c r="G528" s="213"/>
      <c r="H528" s="213"/>
      <c r="I528" s="213"/>
      <c r="J528" s="213"/>
      <c r="K528" s="213"/>
      <c r="L528" s="213"/>
      <c r="M528" s="215"/>
      <c r="N528" s="212"/>
      <c r="O528" s="212"/>
      <c r="P528" s="212"/>
      <c r="Q528" s="212"/>
      <c r="R528" s="212"/>
      <c r="S528" s="212"/>
      <c r="T528" s="212"/>
      <c r="U528" s="212"/>
      <c r="V528" s="212"/>
      <c r="W528" s="212"/>
      <c r="X528" s="212"/>
      <c r="Y528" s="212"/>
      <c r="Z528" s="212"/>
      <c r="AA528" s="212"/>
      <c r="AB528" s="212"/>
      <c r="AC528" s="212"/>
      <c r="AD528" s="212"/>
      <c r="AE528" s="212"/>
      <c r="AF528" s="212"/>
      <c r="AG528" s="212"/>
      <c r="AH528" s="212"/>
      <c r="AI528" s="212"/>
      <c r="AJ528" s="212"/>
      <c r="AK528" s="212"/>
      <c r="AL528" s="212"/>
      <c r="AM528" s="212"/>
      <c r="AN528" s="212"/>
      <c r="AO528" s="212"/>
      <c r="AP528" s="212"/>
      <c r="AQ528" s="212"/>
      <c r="AR528" s="212"/>
      <c r="AS528" s="212"/>
      <c r="AT528" s="212"/>
      <c r="AU528" s="212"/>
      <c r="AV528" s="212"/>
      <c r="AW528" s="212"/>
      <c r="AX528" s="212"/>
      <c r="AY528" s="212"/>
      <c r="AZ528" s="212"/>
      <c r="BA528" s="212"/>
      <c r="BB528" s="212"/>
      <c r="BC528" s="212"/>
      <c r="BD528" s="212"/>
      <c r="BE528" s="212"/>
      <c r="BF528" s="212"/>
      <c r="BG528" s="212"/>
      <c r="BH528" s="212"/>
      <c r="BI528" s="212"/>
    </row>
    <row r="529" spans="1:61" ht="24" customHeight="1">
      <c r="A529" s="218" t="s">
        <v>2263</v>
      </c>
      <c r="B529" s="218" t="s">
        <v>1332</v>
      </c>
      <c r="C529" s="228">
        <v>1</v>
      </c>
      <c r="D529" s="213" t="s">
        <v>378</v>
      </c>
      <c r="E529" s="212"/>
      <c r="F529" s="217">
        <f>TRUNC(F530+F531,0)</f>
        <v>0</v>
      </c>
      <c r="G529" s="212"/>
      <c r="H529" s="217">
        <f>TRUNC(H530+H531,0)</f>
        <v>0</v>
      </c>
      <c r="I529" s="212"/>
      <c r="J529" s="217">
        <f>TRUNC(J530+J531,0)</f>
        <v>0</v>
      </c>
      <c r="K529" s="212"/>
      <c r="L529" s="217">
        <f>F529+H529+J529</f>
        <v>0</v>
      </c>
      <c r="M529" s="215" t="s">
        <v>68</v>
      </c>
      <c r="N529" s="212" t="s">
        <v>68</v>
      </c>
      <c r="O529" s="212" t="s">
        <v>1333</v>
      </c>
      <c r="P529" s="212"/>
      <c r="Q529" s="212"/>
      <c r="R529" s="212"/>
      <c r="S529" s="212"/>
      <c r="T529" s="212"/>
      <c r="U529" s="212"/>
      <c r="V529" s="212"/>
      <c r="W529" s="212"/>
      <c r="X529" s="212"/>
      <c r="Y529" s="212"/>
      <c r="Z529" s="212"/>
      <c r="AA529" s="212"/>
      <c r="AB529" s="212"/>
      <c r="AC529" s="212"/>
      <c r="AD529" s="212"/>
      <c r="AE529" s="212"/>
      <c r="AF529" s="212"/>
      <c r="AG529" s="212"/>
      <c r="AH529" s="212"/>
      <c r="AI529" s="212"/>
      <c r="AJ529" s="212"/>
      <c r="AK529" s="212"/>
      <c r="AL529" s="212"/>
      <c r="AM529" s="212"/>
      <c r="AN529" s="212"/>
      <c r="AO529" s="212"/>
      <c r="AP529" s="212"/>
      <c r="AQ529" s="212"/>
      <c r="AR529" s="212"/>
      <c r="AS529" s="212"/>
      <c r="AT529" s="212"/>
      <c r="AU529" s="212"/>
      <c r="AV529" s="212"/>
      <c r="AW529" s="212"/>
      <c r="AX529" s="212"/>
      <c r="AY529" s="212"/>
      <c r="AZ529" s="212"/>
      <c r="BA529" s="212"/>
      <c r="BB529" s="212"/>
      <c r="BC529" s="212"/>
      <c r="BD529" s="212"/>
      <c r="BE529" s="212"/>
      <c r="BF529" s="212"/>
      <c r="BG529" s="212"/>
      <c r="BH529" s="212"/>
      <c r="BI529" s="212"/>
    </row>
    <row r="530" spans="1:61" ht="24" customHeight="1">
      <c r="A530" s="218" t="s">
        <v>2071</v>
      </c>
      <c r="B530" s="218" t="s">
        <v>2072</v>
      </c>
      <c r="C530" s="229">
        <v>15.35</v>
      </c>
      <c r="D530" s="213" t="s">
        <v>1400</v>
      </c>
      <c r="E530" s="217">
        <f>자재조서!E7</f>
        <v>0</v>
      </c>
      <c r="F530" s="217">
        <f>TRUNC(E530*C530,0)</f>
        <v>0</v>
      </c>
      <c r="G530" s="217">
        <v>0</v>
      </c>
      <c r="H530" s="217"/>
      <c r="I530" s="217">
        <v>0</v>
      </c>
      <c r="J530" s="217"/>
      <c r="K530" s="217">
        <f>E530+G530+I530</f>
        <v>0</v>
      </c>
      <c r="L530" s="217">
        <f>F530+H530+J530</f>
        <v>0</v>
      </c>
      <c r="M530" s="215" t="s">
        <v>68</v>
      </c>
      <c r="N530" s="212" t="s">
        <v>68</v>
      </c>
      <c r="O530" s="212"/>
      <c r="P530" s="212" t="s">
        <v>1095</v>
      </c>
      <c r="Q530" s="212" t="s">
        <v>68</v>
      </c>
      <c r="R530" s="212" t="s">
        <v>2073</v>
      </c>
      <c r="S530" s="212"/>
      <c r="T530" s="212"/>
      <c r="U530" s="212"/>
      <c r="V530" s="212"/>
      <c r="W530" s="212"/>
      <c r="X530" s="212"/>
      <c r="Y530" s="212"/>
      <c r="Z530" s="212"/>
      <c r="AA530" s="212"/>
      <c r="AB530" s="212"/>
      <c r="AC530" s="212"/>
      <c r="AD530" s="212"/>
      <c r="AE530" s="212"/>
      <c r="AF530" s="212"/>
      <c r="AG530" s="212"/>
      <c r="AH530" s="212"/>
      <c r="AI530" s="212"/>
      <c r="AJ530" s="212"/>
      <c r="AK530" s="212"/>
      <c r="AL530" s="212"/>
      <c r="AM530" s="212"/>
      <c r="AN530" s="212"/>
      <c r="AO530" s="212"/>
      <c r="AP530" s="212"/>
      <c r="AQ530" s="212"/>
      <c r="AR530" s="212"/>
      <c r="AS530" s="212"/>
      <c r="AT530" s="212"/>
      <c r="AU530" s="212"/>
      <c r="AV530" s="212"/>
      <c r="AW530" s="212"/>
      <c r="AX530" s="212"/>
      <c r="AY530" s="212"/>
      <c r="AZ530" s="212"/>
      <c r="BA530" s="212"/>
      <c r="BB530" s="212"/>
      <c r="BC530" s="212"/>
      <c r="BD530" s="212"/>
      <c r="BE530" s="212"/>
      <c r="BF530" s="212"/>
      <c r="BG530" s="212"/>
      <c r="BH530" s="212"/>
      <c r="BI530" s="231" t="str">
        <f>HYPERLINK("#자재조서!A7","M0131019 →")</f>
        <v>M0131019 →</v>
      </c>
    </row>
    <row r="531" spans="1:61" ht="24" customHeight="1">
      <c r="A531" s="218" t="s">
        <v>1935</v>
      </c>
      <c r="B531" s="218" t="s">
        <v>1754</v>
      </c>
      <c r="C531" s="229">
        <v>0.04</v>
      </c>
      <c r="D531" s="213" t="s">
        <v>16</v>
      </c>
      <c r="E531" s="217">
        <f>일위목록!E67</f>
        <v>0</v>
      </c>
      <c r="F531" s="217">
        <f>TRUNC(E531*C531,0)</f>
        <v>0</v>
      </c>
      <c r="G531" s="217">
        <f>일위목록!F67</f>
        <v>0</v>
      </c>
      <c r="H531" s="217">
        <f>TRUNC(G531*C531,0)</f>
        <v>0</v>
      </c>
      <c r="I531" s="217">
        <f>일위목록!G67</f>
        <v>0</v>
      </c>
      <c r="J531" s="217">
        <f>TRUNC(I531*C531,0)</f>
        <v>0</v>
      </c>
      <c r="K531" s="217">
        <f>E531+G531+I531</f>
        <v>0</v>
      </c>
      <c r="L531" s="217">
        <f>F531+H531+J531</f>
        <v>0</v>
      </c>
      <c r="M531" s="215" t="s">
        <v>68</v>
      </c>
      <c r="N531" s="212" t="s">
        <v>68</v>
      </c>
      <c r="O531" s="212"/>
      <c r="P531" s="212" t="s">
        <v>1098</v>
      </c>
      <c r="Q531" s="212" t="s">
        <v>68</v>
      </c>
      <c r="R531" s="212" t="s">
        <v>1755</v>
      </c>
      <c r="S531" s="212"/>
      <c r="T531" s="212" t="s">
        <v>1129</v>
      </c>
      <c r="U531" s="212"/>
      <c r="V531" s="212"/>
      <c r="W531" s="212"/>
      <c r="X531" s="212"/>
      <c r="Y531" s="212"/>
      <c r="Z531" s="212"/>
      <c r="AA531" s="212"/>
      <c r="AB531" s="212"/>
      <c r="AC531" s="212"/>
      <c r="AD531" s="212"/>
      <c r="AE531" s="212"/>
      <c r="AF531" s="212"/>
      <c r="AG531" s="212"/>
      <c r="AH531" s="212"/>
      <c r="AI531" s="212"/>
      <c r="AJ531" s="212"/>
      <c r="AK531" s="212"/>
      <c r="AL531" s="212"/>
      <c r="AM531" s="212"/>
      <c r="AN531" s="212"/>
      <c r="AO531" s="212"/>
      <c r="AP531" s="212"/>
      <c r="AQ531" s="212"/>
      <c r="AR531" s="212"/>
      <c r="AS531" s="212"/>
      <c r="AT531" s="212"/>
      <c r="AU531" s="212"/>
      <c r="AV531" s="212"/>
      <c r="AW531" s="212"/>
      <c r="AX531" s="212"/>
      <c r="AY531" s="212"/>
      <c r="AZ531" s="212"/>
      <c r="BA531" s="212"/>
      <c r="BB531" s="212"/>
      <c r="BC531" s="212"/>
      <c r="BD531" s="212"/>
      <c r="BE531" s="212"/>
      <c r="BF531" s="212"/>
      <c r="BG531" s="212"/>
      <c r="BH531" s="212"/>
      <c r="BI531" s="231" t="str">
        <f>HYPERLINK("#일위대가목록!A67","P8-3-1/6 →")</f>
        <v>P8-3-1/6 →</v>
      </c>
    </row>
    <row r="532" spans="1:61" ht="24" customHeight="1">
      <c r="A532" s="215"/>
      <c r="B532" s="215"/>
      <c r="C532" s="229"/>
      <c r="D532" s="213"/>
      <c r="E532" s="213"/>
      <c r="F532" s="213"/>
      <c r="G532" s="213"/>
      <c r="H532" s="213"/>
      <c r="I532" s="213"/>
      <c r="J532" s="213"/>
      <c r="K532" s="213"/>
      <c r="L532" s="213"/>
      <c r="M532" s="215"/>
      <c r="N532" s="212"/>
      <c r="O532" s="212"/>
      <c r="P532" s="212"/>
      <c r="Q532" s="212"/>
      <c r="R532" s="212"/>
      <c r="S532" s="212"/>
      <c r="T532" s="212"/>
      <c r="U532" s="212"/>
      <c r="V532" s="212"/>
      <c r="W532" s="212"/>
      <c r="X532" s="212"/>
      <c r="Y532" s="212"/>
      <c r="Z532" s="212"/>
      <c r="AA532" s="212"/>
      <c r="AB532" s="212"/>
      <c r="AC532" s="212"/>
      <c r="AD532" s="212"/>
      <c r="AE532" s="212"/>
      <c r="AF532" s="212"/>
      <c r="AG532" s="212"/>
      <c r="AH532" s="212"/>
      <c r="AI532" s="212"/>
      <c r="AJ532" s="212"/>
      <c r="AK532" s="212"/>
      <c r="AL532" s="212"/>
      <c r="AM532" s="212"/>
      <c r="AN532" s="212"/>
      <c r="AO532" s="212"/>
      <c r="AP532" s="212"/>
      <c r="AQ532" s="212"/>
      <c r="AR532" s="212"/>
      <c r="AS532" s="212"/>
      <c r="AT532" s="212"/>
      <c r="AU532" s="212"/>
      <c r="AV532" s="212"/>
      <c r="AW532" s="212"/>
      <c r="AX532" s="212"/>
      <c r="AY532" s="212"/>
      <c r="AZ532" s="212"/>
      <c r="BA532" s="212"/>
      <c r="BB532" s="212"/>
      <c r="BC532" s="212"/>
      <c r="BD532" s="212"/>
      <c r="BE532" s="212"/>
      <c r="BF532" s="212"/>
      <c r="BG532" s="212"/>
      <c r="BH532" s="212"/>
      <c r="BI532" s="212"/>
    </row>
    <row r="533" spans="1:61" ht="24" customHeight="1">
      <c r="A533" s="218" t="s">
        <v>2264</v>
      </c>
      <c r="B533" s="218" t="s">
        <v>1334</v>
      </c>
      <c r="C533" s="228">
        <v>1</v>
      </c>
      <c r="D533" s="213" t="s">
        <v>378</v>
      </c>
      <c r="E533" s="212"/>
      <c r="F533" s="217">
        <f>TRUNC(F534+F535,0)</f>
        <v>0</v>
      </c>
      <c r="G533" s="212"/>
      <c r="H533" s="217">
        <f>TRUNC(H534+H535,0)</f>
        <v>0</v>
      </c>
      <c r="I533" s="212"/>
      <c r="J533" s="217">
        <f>TRUNC(J534+J535,0)</f>
        <v>0</v>
      </c>
      <c r="K533" s="212"/>
      <c r="L533" s="217">
        <f>F533+H533+J533</f>
        <v>0</v>
      </c>
      <c r="M533" s="215" t="s">
        <v>68</v>
      </c>
      <c r="N533" s="212" t="s">
        <v>68</v>
      </c>
      <c r="O533" s="212" t="s">
        <v>1335</v>
      </c>
      <c r="P533" s="212"/>
      <c r="Q533" s="212"/>
      <c r="R533" s="212"/>
      <c r="S533" s="212"/>
      <c r="T533" s="212"/>
      <c r="U533" s="212"/>
      <c r="V533" s="212"/>
      <c r="W533" s="212"/>
      <c r="X533" s="212"/>
      <c r="Y533" s="212"/>
      <c r="Z533" s="212"/>
      <c r="AA533" s="212"/>
      <c r="AB533" s="212"/>
      <c r="AC533" s="212"/>
      <c r="AD533" s="212"/>
      <c r="AE533" s="212"/>
      <c r="AF533" s="212"/>
      <c r="AG533" s="212"/>
      <c r="AH533" s="212"/>
      <c r="AI533" s="212"/>
      <c r="AJ533" s="212"/>
      <c r="AK533" s="212"/>
      <c r="AL533" s="212"/>
      <c r="AM533" s="212"/>
      <c r="AN533" s="212"/>
      <c r="AO533" s="212"/>
      <c r="AP533" s="212"/>
      <c r="AQ533" s="212"/>
      <c r="AR533" s="212"/>
      <c r="AS533" s="212"/>
      <c r="AT533" s="212"/>
      <c r="AU533" s="212"/>
      <c r="AV533" s="212"/>
      <c r="AW533" s="212"/>
      <c r="AX533" s="212"/>
      <c r="AY533" s="212"/>
      <c r="AZ533" s="212"/>
      <c r="BA533" s="212"/>
      <c r="BB533" s="212"/>
      <c r="BC533" s="212"/>
      <c r="BD533" s="212"/>
      <c r="BE533" s="212"/>
      <c r="BF533" s="212"/>
      <c r="BG533" s="212"/>
      <c r="BH533" s="212"/>
      <c r="BI533" s="212"/>
    </row>
    <row r="534" spans="1:61" ht="24" customHeight="1">
      <c r="A534" s="218" t="s">
        <v>2071</v>
      </c>
      <c r="B534" s="218" t="s">
        <v>2072</v>
      </c>
      <c r="C534" s="229">
        <v>12.32</v>
      </c>
      <c r="D534" s="213" t="s">
        <v>1400</v>
      </c>
      <c r="E534" s="217">
        <f>자재조서!E7</f>
        <v>0</v>
      </c>
      <c r="F534" s="217">
        <f>TRUNC(E534*C534,0)</f>
        <v>0</v>
      </c>
      <c r="G534" s="217">
        <v>0</v>
      </c>
      <c r="H534" s="217"/>
      <c r="I534" s="217">
        <v>0</v>
      </c>
      <c r="J534" s="217"/>
      <c r="K534" s="217">
        <f>E534+G534+I534</f>
        <v>0</v>
      </c>
      <c r="L534" s="217">
        <f>F534+H534+J534</f>
        <v>0</v>
      </c>
      <c r="M534" s="215" t="s">
        <v>68</v>
      </c>
      <c r="N534" s="212" t="s">
        <v>68</v>
      </c>
      <c r="O534" s="212"/>
      <c r="P534" s="212" t="s">
        <v>1095</v>
      </c>
      <c r="Q534" s="212" t="s">
        <v>68</v>
      </c>
      <c r="R534" s="212" t="s">
        <v>2073</v>
      </c>
      <c r="S534" s="212"/>
      <c r="T534" s="212"/>
      <c r="U534" s="212"/>
      <c r="V534" s="212"/>
      <c r="W534" s="212"/>
      <c r="X534" s="212"/>
      <c r="Y534" s="212"/>
      <c r="Z534" s="212"/>
      <c r="AA534" s="212"/>
      <c r="AB534" s="212"/>
      <c r="AC534" s="212"/>
      <c r="AD534" s="212"/>
      <c r="AE534" s="212"/>
      <c r="AF534" s="212"/>
      <c r="AG534" s="212"/>
      <c r="AH534" s="212"/>
      <c r="AI534" s="212"/>
      <c r="AJ534" s="212"/>
      <c r="AK534" s="212"/>
      <c r="AL534" s="212"/>
      <c r="AM534" s="212"/>
      <c r="AN534" s="212"/>
      <c r="AO534" s="212"/>
      <c r="AP534" s="212"/>
      <c r="AQ534" s="212"/>
      <c r="AR534" s="212"/>
      <c r="AS534" s="212"/>
      <c r="AT534" s="212"/>
      <c r="AU534" s="212"/>
      <c r="AV534" s="212"/>
      <c r="AW534" s="212"/>
      <c r="AX534" s="212"/>
      <c r="AY534" s="212"/>
      <c r="AZ534" s="212"/>
      <c r="BA534" s="212"/>
      <c r="BB534" s="212"/>
      <c r="BC534" s="212"/>
      <c r="BD534" s="212"/>
      <c r="BE534" s="212"/>
      <c r="BF534" s="212"/>
      <c r="BG534" s="212"/>
      <c r="BH534" s="212"/>
      <c r="BI534" s="231" t="str">
        <f>HYPERLINK("#자재조서!A7","M0131019 →")</f>
        <v>M0131019 →</v>
      </c>
    </row>
    <row r="535" spans="1:61" ht="24" customHeight="1">
      <c r="A535" s="218" t="s">
        <v>1935</v>
      </c>
      <c r="B535" s="218" t="s">
        <v>1754</v>
      </c>
      <c r="C535" s="229">
        <v>3.2000000000000001E-2</v>
      </c>
      <c r="D535" s="213" t="s">
        <v>16</v>
      </c>
      <c r="E535" s="217">
        <f>일위목록!E67</f>
        <v>0</v>
      </c>
      <c r="F535" s="217">
        <f>TRUNC(E535*C535,0)</f>
        <v>0</v>
      </c>
      <c r="G535" s="217">
        <f>일위목록!F67</f>
        <v>0</v>
      </c>
      <c r="H535" s="217">
        <f>TRUNC(G535*C535,0)</f>
        <v>0</v>
      </c>
      <c r="I535" s="217">
        <f>일위목록!G67</f>
        <v>0</v>
      </c>
      <c r="J535" s="217">
        <f>TRUNC(I535*C535,0)</f>
        <v>0</v>
      </c>
      <c r="K535" s="217">
        <f>E535+G535+I535</f>
        <v>0</v>
      </c>
      <c r="L535" s="217">
        <f>F535+H535+J535</f>
        <v>0</v>
      </c>
      <c r="M535" s="215" t="s">
        <v>68</v>
      </c>
      <c r="N535" s="212" t="s">
        <v>68</v>
      </c>
      <c r="O535" s="212"/>
      <c r="P535" s="212" t="s">
        <v>1098</v>
      </c>
      <c r="Q535" s="212" t="s">
        <v>68</v>
      </c>
      <c r="R535" s="212" t="s">
        <v>1755</v>
      </c>
      <c r="S535" s="212"/>
      <c r="T535" s="212" t="s">
        <v>1129</v>
      </c>
      <c r="U535" s="212"/>
      <c r="V535" s="212"/>
      <c r="W535" s="212"/>
      <c r="X535" s="212"/>
      <c r="Y535" s="212"/>
      <c r="Z535" s="212"/>
      <c r="AA535" s="212"/>
      <c r="AB535" s="212"/>
      <c r="AC535" s="212"/>
      <c r="AD535" s="212"/>
      <c r="AE535" s="212"/>
      <c r="AF535" s="212"/>
      <c r="AG535" s="212"/>
      <c r="AH535" s="212"/>
      <c r="AI535" s="212"/>
      <c r="AJ535" s="212"/>
      <c r="AK535" s="212"/>
      <c r="AL535" s="212"/>
      <c r="AM535" s="212"/>
      <c r="AN535" s="212"/>
      <c r="AO535" s="212"/>
      <c r="AP535" s="212"/>
      <c r="AQ535" s="212"/>
      <c r="AR535" s="212"/>
      <c r="AS535" s="212"/>
      <c r="AT535" s="212"/>
      <c r="AU535" s="212"/>
      <c r="AV535" s="212"/>
      <c r="AW535" s="212"/>
      <c r="AX535" s="212"/>
      <c r="AY535" s="212"/>
      <c r="AZ535" s="212"/>
      <c r="BA535" s="212"/>
      <c r="BB535" s="212"/>
      <c r="BC535" s="212"/>
      <c r="BD535" s="212"/>
      <c r="BE535" s="212"/>
      <c r="BF535" s="212"/>
      <c r="BG535" s="212"/>
      <c r="BH535" s="212"/>
      <c r="BI535" s="231" t="str">
        <f>HYPERLINK("#일위대가목록!A67","P8-3-1/6 →")</f>
        <v>P8-3-1/6 →</v>
      </c>
    </row>
    <row r="536" spans="1:61" ht="24" customHeight="1">
      <c r="A536" s="215"/>
      <c r="B536" s="215"/>
      <c r="C536" s="229"/>
      <c r="D536" s="213"/>
      <c r="E536" s="213"/>
      <c r="F536" s="213"/>
      <c r="G536" s="213"/>
      <c r="H536" s="213"/>
      <c r="I536" s="213"/>
      <c r="J536" s="213"/>
      <c r="K536" s="213"/>
      <c r="L536" s="213"/>
      <c r="M536" s="215"/>
      <c r="N536" s="212"/>
      <c r="O536" s="212"/>
      <c r="P536" s="212"/>
      <c r="Q536" s="212"/>
      <c r="R536" s="212"/>
      <c r="S536" s="212"/>
      <c r="T536" s="212"/>
      <c r="U536" s="212"/>
      <c r="V536" s="212"/>
      <c r="W536" s="212"/>
      <c r="X536" s="212"/>
      <c r="Y536" s="212"/>
      <c r="Z536" s="212"/>
      <c r="AA536" s="212"/>
      <c r="AB536" s="212"/>
      <c r="AC536" s="212"/>
      <c r="AD536" s="212"/>
      <c r="AE536" s="212"/>
      <c r="AF536" s="212"/>
      <c r="AG536" s="212"/>
      <c r="AH536" s="212"/>
      <c r="AI536" s="212"/>
      <c r="AJ536" s="212"/>
      <c r="AK536" s="212"/>
      <c r="AL536" s="212"/>
      <c r="AM536" s="212"/>
      <c r="AN536" s="212"/>
      <c r="AO536" s="212"/>
      <c r="AP536" s="212"/>
      <c r="AQ536" s="212"/>
      <c r="AR536" s="212"/>
      <c r="AS536" s="212"/>
      <c r="AT536" s="212"/>
      <c r="AU536" s="212"/>
      <c r="AV536" s="212"/>
      <c r="AW536" s="212"/>
      <c r="AX536" s="212"/>
      <c r="AY536" s="212"/>
      <c r="AZ536" s="212"/>
      <c r="BA536" s="212"/>
      <c r="BB536" s="212"/>
      <c r="BC536" s="212"/>
      <c r="BD536" s="212"/>
      <c r="BE536" s="212"/>
      <c r="BF536" s="212"/>
      <c r="BG536" s="212"/>
      <c r="BH536" s="212"/>
      <c r="BI536" s="212"/>
    </row>
    <row r="537" spans="1:61" ht="24" customHeight="1">
      <c r="A537" s="218" t="s">
        <v>2265</v>
      </c>
      <c r="B537" s="218" t="s">
        <v>1337</v>
      </c>
      <c r="C537" s="228">
        <v>1</v>
      </c>
      <c r="D537" s="213" t="s">
        <v>437</v>
      </c>
      <c r="E537" s="212"/>
      <c r="F537" s="217">
        <f>TRUNC(F538+F539+F540,0)</f>
        <v>0</v>
      </c>
      <c r="G537" s="212"/>
      <c r="H537" s="217">
        <f>TRUNC(H538+H539+H540,0)</f>
        <v>0</v>
      </c>
      <c r="I537" s="212"/>
      <c r="J537" s="217">
        <f>TRUNC(J538+J539+J540,0)</f>
        <v>0</v>
      </c>
      <c r="K537" s="212"/>
      <c r="L537" s="217">
        <f>F537+H537+J537</f>
        <v>0</v>
      </c>
      <c r="M537" s="215" t="s">
        <v>68</v>
      </c>
      <c r="N537" s="212" t="s">
        <v>68</v>
      </c>
      <c r="O537" s="212" t="s">
        <v>1338</v>
      </c>
      <c r="P537" s="212"/>
      <c r="Q537" s="212"/>
      <c r="R537" s="212"/>
      <c r="S537" s="212"/>
      <c r="T537" s="212"/>
      <c r="U537" s="212"/>
      <c r="V537" s="212"/>
      <c r="W537" s="212"/>
      <c r="X537" s="212"/>
      <c r="Y537" s="212"/>
      <c r="Z537" s="212"/>
      <c r="AA537" s="212"/>
      <c r="AB537" s="212"/>
      <c r="AC537" s="212"/>
      <c r="AD537" s="212"/>
      <c r="AE537" s="212"/>
      <c r="AF537" s="212"/>
      <c r="AG537" s="212"/>
      <c r="AH537" s="212"/>
      <c r="AI537" s="212"/>
      <c r="AJ537" s="212"/>
      <c r="AK537" s="212"/>
      <c r="AL537" s="212"/>
      <c r="AM537" s="212"/>
      <c r="AN537" s="212"/>
      <c r="AO537" s="212"/>
      <c r="AP537" s="212"/>
      <c r="AQ537" s="212"/>
      <c r="AR537" s="212"/>
      <c r="AS537" s="212"/>
      <c r="AT537" s="212"/>
      <c r="AU537" s="212"/>
      <c r="AV537" s="212"/>
      <c r="AW537" s="212"/>
      <c r="AX537" s="212"/>
      <c r="AY537" s="212"/>
      <c r="AZ537" s="212"/>
      <c r="BA537" s="212"/>
      <c r="BB537" s="212"/>
      <c r="BC537" s="212"/>
      <c r="BD537" s="212"/>
      <c r="BE537" s="212"/>
      <c r="BF537" s="212"/>
      <c r="BG537" s="212"/>
      <c r="BH537" s="212"/>
      <c r="BI537" s="212"/>
    </row>
    <row r="538" spans="1:61" ht="24" customHeight="1">
      <c r="A538" s="218" t="s">
        <v>2266</v>
      </c>
      <c r="B538" s="218" t="s">
        <v>2267</v>
      </c>
      <c r="C538" s="229">
        <v>5.1999999999999998E-2</v>
      </c>
      <c r="D538" s="213" t="s">
        <v>1932</v>
      </c>
      <c r="E538" s="217">
        <f>자재조서!E9</f>
        <v>0</v>
      </c>
      <c r="F538" s="217">
        <f>TRUNC(E538*C538,0)</f>
        <v>0</v>
      </c>
      <c r="G538" s="217">
        <v>0</v>
      </c>
      <c r="H538" s="217"/>
      <c r="I538" s="217">
        <v>0</v>
      </c>
      <c r="J538" s="217"/>
      <c r="K538" s="217">
        <f>E538+G538+I538</f>
        <v>0</v>
      </c>
      <c r="L538" s="217">
        <f>F538+H538+J538</f>
        <v>0</v>
      </c>
      <c r="M538" s="215" t="s">
        <v>68</v>
      </c>
      <c r="N538" s="212" t="s">
        <v>2268</v>
      </c>
      <c r="O538" s="212"/>
      <c r="P538" s="212" t="s">
        <v>1095</v>
      </c>
      <c r="Q538" s="212" t="s">
        <v>68</v>
      </c>
      <c r="R538" s="212" t="s">
        <v>2269</v>
      </c>
      <c r="S538" s="212"/>
      <c r="T538" s="212"/>
      <c r="U538" s="212"/>
      <c r="V538" s="212"/>
      <c r="W538" s="212"/>
      <c r="X538" s="212"/>
      <c r="Y538" s="212"/>
      <c r="Z538" s="212"/>
      <c r="AA538" s="212"/>
      <c r="AB538" s="212"/>
      <c r="AC538" s="212"/>
      <c r="AD538" s="212"/>
      <c r="AE538" s="212"/>
      <c r="AF538" s="212"/>
      <c r="AG538" s="212"/>
      <c r="AH538" s="212"/>
      <c r="AI538" s="212"/>
      <c r="AJ538" s="212"/>
      <c r="AK538" s="212"/>
      <c r="AL538" s="212"/>
      <c r="AM538" s="212"/>
      <c r="AN538" s="212"/>
      <c r="AO538" s="212"/>
      <c r="AP538" s="212"/>
      <c r="AQ538" s="212"/>
      <c r="AR538" s="212"/>
      <c r="AS538" s="212"/>
      <c r="AT538" s="212"/>
      <c r="AU538" s="212"/>
      <c r="AV538" s="212"/>
      <c r="AW538" s="212"/>
      <c r="AX538" s="212"/>
      <c r="AY538" s="212"/>
      <c r="AZ538" s="212"/>
      <c r="BA538" s="212"/>
      <c r="BB538" s="212"/>
      <c r="BC538" s="212"/>
      <c r="BD538" s="212"/>
      <c r="BE538" s="212"/>
      <c r="BF538" s="212"/>
      <c r="BG538" s="212"/>
      <c r="BH538" s="212"/>
      <c r="BI538" s="231" t="str">
        <f>HYPERLINK("#자재조서!A9","M0195024 →")</f>
        <v>M0195024 →</v>
      </c>
    </row>
    <row r="539" spans="1:61" ht="24" customHeight="1">
      <c r="A539" s="218" t="s">
        <v>2089</v>
      </c>
      <c r="B539" s="218" t="s">
        <v>2090</v>
      </c>
      <c r="C539" s="229">
        <v>3.31</v>
      </c>
      <c r="D539" s="213" t="s">
        <v>9</v>
      </c>
      <c r="E539" s="217">
        <f>자재조서!E33</f>
        <v>0</v>
      </c>
      <c r="F539" s="217">
        <f>TRUNC(E539*C539,0)</f>
        <v>0</v>
      </c>
      <c r="G539" s="217">
        <v>0</v>
      </c>
      <c r="H539" s="217"/>
      <c r="I539" s="217">
        <v>0</v>
      </c>
      <c r="J539" s="217"/>
      <c r="K539" s="217">
        <f>E539+G539+I539</f>
        <v>0</v>
      </c>
      <c r="L539" s="217">
        <f>F539+H539+J539</f>
        <v>0</v>
      </c>
      <c r="M539" s="215" t="s">
        <v>68</v>
      </c>
      <c r="N539" s="212" t="s">
        <v>68</v>
      </c>
      <c r="O539" s="212"/>
      <c r="P539" s="212" t="s">
        <v>1098</v>
      </c>
      <c r="Q539" s="212" t="s">
        <v>68</v>
      </c>
      <c r="R539" s="212" t="s">
        <v>2091</v>
      </c>
      <c r="S539" s="212"/>
      <c r="T539" s="212"/>
      <c r="U539" s="212"/>
      <c r="V539" s="212"/>
      <c r="W539" s="212"/>
      <c r="X539" s="212"/>
      <c r="Y539" s="212"/>
      <c r="Z539" s="212"/>
      <c r="AA539" s="212"/>
      <c r="AB539" s="212"/>
      <c r="AC539" s="212"/>
      <c r="AD539" s="212"/>
      <c r="AE539" s="212"/>
      <c r="AF539" s="212"/>
      <c r="AG539" s="212"/>
      <c r="AH539" s="212"/>
      <c r="AI539" s="212"/>
      <c r="AJ539" s="212"/>
      <c r="AK539" s="212"/>
      <c r="AL539" s="212"/>
      <c r="AM539" s="212"/>
      <c r="AN539" s="212"/>
      <c r="AO539" s="212"/>
      <c r="AP539" s="212"/>
      <c r="AQ539" s="212"/>
      <c r="AR539" s="212"/>
      <c r="AS539" s="212"/>
      <c r="AT539" s="212"/>
      <c r="AU539" s="212"/>
      <c r="AV539" s="212"/>
      <c r="AW539" s="212"/>
      <c r="AX539" s="212"/>
      <c r="AY539" s="212"/>
      <c r="AZ539" s="212"/>
      <c r="BA539" s="212"/>
      <c r="BB539" s="212"/>
      <c r="BC539" s="212"/>
      <c r="BD539" s="212"/>
      <c r="BE539" s="212"/>
      <c r="BF539" s="212"/>
      <c r="BG539" s="212"/>
      <c r="BH539" s="212"/>
      <c r="BI539" s="231" t="str">
        <f>HYPERLINK("#자재조서!A33","MVP1003 →")</f>
        <v>MVP1003 →</v>
      </c>
    </row>
    <row r="540" spans="1:61" ht="24" customHeight="1">
      <c r="A540" s="218" t="s">
        <v>1935</v>
      </c>
      <c r="B540" s="218" t="s">
        <v>1754</v>
      </c>
      <c r="C540" s="229">
        <v>5.1999999999999998E-2</v>
      </c>
      <c r="D540" s="213" t="s">
        <v>16</v>
      </c>
      <c r="E540" s="217">
        <f>일위목록!E67</f>
        <v>0</v>
      </c>
      <c r="F540" s="217">
        <f>TRUNC(E540*C540,0)</f>
        <v>0</v>
      </c>
      <c r="G540" s="217">
        <f>일위목록!F67</f>
        <v>0</v>
      </c>
      <c r="H540" s="217">
        <f>TRUNC(G540*C540,0)</f>
        <v>0</v>
      </c>
      <c r="I540" s="217">
        <f>일위목록!G67</f>
        <v>0</v>
      </c>
      <c r="J540" s="217">
        <f>TRUNC(I540*C540,0)</f>
        <v>0</v>
      </c>
      <c r="K540" s="217">
        <f>E540+G540+I540</f>
        <v>0</v>
      </c>
      <c r="L540" s="217">
        <f>F540+H540+J540</f>
        <v>0</v>
      </c>
      <c r="M540" s="215" t="s">
        <v>68</v>
      </c>
      <c r="N540" s="212" t="s">
        <v>68</v>
      </c>
      <c r="O540" s="212"/>
      <c r="P540" s="212" t="s">
        <v>1101</v>
      </c>
      <c r="Q540" s="212" t="s">
        <v>68</v>
      </c>
      <c r="R540" s="212" t="s">
        <v>1755</v>
      </c>
      <c r="S540" s="212"/>
      <c r="T540" s="212" t="s">
        <v>1129</v>
      </c>
      <c r="U540" s="212"/>
      <c r="V540" s="212"/>
      <c r="W540" s="212"/>
      <c r="X540" s="212"/>
      <c r="Y540" s="212"/>
      <c r="Z540" s="212"/>
      <c r="AA540" s="212"/>
      <c r="AB540" s="212"/>
      <c r="AC540" s="212"/>
      <c r="AD540" s="212"/>
      <c r="AE540" s="212"/>
      <c r="AF540" s="212"/>
      <c r="AG540" s="212"/>
      <c r="AH540" s="212"/>
      <c r="AI540" s="212"/>
      <c r="AJ540" s="212"/>
      <c r="AK540" s="212"/>
      <c r="AL540" s="212"/>
      <c r="AM540" s="212"/>
      <c r="AN540" s="212"/>
      <c r="AO540" s="212"/>
      <c r="AP540" s="212"/>
      <c r="AQ540" s="212"/>
      <c r="AR540" s="212"/>
      <c r="AS540" s="212"/>
      <c r="AT540" s="212"/>
      <c r="AU540" s="212"/>
      <c r="AV540" s="212"/>
      <c r="AW540" s="212"/>
      <c r="AX540" s="212"/>
      <c r="AY540" s="212"/>
      <c r="AZ540" s="212"/>
      <c r="BA540" s="212"/>
      <c r="BB540" s="212"/>
      <c r="BC540" s="212"/>
      <c r="BD540" s="212"/>
      <c r="BE540" s="212"/>
      <c r="BF540" s="212"/>
      <c r="BG540" s="212"/>
      <c r="BH540" s="212"/>
      <c r="BI540" s="231" t="str">
        <f>HYPERLINK("#일위대가목록!A67","P8-3-1/6 →")</f>
        <v>P8-3-1/6 →</v>
      </c>
    </row>
    <row r="541" spans="1:61" ht="24" customHeight="1">
      <c r="A541" s="215"/>
      <c r="B541" s="215"/>
      <c r="C541" s="229"/>
      <c r="D541" s="213"/>
      <c r="E541" s="213"/>
      <c r="F541" s="213"/>
      <c r="G541" s="213"/>
      <c r="H541" s="213"/>
      <c r="I541" s="213"/>
      <c r="J541" s="213"/>
      <c r="K541" s="213"/>
      <c r="L541" s="213"/>
      <c r="M541" s="215"/>
      <c r="N541" s="212"/>
      <c r="O541" s="212"/>
      <c r="P541" s="212"/>
      <c r="Q541" s="212"/>
      <c r="R541" s="212"/>
      <c r="S541" s="212"/>
      <c r="T541" s="212"/>
      <c r="U541" s="212"/>
      <c r="V541" s="212"/>
      <c r="W541" s="212"/>
      <c r="X541" s="212"/>
      <c r="Y541" s="212"/>
      <c r="Z541" s="212"/>
      <c r="AA541" s="212"/>
      <c r="AB541" s="212"/>
      <c r="AC541" s="212"/>
      <c r="AD541" s="212"/>
      <c r="AE541" s="212"/>
      <c r="AF541" s="212"/>
      <c r="AG541" s="212"/>
      <c r="AH541" s="212"/>
      <c r="AI541" s="212"/>
      <c r="AJ541" s="212"/>
      <c r="AK541" s="212"/>
      <c r="AL541" s="212"/>
      <c r="AM541" s="212"/>
      <c r="AN541" s="212"/>
      <c r="AO541" s="212"/>
      <c r="AP541" s="212"/>
      <c r="AQ541" s="212"/>
      <c r="AR541" s="212"/>
      <c r="AS541" s="212"/>
      <c r="AT541" s="212"/>
      <c r="AU541" s="212"/>
      <c r="AV541" s="212"/>
      <c r="AW541" s="212"/>
      <c r="AX541" s="212"/>
      <c r="AY541" s="212"/>
      <c r="AZ541" s="212"/>
      <c r="BA541" s="212"/>
      <c r="BB541" s="212"/>
      <c r="BC541" s="212"/>
      <c r="BD541" s="212"/>
      <c r="BE541" s="212"/>
      <c r="BF541" s="212"/>
      <c r="BG541" s="212"/>
      <c r="BH541" s="212"/>
      <c r="BI541" s="212"/>
    </row>
    <row r="542" spans="1:61" ht="24" customHeight="1">
      <c r="A542" s="218" t="s">
        <v>2270</v>
      </c>
      <c r="B542" s="218" t="s">
        <v>1340</v>
      </c>
      <c r="C542" s="228">
        <v>1</v>
      </c>
      <c r="D542" s="213" t="s">
        <v>437</v>
      </c>
      <c r="E542" s="212"/>
      <c r="F542" s="217">
        <f>TRUNC(F543+F544+F545,0)</f>
        <v>0</v>
      </c>
      <c r="G542" s="212"/>
      <c r="H542" s="217">
        <f>TRUNC(H543+H544+H545,0)</f>
        <v>0</v>
      </c>
      <c r="I542" s="212"/>
      <c r="J542" s="217">
        <f>TRUNC(J543+J544+J545,0)</f>
        <v>0</v>
      </c>
      <c r="K542" s="212"/>
      <c r="L542" s="217">
        <f>F542+H542+J542</f>
        <v>0</v>
      </c>
      <c r="M542" s="215" t="s">
        <v>68</v>
      </c>
      <c r="N542" s="212" t="s">
        <v>68</v>
      </c>
      <c r="O542" s="212" t="s">
        <v>1342</v>
      </c>
      <c r="P542" s="212"/>
      <c r="Q542" s="212"/>
      <c r="R542" s="212"/>
      <c r="S542" s="212"/>
      <c r="T542" s="212"/>
      <c r="U542" s="212"/>
      <c r="V542" s="212"/>
      <c r="W542" s="212"/>
      <c r="X542" s="212"/>
      <c r="Y542" s="212"/>
      <c r="Z542" s="212"/>
      <c r="AA542" s="212"/>
      <c r="AB542" s="212"/>
      <c r="AC542" s="212"/>
      <c r="AD542" s="212"/>
      <c r="AE542" s="212"/>
      <c r="AF542" s="212"/>
      <c r="AG542" s="212"/>
      <c r="AH542" s="212"/>
      <c r="AI542" s="212"/>
      <c r="AJ542" s="212"/>
      <c r="AK542" s="212"/>
      <c r="AL542" s="212"/>
      <c r="AM542" s="212"/>
      <c r="AN542" s="212"/>
      <c r="AO542" s="212"/>
      <c r="AP542" s="212"/>
      <c r="AQ542" s="212"/>
      <c r="AR542" s="212"/>
      <c r="AS542" s="212"/>
      <c r="AT542" s="212"/>
      <c r="AU542" s="212"/>
      <c r="AV542" s="212"/>
      <c r="AW542" s="212"/>
      <c r="AX542" s="212"/>
      <c r="AY542" s="212"/>
      <c r="AZ542" s="212"/>
      <c r="BA542" s="212"/>
      <c r="BB542" s="212"/>
      <c r="BC542" s="212"/>
      <c r="BD542" s="212"/>
      <c r="BE542" s="212"/>
      <c r="BF542" s="212"/>
      <c r="BG542" s="212"/>
      <c r="BH542" s="212"/>
      <c r="BI542" s="212"/>
    </row>
    <row r="543" spans="1:61" ht="24" customHeight="1">
      <c r="A543" s="218" t="s">
        <v>2266</v>
      </c>
      <c r="B543" s="218" t="s">
        <v>2267</v>
      </c>
      <c r="C543" s="229">
        <v>2.8000000000000001E-2</v>
      </c>
      <c r="D543" s="213" t="s">
        <v>1932</v>
      </c>
      <c r="E543" s="217">
        <f>자재조서!E9</f>
        <v>0</v>
      </c>
      <c r="F543" s="217">
        <f>TRUNC(E543*C543,0)</f>
        <v>0</v>
      </c>
      <c r="G543" s="217">
        <v>0</v>
      </c>
      <c r="H543" s="217"/>
      <c r="I543" s="217">
        <v>0</v>
      </c>
      <c r="J543" s="217"/>
      <c r="K543" s="217">
        <f>E543+G543+I543</f>
        <v>0</v>
      </c>
      <c r="L543" s="217">
        <f>F543+H543+J543</f>
        <v>0</v>
      </c>
      <c r="M543" s="215" t="s">
        <v>68</v>
      </c>
      <c r="N543" s="212" t="s">
        <v>2268</v>
      </c>
      <c r="O543" s="212"/>
      <c r="P543" s="212" t="s">
        <v>1095</v>
      </c>
      <c r="Q543" s="212" t="s">
        <v>68</v>
      </c>
      <c r="R543" s="212" t="s">
        <v>2269</v>
      </c>
      <c r="S543" s="212"/>
      <c r="T543" s="212"/>
      <c r="U543" s="212"/>
      <c r="V543" s="212"/>
      <c r="W543" s="212"/>
      <c r="X543" s="212"/>
      <c r="Y543" s="212"/>
      <c r="Z543" s="212"/>
      <c r="AA543" s="212"/>
      <c r="AB543" s="212"/>
      <c r="AC543" s="212"/>
      <c r="AD543" s="212"/>
      <c r="AE543" s="212"/>
      <c r="AF543" s="212"/>
      <c r="AG543" s="212"/>
      <c r="AH543" s="212"/>
      <c r="AI543" s="212"/>
      <c r="AJ543" s="212"/>
      <c r="AK543" s="212"/>
      <c r="AL543" s="212"/>
      <c r="AM543" s="212"/>
      <c r="AN543" s="212"/>
      <c r="AO543" s="212"/>
      <c r="AP543" s="212"/>
      <c r="AQ543" s="212"/>
      <c r="AR543" s="212"/>
      <c r="AS543" s="212"/>
      <c r="AT543" s="212"/>
      <c r="AU543" s="212"/>
      <c r="AV543" s="212"/>
      <c r="AW543" s="212"/>
      <c r="AX543" s="212"/>
      <c r="AY543" s="212"/>
      <c r="AZ543" s="212"/>
      <c r="BA543" s="212"/>
      <c r="BB543" s="212"/>
      <c r="BC543" s="212"/>
      <c r="BD543" s="212"/>
      <c r="BE543" s="212"/>
      <c r="BF543" s="212"/>
      <c r="BG543" s="212"/>
      <c r="BH543" s="212"/>
      <c r="BI543" s="231" t="str">
        <f>HYPERLINK("#자재조서!A9","M0195024 →")</f>
        <v>M0195024 →</v>
      </c>
    </row>
    <row r="544" spans="1:61" ht="24" customHeight="1">
      <c r="A544" s="218" t="s">
        <v>2089</v>
      </c>
      <c r="B544" s="218" t="s">
        <v>2090</v>
      </c>
      <c r="C544" s="229">
        <v>1.74</v>
      </c>
      <c r="D544" s="213" t="s">
        <v>9</v>
      </c>
      <c r="E544" s="217">
        <f>자재조서!E33</f>
        <v>0</v>
      </c>
      <c r="F544" s="217">
        <f>TRUNC(E544*C544,0)</f>
        <v>0</v>
      </c>
      <c r="G544" s="217">
        <v>0</v>
      </c>
      <c r="H544" s="217"/>
      <c r="I544" s="217">
        <v>0</v>
      </c>
      <c r="J544" s="217"/>
      <c r="K544" s="217">
        <f>E544+G544+I544</f>
        <v>0</v>
      </c>
      <c r="L544" s="217">
        <f>F544+H544+J544</f>
        <v>0</v>
      </c>
      <c r="M544" s="215" t="s">
        <v>68</v>
      </c>
      <c r="N544" s="212" t="s">
        <v>68</v>
      </c>
      <c r="O544" s="212"/>
      <c r="P544" s="212" t="s">
        <v>1098</v>
      </c>
      <c r="Q544" s="212" t="s">
        <v>68</v>
      </c>
      <c r="R544" s="212" t="s">
        <v>2091</v>
      </c>
      <c r="S544" s="212"/>
      <c r="T544" s="212"/>
      <c r="U544" s="212"/>
      <c r="V544" s="212"/>
      <c r="W544" s="212"/>
      <c r="X544" s="212"/>
      <c r="Y544" s="212"/>
      <c r="Z544" s="212"/>
      <c r="AA544" s="212"/>
      <c r="AB544" s="212"/>
      <c r="AC544" s="212"/>
      <c r="AD544" s="212"/>
      <c r="AE544" s="212"/>
      <c r="AF544" s="212"/>
      <c r="AG544" s="212"/>
      <c r="AH544" s="212"/>
      <c r="AI544" s="212"/>
      <c r="AJ544" s="212"/>
      <c r="AK544" s="212"/>
      <c r="AL544" s="212"/>
      <c r="AM544" s="212"/>
      <c r="AN544" s="212"/>
      <c r="AO544" s="212"/>
      <c r="AP544" s="212"/>
      <c r="AQ544" s="212"/>
      <c r="AR544" s="212"/>
      <c r="AS544" s="212"/>
      <c r="AT544" s="212"/>
      <c r="AU544" s="212"/>
      <c r="AV544" s="212"/>
      <c r="AW544" s="212"/>
      <c r="AX544" s="212"/>
      <c r="AY544" s="212"/>
      <c r="AZ544" s="212"/>
      <c r="BA544" s="212"/>
      <c r="BB544" s="212"/>
      <c r="BC544" s="212"/>
      <c r="BD544" s="212"/>
      <c r="BE544" s="212"/>
      <c r="BF544" s="212"/>
      <c r="BG544" s="212"/>
      <c r="BH544" s="212"/>
      <c r="BI544" s="231" t="str">
        <f>HYPERLINK("#자재조서!A33","MVP1003 →")</f>
        <v>MVP1003 →</v>
      </c>
    </row>
    <row r="545" spans="1:61" ht="24" customHeight="1">
      <c r="A545" s="218" t="s">
        <v>1935</v>
      </c>
      <c r="B545" s="218" t="s">
        <v>1754</v>
      </c>
      <c r="C545" s="229">
        <v>2.8000000000000001E-2</v>
      </c>
      <c r="D545" s="213" t="s">
        <v>16</v>
      </c>
      <c r="E545" s="217">
        <f>일위목록!E67</f>
        <v>0</v>
      </c>
      <c r="F545" s="217">
        <f>TRUNC(E545*C545,0)</f>
        <v>0</v>
      </c>
      <c r="G545" s="217">
        <f>일위목록!F67</f>
        <v>0</v>
      </c>
      <c r="H545" s="217">
        <f>TRUNC(G545*C545,0)</f>
        <v>0</v>
      </c>
      <c r="I545" s="217">
        <f>일위목록!G67</f>
        <v>0</v>
      </c>
      <c r="J545" s="217">
        <f>TRUNC(I545*C545,0)</f>
        <v>0</v>
      </c>
      <c r="K545" s="217">
        <f>E545+G545+I545</f>
        <v>0</v>
      </c>
      <c r="L545" s="217">
        <f>F545+H545+J545</f>
        <v>0</v>
      </c>
      <c r="M545" s="215" t="s">
        <v>68</v>
      </c>
      <c r="N545" s="212" t="s">
        <v>68</v>
      </c>
      <c r="O545" s="212"/>
      <c r="P545" s="212" t="s">
        <v>1101</v>
      </c>
      <c r="Q545" s="212" t="s">
        <v>68</v>
      </c>
      <c r="R545" s="212" t="s">
        <v>1755</v>
      </c>
      <c r="S545" s="212"/>
      <c r="T545" s="212" t="s">
        <v>1129</v>
      </c>
      <c r="U545" s="212"/>
      <c r="V545" s="212"/>
      <c r="W545" s="212"/>
      <c r="X545" s="212"/>
      <c r="Y545" s="212"/>
      <c r="Z545" s="212"/>
      <c r="AA545" s="212"/>
      <c r="AB545" s="212"/>
      <c r="AC545" s="212"/>
      <c r="AD545" s="212"/>
      <c r="AE545" s="212"/>
      <c r="AF545" s="212"/>
      <c r="AG545" s="212"/>
      <c r="AH545" s="212"/>
      <c r="AI545" s="212"/>
      <c r="AJ545" s="212"/>
      <c r="AK545" s="212"/>
      <c r="AL545" s="212"/>
      <c r="AM545" s="212"/>
      <c r="AN545" s="212"/>
      <c r="AO545" s="212"/>
      <c r="AP545" s="212"/>
      <c r="AQ545" s="212"/>
      <c r="AR545" s="212"/>
      <c r="AS545" s="212"/>
      <c r="AT545" s="212"/>
      <c r="AU545" s="212"/>
      <c r="AV545" s="212"/>
      <c r="AW545" s="212"/>
      <c r="AX545" s="212"/>
      <c r="AY545" s="212"/>
      <c r="AZ545" s="212"/>
      <c r="BA545" s="212"/>
      <c r="BB545" s="212"/>
      <c r="BC545" s="212"/>
      <c r="BD545" s="212"/>
      <c r="BE545" s="212"/>
      <c r="BF545" s="212"/>
      <c r="BG545" s="212"/>
      <c r="BH545" s="212"/>
      <c r="BI545" s="231" t="str">
        <f>HYPERLINK("#일위대가목록!A67","P8-3-1/6 →")</f>
        <v>P8-3-1/6 →</v>
      </c>
    </row>
    <row r="546" spans="1:61" ht="24" customHeight="1">
      <c r="A546" s="215"/>
      <c r="B546" s="215"/>
      <c r="C546" s="229"/>
      <c r="D546" s="213"/>
      <c r="E546" s="213"/>
      <c r="F546" s="213"/>
      <c r="G546" s="213"/>
      <c r="H546" s="213"/>
      <c r="I546" s="213"/>
      <c r="J546" s="213"/>
      <c r="K546" s="213"/>
      <c r="L546" s="213"/>
      <c r="M546" s="215"/>
      <c r="N546" s="212"/>
      <c r="O546" s="212"/>
      <c r="P546" s="212"/>
      <c r="Q546" s="212"/>
      <c r="R546" s="212"/>
      <c r="S546" s="212"/>
      <c r="T546" s="212"/>
      <c r="U546" s="212"/>
      <c r="V546" s="212"/>
      <c r="W546" s="212"/>
      <c r="X546" s="212"/>
      <c r="Y546" s="212"/>
      <c r="Z546" s="212"/>
      <c r="AA546" s="212"/>
      <c r="AB546" s="212"/>
      <c r="AC546" s="212"/>
      <c r="AD546" s="212"/>
      <c r="AE546" s="212"/>
      <c r="AF546" s="212"/>
      <c r="AG546" s="212"/>
      <c r="AH546" s="212"/>
      <c r="AI546" s="212"/>
      <c r="AJ546" s="212"/>
      <c r="AK546" s="212"/>
      <c r="AL546" s="212"/>
      <c r="AM546" s="212"/>
      <c r="AN546" s="212"/>
      <c r="AO546" s="212"/>
      <c r="AP546" s="212"/>
      <c r="AQ546" s="212"/>
      <c r="AR546" s="212"/>
      <c r="AS546" s="212"/>
      <c r="AT546" s="212"/>
      <c r="AU546" s="212"/>
      <c r="AV546" s="212"/>
      <c r="AW546" s="212"/>
      <c r="AX546" s="212"/>
      <c r="AY546" s="212"/>
      <c r="AZ546" s="212"/>
      <c r="BA546" s="212"/>
      <c r="BB546" s="212"/>
      <c r="BC546" s="212"/>
      <c r="BD546" s="212"/>
      <c r="BE546" s="212"/>
      <c r="BF546" s="212"/>
      <c r="BG546" s="212"/>
      <c r="BH546" s="212"/>
      <c r="BI546" s="212"/>
    </row>
    <row r="547" spans="1:61" ht="24" customHeight="1">
      <c r="A547" s="218" t="s">
        <v>2271</v>
      </c>
      <c r="B547" s="218" t="s">
        <v>1295</v>
      </c>
      <c r="C547" s="228">
        <v>1</v>
      </c>
      <c r="D547" s="213" t="s">
        <v>9</v>
      </c>
      <c r="E547" s="212"/>
      <c r="F547" s="217">
        <f>TRUNC(F548+F549+F550+F551,0)</f>
        <v>0</v>
      </c>
      <c r="G547" s="212"/>
      <c r="H547" s="217">
        <f>TRUNC(H548+H549+H550+H551,0)</f>
        <v>0</v>
      </c>
      <c r="I547" s="212"/>
      <c r="J547" s="217">
        <f>TRUNC(J548+J549+J550+J551,0)</f>
        <v>0</v>
      </c>
      <c r="K547" s="212"/>
      <c r="L547" s="217">
        <f>F547+H547+J547</f>
        <v>0</v>
      </c>
      <c r="M547" s="215" t="s">
        <v>1798</v>
      </c>
      <c r="N547" s="212" t="s">
        <v>68</v>
      </c>
      <c r="O547" s="212" t="s">
        <v>1348</v>
      </c>
      <c r="P547" s="212"/>
      <c r="Q547" s="212"/>
      <c r="R547" s="212"/>
      <c r="S547" s="212"/>
      <c r="T547" s="212"/>
      <c r="U547" s="212"/>
      <c r="V547" s="212"/>
      <c r="W547" s="212"/>
      <c r="X547" s="212"/>
      <c r="Y547" s="212"/>
      <c r="Z547" s="212"/>
      <c r="AA547" s="212"/>
      <c r="AB547" s="212"/>
      <c r="AC547" s="212"/>
      <c r="AD547" s="212"/>
      <c r="AE547" s="212"/>
      <c r="AF547" s="212"/>
      <c r="AG547" s="212"/>
      <c r="AH547" s="212"/>
      <c r="AI547" s="212"/>
      <c r="AJ547" s="212"/>
      <c r="AK547" s="212"/>
      <c r="AL547" s="212"/>
      <c r="AM547" s="212"/>
      <c r="AN547" s="212"/>
      <c r="AO547" s="212"/>
      <c r="AP547" s="212"/>
      <c r="AQ547" s="212"/>
      <c r="AR547" s="212"/>
      <c r="AS547" s="212"/>
      <c r="AT547" s="212"/>
      <c r="AU547" s="212"/>
      <c r="AV547" s="212"/>
      <c r="AW547" s="212"/>
      <c r="AX547" s="212"/>
      <c r="AY547" s="212"/>
      <c r="AZ547" s="212"/>
      <c r="BA547" s="212"/>
      <c r="BB547" s="212"/>
      <c r="BC547" s="212"/>
      <c r="BD547" s="212"/>
      <c r="BE547" s="212"/>
      <c r="BF547" s="212"/>
      <c r="BG547" s="212"/>
      <c r="BH547" s="212"/>
      <c r="BI547" s="212"/>
    </row>
    <row r="548" spans="1:61" ht="24" customHeight="1">
      <c r="A548" s="218" t="s">
        <v>2158</v>
      </c>
      <c r="B548" s="218" t="s">
        <v>1946</v>
      </c>
      <c r="C548" s="229">
        <v>8.6999999999999994E-3</v>
      </c>
      <c r="D548" s="213" t="s">
        <v>1286</v>
      </c>
      <c r="E548" s="217">
        <v>0</v>
      </c>
      <c r="F548" s="217"/>
      <c r="G548" s="217">
        <f>노임!D17</f>
        <v>0</v>
      </c>
      <c r="H548" s="217">
        <f>TRUNC(G548*C548,0)</f>
        <v>0</v>
      </c>
      <c r="I548" s="217">
        <v>0</v>
      </c>
      <c r="J548" s="217"/>
      <c r="K548" s="217">
        <f>E548+G548+I548</f>
        <v>0</v>
      </c>
      <c r="L548" s="217">
        <f>F548+H548+J548</f>
        <v>0</v>
      </c>
      <c r="M548" s="215" t="s">
        <v>68</v>
      </c>
      <c r="N548" s="212" t="s">
        <v>68</v>
      </c>
      <c r="O548" s="212"/>
      <c r="P548" s="212" t="s">
        <v>1095</v>
      </c>
      <c r="Q548" s="212" t="s">
        <v>68</v>
      </c>
      <c r="R548" s="212" t="s">
        <v>2159</v>
      </c>
      <c r="S548" s="212"/>
      <c r="T548" s="212"/>
      <c r="U548" s="212"/>
      <c r="V548" s="212"/>
      <c r="W548" s="212"/>
      <c r="X548" s="212"/>
      <c r="Y548" s="212"/>
      <c r="Z548" s="212"/>
      <c r="AA548" s="212"/>
      <c r="AB548" s="212"/>
      <c r="AC548" s="212"/>
      <c r="AD548" s="212"/>
      <c r="AE548" s="212"/>
      <c r="AF548" s="212"/>
      <c r="AG548" s="212"/>
      <c r="AH548" s="212"/>
      <c r="AI548" s="212"/>
      <c r="AJ548" s="212"/>
      <c r="AK548" s="212"/>
      <c r="AL548" s="212"/>
      <c r="AM548" s="212"/>
      <c r="AN548" s="212"/>
      <c r="AO548" s="212"/>
      <c r="AP548" s="212"/>
      <c r="AQ548" s="212"/>
      <c r="AR548" s="212"/>
      <c r="AS548" s="212"/>
      <c r="AT548" s="212"/>
      <c r="AU548" s="212"/>
      <c r="AV548" s="212"/>
      <c r="AW548" s="212"/>
      <c r="AX548" s="212"/>
      <c r="AY548" s="212"/>
      <c r="AZ548" s="212"/>
      <c r="BA548" s="212"/>
      <c r="BB548" s="212"/>
      <c r="BC548" s="212"/>
      <c r="BD548" s="212"/>
      <c r="BE548" s="212"/>
      <c r="BF548" s="212"/>
      <c r="BG548" s="212"/>
      <c r="BH548" s="212"/>
      <c r="BI548" s="231" t="str">
        <f>HYPERLINK("#노임!A17","L001010101000029 →")</f>
        <v>L001010101000029 →</v>
      </c>
    </row>
    <row r="549" spans="1:61" ht="24" customHeight="1">
      <c r="A549" s="218" t="s">
        <v>1967</v>
      </c>
      <c r="B549" s="218" t="s">
        <v>1946</v>
      </c>
      <c r="C549" s="229">
        <v>4.3E-3</v>
      </c>
      <c r="D549" s="213" t="s">
        <v>1286</v>
      </c>
      <c r="E549" s="217">
        <v>0</v>
      </c>
      <c r="F549" s="217"/>
      <c r="G549" s="217">
        <f>노임!D3</f>
        <v>0</v>
      </c>
      <c r="H549" s="217">
        <f>TRUNC(G549*C549,0)</f>
        <v>0</v>
      </c>
      <c r="I549" s="217">
        <v>0</v>
      </c>
      <c r="J549" s="217"/>
      <c r="K549" s="217">
        <f>E549+G549+I549</f>
        <v>0</v>
      </c>
      <c r="L549" s="217">
        <f>F549+H549+J549</f>
        <v>0</v>
      </c>
      <c r="M549" s="215" t="s">
        <v>68</v>
      </c>
      <c r="N549" s="212" t="s">
        <v>68</v>
      </c>
      <c r="O549" s="212"/>
      <c r="P549" s="212" t="s">
        <v>1098</v>
      </c>
      <c r="Q549" s="212" t="s">
        <v>68</v>
      </c>
      <c r="R549" s="212" t="s">
        <v>1968</v>
      </c>
      <c r="S549" s="212"/>
      <c r="T549" s="212"/>
      <c r="U549" s="212"/>
      <c r="V549" s="212"/>
      <c r="W549" s="212"/>
      <c r="X549" s="212"/>
      <c r="Y549" s="212"/>
      <c r="Z549" s="212"/>
      <c r="AA549" s="220" t="s">
        <v>1955</v>
      </c>
      <c r="AB549" s="212">
        <f>(호표!H548+호표!H549)*0.03</f>
        <v>0</v>
      </c>
      <c r="AC549" s="220" t="s">
        <v>1956</v>
      </c>
      <c r="AD549" s="212">
        <f>$AB549</f>
        <v>0</v>
      </c>
      <c r="AE549" s="212"/>
      <c r="AF549" s="212"/>
      <c r="AG549" s="212"/>
      <c r="AH549" s="212"/>
      <c r="AI549" s="212"/>
      <c r="AJ549" s="212"/>
      <c r="AK549" s="212"/>
      <c r="AL549" s="212"/>
      <c r="AM549" s="212"/>
      <c r="AN549" s="212"/>
      <c r="AO549" s="212"/>
      <c r="AP549" s="212"/>
      <c r="AQ549" s="212"/>
      <c r="AR549" s="212"/>
      <c r="AS549" s="212"/>
      <c r="AT549" s="212"/>
      <c r="AU549" s="212"/>
      <c r="AV549" s="212"/>
      <c r="AW549" s="212"/>
      <c r="AX549" s="212"/>
      <c r="AY549" s="212"/>
      <c r="AZ549" s="212"/>
      <c r="BA549" s="212"/>
      <c r="BB549" s="212"/>
      <c r="BC549" s="212"/>
      <c r="BD549" s="212"/>
      <c r="BE549" s="212"/>
      <c r="BF549" s="212"/>
      <c r="BG549" s="212"/>
      <c r="BH549" s="212"/>
      <c r="BI549" s="231" t="str">
        <f>HYPERLINK("#노임!A3","L001010101000002 →")</f>
        <v>L001010101000002 →</v>
      </c>
    </row>
    <row r="550" spans="1:61" ht="24" customHeight="1">
      <c r="A550" s="218" t="s">
        <v>1948</v>
      </c>
      <c r="B550" s="218" t="s">
        <v>1949</v>
      </c>
      <c r="C550" s="228">
        <v>3</v>
      </c>
      <c r="D550" s="213" t="s">
        <v>1950</v>
      </c>
      <c r="E550" s="213"/>
      <c r="F550" s="217">
        <v>0</v>
      </c>
      <c r="G550" s="213"/>
      <c r="H550" s="217">
        <v>0</v>
      </c>
      <c r="I550" s="213"/>
      <c r="J550" s="217">
        <f>TRUNC(((H548+H549)*0.03),0)</f>
        <v>0</v>
      </c>
      <c r="K550" s="217">
        <f>E550+G550+I550</f>
        <v>0</v>
      </c>
      <c r="L550" s="217">
        <f>F550+H550+J550</f>
        <v>0</v>
      </c>
      <c r="M550" s="215" t="s">
        <v>68</v>
      </c>
      <c r="N550" s="212" t="s">
        <v>68</v>
      </c>
      <c r="O550" s="212"/>
      <c r="P550" s="212" t="s">
        <v>1101</v>
      </c>
      <c r="Q550" s="212" t="s">
        <v>68</v>
      </c>
      <c r="R550" s="212" t="s">
        <v>1121</v>
      </c>
      <c r="S550" s="212"/>
      <c r="T550" s="212"/>
      <c r="U550" s="212"/>
      <c r="V550" s="212"/>
      <c r="W550" s="212"/>
      <c r="X550" s="212" t="s">
        <v>2130</v>
      </c>
      <c r="Y550" s="212"/>
      <c r="Z550" s="212"/>
      <c r="AA550" s="220" t="s">
        <v>1123</v>
      </c>
      <c r="AB550" s="212">
        <f>(호표!H548+호표!H549)*0.2</f>
        <v>0</v>
      </c>
      <c r="AC550" s="220" t="s">
        <v>1124</v>
      </c>
      <c r="AD550" s="212">
        <f>$AB550</f>
        <v>0</v>
      </c>
      <c r="AE550" s="212"/>
      <c r="AF550" s="212"/>
      <c r="AG550" s="212"/>
      <c r="AH550" s="212"/>
      <c r="AI550" s="212"/>
      <c r="AJ550" s="212"/>
      <c r="AK550" s="212"/>
      <c r="AL550" s="212"/>
      <c r="AM550" s="212"/>
      <c r="AN550" s="212"/>
      <c r="AO550" s="212"/>
      <c r="AP550" s="212"/>
      <c r="AQ550" s="212"/>
      <c r="AR550" s="212"/>
      <c r="AS550" s="212"/>
      <c r="AT550" s="212"/>
      <c r="AU550" s="212"/>
      <c r="AV550" s="212"/>
      <c r="AW550" s="212"/>
      <c r="AX550" s="212"/>
      <c r="AY550" s="212"/>
      <c r="AZ550" s="212"/>
      <c r="BA550" s="212"/>
      <c r="BB550" s="212"/>
      <c r="BC550" s="212"/>
      <c r="BD550" s="212"/>
      <c r="BE550" s="212"/>
      <c r="BF550" s="212"/>
      <c r="BG550" s="212"/>
      <c r="BH550" s="212"/>
      <c r="BI550" s="212"/>
    </row>
    <row r="551" spans="1:61" ht="24" customHeight="1">
      <c r="A551" s="218" t="s">
        <v>2272</v>
      </c>
      <c r="B551" s="218" t="s">
        <v>2273</v>
      </c>
      <c r="C551" s="228">
        <v>20</v>
      </c>
      <c r="D551" s="213" t="s">
        <v>1950</v>
      </c>
      <c r="E551" s="213"/>
      <c r="F551" s="217">
        <v>0</v>
      </c>
      <c r="G551" s="213"/>
      <c r="H551" s="217">
        <f>TRUNC(((H548+H549)*0.2),0)</f>
        <v>0</v>
      </c>
      <c r="I551" s="213"/>
      <c r="J551" s="217">
        <v>0</v>
      </c>
      <c r="K551" s="217">
        <f>E551+G551+I551</f>
        <v>0</v>
      </c>
      <c r="L551" s="217">
        <f>F551+H551+J551</f>
        <v>0</v>
      </c>
      <c r="M551" s="215" t="s">
        <v>68</v>
      </c>
      <c r="N551" s="212" t="s">
        <v>68</v>
      </c>
      <c r="O551" s="212"/>
      <c r="P551" s="212" t="s">
        <v>1104</v>
      </c>
      <c r="Q551" s="212" t="s">
        <v>68</v>
      </c>
      <c r="R551" s="212" t="s">
        <v>1121</v>
      </c>
      <c r="S551" s="212"/>
      <c r="T551" s="212"/>
      <c r="U551" s="212"/>
      <c r="V551" s="212"/>
      <c r="W551" s="212"/>
      <c r="X551" s="212" t="s">
        <v>2274</v>
      </c>
      <c r="Y551" s="212"/>
      <c r="Z551" s="212"/>
      <c r="AA551" s="212"/>
      <c r="AB551" s="212"/>
      <c r="AC551" s="212"/>
      <c r="AD551" s="212"/>
      <c r="AE551" s="212"/>
      <c r="AF551" s="212"/>
      <c r="AG551" s="212"/>
      <c r="AH551" s="212"/>
      <c r="AI551" s="212"/>
      <c r="AJ551" s="212"/>
      <c r="AK551" s="212"/>
      <c r="AL551" s="212"/>
      <c r="AM551" s="212"/>
      <c r="AN551" s="212"/>
      <c r="AO551" s="212"/>
      <c r="AP551" s="212"/>
      <c r="AQ551" s="212"/>
      <c r="AR551" s="212"/>
      <c r="AS551" s="212"/>
      <c r="AT551" s="212"/>
      <c r="AU551" s="212"/>
      <c r="AV551" s="212"/>
      <c r="AW551" s="212"/>
      <c r="AX551" s="212"/>
      <c r="AY551" s="212"/>
      <c r="AZ551" s="212"/>
      <c r="BA551" s="212"/>
      <c r="BB551" s="212"/>
      <c r="BC551" s="212"/>
      <c r="BD551" s="212"/>
      <c r="BE551" s="212"/>
      <c r="BF551" s="212"/>
      <c r="BG551" s="212"/>
      <c r="BH551" s="212"/>
      <c r="BI551" s="212"/>
    </row>
    <row r="552" spans="1:61" ht="24" customHeight="1">
      <c r="A552" s="215"/>
      <c r="B552" s="215"/>
      <c r="C552" s="229"/>
      <c r="D552" s="213"/>
      <c r="E552" s="213"/>
      <c r="F552" s="213"/>
      <c r="G552" s="213"/>
      <c r="H552" s="213"/>
      <c r="I552" s="213"/>
      <c r="J552" s="213"/>
      <c r="K552" s="213"/>
      <c r="L552" s="213"/>
      <c r="M552" s="215"/>
      <c r="N552" s="212"/>
      <c r="O552" s="212"/>
      <c r="P552" s="212"/>
      <c r="Q552" s="212"/>
      <c r="R552" s="212"/>
      <c r="S552" s="212"/>
      <c r="T552" s="212"/>
      <c r="U552" s="212"/>
      <c r="V552" s="212"/>
      <c r="W552" s="212"/>
      <c r="X552" s="212"/>
      <c r="Y552" s="212"/>
      <c r="Z552" s="212"/>
      <c r="AA552" s="212"/>
      <c r="AB552" s="212"/>
      <c r="AC552" s="212"/>
      <c r="AD552" s="212"/>
      <c r="AE552" s="212"/>
      <c r="AF552" s="212"/>
      <c r="AG552" s="212"/>
      <c r="AH552" s="212"/>
      <c r="AI552" s="212"/>
      <c r="AJ552" s="212"/>
      <c r="AK552" s="212"/>
      <c r="AL552" s="212"/>
      <c r="AM552" s="212"/>
      <c r="AN552" s="212"/>
      <c r="AO552" s="212"/>
      <c r="AP552" s="212"/>
      <c r="AQ552" s="212"/>
      <c r="AR552" s="212"/>
      <c r="AS552" s="212"/>
      <c r="AT552" s="212"/>
      <c r="AU552" s="212"/>
      <c r="AV552" s="212"/>
      <c r="AW552" s="212"/>
      <c r="AX552" s="212"/>
      <c r="AY552" s="212"/>
      <c r="AZ552" s="212"/>
      <c r="BA552" s="212"/>
      <c r="BB552" s="212"/>
      <c r="BC552" s="212"/>
      <c r="BD552" s="212"/>
      <c r="BE552" s="212"/>
      <c r="BF552" s="212"/>
      <c r="BG552" s="212"/>
      <c r="BH552" s="212"/>
      <c r="BI552" s="212"/>
    </row>
    <row r="553" spans="1:61" ht="24" customHeight="1">
      <c r="A553" s="218" t="s">
        <v>2275</v>
      </c>
      <c r="B553" s="218" t="s">
        <v>1349</v>
      </c>
      <c r="C553" s="228">
        <v>1</v>
      </c>
      <c r="D553" s="213" t="s">
        <v>9</v>
      </c>
      <c r="E553" s="212"/>
      <c r="F553" s="217">
        <f>TRUNC(F554+F555+F556+F557+F558,0)</f>
        <v>0</v>
      </c>
      <c r="G553" s="212"/>
      <c r="H553" s="217">
        <f>TRUNC(H554+H555+H556+H557+H558,0)</f>
        <v>0</v>
      </c>
      <c r="I553" s="212"/>
      <c r="J553" s="217">
        <f>TRUNC(J554+J555+J556+J557+J558,0)</f>
        <v>0</v>
      </c>
      <c r="K553" s="212"/>
      <c r="L553" s="217">
        <f t="shared" ref="L553:L558" si="62">F553+H553+J553</f>
        <v>0</v>
      </c>
      <c r="M553" s="215" t="s">
        <v>1803</v>
      </c>
      <c r="N553" s="212" t="s">
        <v>68</v>
      </c>
      <c r="O553" s="212" t="s">
        <v>1351</v>
      </c>
      <c r="P553" s="212"/>
      <c r="Q553" s="212"/>
      <c r="R553" s="212"/>
      <c r="S553" s="212"/>
      <c r="T553" s="212"/>
      <c r="U553" s="212"/>
      <c r="V553" s="212"/>
      <c r="W553" s="212"/>
      <c r="X553" s="212"/>
      <c r="Y553" s="212"/>
      <c r="Z553" s="212"/>
      <c r="AA553" s="212"/>
      <c r="AB553" s="212"/>
      <c r="AC553" s="212"/>
      <c r="AD553" s="212"/>
      <c r="AE553" s="212"/>
      <c r="AF553" s="212"/>
      <c r="AG553" s="212"/>
      <c r="AH553" s="212"/>
      <c r="AI553" s="212"/>
      <c r="AJ553" s="212"/>
      <c r="AK553" s="212"/>
      <c r="AL553" s="212"/>
      <c r="AM553" s="212"/>
      <c r="AN553" s="212"/>
      <c r="AO553" s="212"/>
      <c r="AP553" s="212"/>
      <c r="AQ553" s="212"/>
      <c r="AR553" s="212"/>
      <c r="AS553" s="212"/>
      <c r="AT553" s="212"/>
      <c r="AU553" s="212"/>
      <c r="AV553" s="212"/>
      <c r="AW553" s="212"/>
      <c r="AX553" s="212"/>
      <c r="AY553" s="212"/>
      <c r="AZ553" s="212"/>
      <c r="BA553" s="212"/>
      <c r="BB553" s="212"/>
      <c r="BC553" s="212"/>
      <c r="BD553" s="212"/>
      <c r="BE553" s="212"/>
      <c r="BF553" s="212"/>
      <c r="BG553" s="212"/>
      <c r="BH553" s="212"/>
      <c r="BI553" s="212"/>
    </row>
    <row r="554" spans="1:61" ht="24" customHeight="1">
      <c r="A554" s="218" t="s">
        <v>2230</v>
      </c>
      <c r="B554" s="218" t="s">
        <v>2231</v>
      </c>
      <c r="C554" s="229">
        <v>0.4</v>
      </c>
      <c r="D554" s="213" t="s">
        <v>2155</v>
      </c>
      <c r="E554" s="217">
        <f>자재조서!E32</f>
        <v>0</v>
      </c>
      <c r="F554" s="217">
        <f>TRUNC(E554*C554,0)</f>
        <v>0</v>
      </c>
      <c r="G554" s="217">
        <v>0</v>
      </c>
      <c r="H554" s="217"/>
      <c r="I554" s="217">
        <v>0</v>
      </c>
      <c r="J554" s="217"/>
      <c r="K554" s="217">
        <f>E554+G554+I554</f>
        <v>0</v>
      </c>
      <c r="L554" s="217">
        <f t="shared" si="62"/>
        <v>0</v>
      </c>
      <c r="M554" s="215" t="s">
        <v>68</v>
      </c>
      <c r="N554" s="212" t="s">
        <v>68</v>
      </c>
      <c r="O554" s="212"/>
      <c r="P554" s="212" t="s">
        <v>1098</v>
      </c>
      <c r="Q554" s="212" t="s">
        <v>68</v>
      </c>
      <c r="R554" s="212" t="s">
        <v>2232</v>
      </c>
      <c r="S554" s="212"/>
      <c r="T554" s="212"/>
      <c r="U554" s="212"/>
      <c r="V554" s="212"/>
      <c r="W554" s="212"/>
      <c r="X554" s="212"/>
      <c r="Y554" s="212"/>
      <c r="Z554" s="212"/>
      <c r="AA554" s="212"/>
      <c r="AB554" s="212"/>
      <c r="AC554" s="212"/>
      <c r="AD554" s="212"/>
      <c r="AE554" s="212"/>
      <c r="AF554" s="212"/>
      <c r="AG554" s="212"/>
      <c r="AH554" s="212"/>
      <c r="AI554" s="212"/>
      <c r="AJ554" s="212"/>
      <c r="AK554" s="212"/>
      <c r="AL554" s="212"/>
      <c r="AM554" s="212"/>
      <c r="AN554" s="212"/>
      <c r="AO554" s="212"/>
      <c r="AP554" s="212"/>
      <c r="AQ554" s="212"/>
      <c r="AR554" s="212"/>
      <c r="AS554" s="212"/>
      <c r="AT554" s="212"/>
      <c r="AU554" s="212"/>
      <c r="AV554" s="212"/>
      <c r="AW554" s="212"/>
      <c r="AX554" s="212"/>
      <c r="AY554" s="212"/>
      <c r="AZ554" s="212"/>
      <c r="BA554" s="212"/>
      <c r="BB554" s="212"/>
      <c r="BC554" s="212"/>
      <c r="BD554" s="212"/>
      <c r="BE554" s="212"/>
      <c r="BF554" s="212"/>
      <c r="BG554" s="212"/>
      <c r="BH554" s="212"/>
      <c r="BI554" s="231" t="str">
        <f>HYPERLINK("#자재조서!A32","MJD12358 →")</f>
        <v>MJD12358 →</v>
      </c>
    </row>
    <row r="555" spans="1:61" ht="24" customHeight="1">
      <c r="A555" s="218" t="s">
        <v>2158</v>
      </c>
      <c r="B555" s="218" t="s">
        <v>1946</v>
      </c>
      <c r="C555" s="229">
        <v>2.4E-2</v>
      </c>
      <c r="D555" s="213" t="s">
        <v>1286</v>
      </c>
      <c r="E555" s="217">
        <v>0</v>
      </c>
      <c r="F555" s="217"/>
      <c r="G555" s="217">
        <f>노임!D17</f>
        <v>0</v>
      </c>
      <c r="H555" s="217">
        <f>TRUNC(G555*C555,0)</f>
        <v>0</v>
      </c>
      <c r="I555" s="217">
        <v>0</v>
      </c>
      <c r="J555" s="217"/>
      <c r="K555" s="217">
        <f>E555+G555+I555</f>
        <v>0</v>
      </c>
      <c r="L555" s="217">
        <f t="shared" si="62"/>
        <v>0</v>
      </c>
      <c r="M555" s="215" t="s">
        <v>68</v>
      </c>
      <c r="N555" s="212" t="s">
        <v>68</v>
      </c>
      <c r="O555" s="212"/>
      <c r="P555" s="212" t="s">
        <v>1101</v>
      </c>
      <c r="Q555" s="212" t="s">
        <v>68</v>
      </c>
      <c r="R555" s="212" t="s">
        <v>2159</v>
      </c>
      <c r="S555" s="212"/>
      <c r="T555" s="212"/>
      <c r="U555" s="212"/>
      <c r="V555" s="212"/>
      <c r="W555" s="212"/>
      <c r="X555" s="212"/>
      <c r="Y555" s="212"/>
      <c r="Z555" s="212"/>
      <c r="AA555" s="212"/>
      <c r="AB555" s="212"/>
      <c r="AC555" s="212"/>
      <c r="AD555" s="212"/>
      <c r="AE555" s="212"/>
      <c r="AF555" s="212"/>
      <c r="AG555" s="212"/>
      <c r="AH555" s="212"/>
      <c r="AI555" s="212"/>
      <c r="AJ555" s="212"/>
      <c r="AK555" s="212"/>
      <c r="AL555" s="212"/>
      <c r="AM555" s="212"/>
      <c r="AN555" s="212"/>
      <c r="AO555" s="212"/>
      <c r="AP555" s="212"/>
      <c r="AQ555" s="212"/>
      <c r="AR555" s="212"/>
      <c r="AS555" s="212"/>
      <c r="AT555" s="212"/>
      <c r="AU555" s="212"/>
      <c r="AV555" s="212"/>
      <c r="AW555" s="212"/>
      <c r="AX555" s="212"/>
      <c r="AY555" s="212"/>
      <c r="AZ555" s="212"/>
      <c r="BA555" s="212"/>
      <c r="BB555" s="212"/>
      <c r="BC555" s="212"/>
      <c r="BD555" s="212"/>
      <c r="BE555" s="212"/>
      <c r="BF555" s="212"/>
      <c r="BG555" s="212"/>
      <c r="BH555" s="212"/>
      <c r="BI555" s="231" t="str">
        <f>HYPERLINK("#노임!A17","L001010101000029 →")</f>
        <v>L001010101000029 →</v>
      </c>
    </row>
    <row r="556" spans="1:61" ht="24" customHeight="1">
      <c r="A556" s="218" t="s">
        <v>1967</v>
      </c>
      <c r="B556" s="218" t="s">
        <v>1946</v>
      </c>
      <c r="C556" s="229">
        <v>4.0000000000000001E-3</v>
      </c>
      <c r="D556" s="213" t="s">
        <v>1286</v>
      </c>
      <c r="E556" s="217">
        <v>0</v>
      </c>
      <c r="F556" s="217"/>
      <c r="G556" s="217">
        <f>노임!D3</f>
        <v>0</v>
      </c>
      <c r="H556" s="217">
        <f>TRUNC(G556*C556,0)</f>
        <v>0</v>
      </c>
      <c r="I556" s="217">
        <v>0</v>
      </c>
      <c r="J556" s="217"/>
      <c r="K556" s="217">
        <f>E556+G556+I556</f>
        <v>0</v>
      </c>
      <c r="L556" s="217">
        <f t="shared" si="62"/>
        <v>0</v>
      </c>
      <c r="M556" s="215" t="s">
        <v>68</v>
      </c>
      <c r="N556" s="212" t="s">
        <v>68</v>
      </c>
      <c r="O556" s="212"/>
      <c r="P556" s="212" t="s">
        <v>1104</v>
      </c>
      <c r="Q556" s="212" t="s">
        <v>68</v>
      </c>
      <c r="R556" s="212" t="s">
        <v>1968</v>
      </c>
      <c r="S556" s="212"/>
      <c r="T556" s="212"/>
      <c r="U556" s="212"/>
      <c r="V556" s="212"/>
      <c r="W556" s="212"/>
      <c r="X556" s="212"/>
      <c r="Y556" s="212"/>
      <c r="Z556" s="212"/>
      <c r="AA556" s="220" t="s">
        <v>1955</v>
      </c>
      <c r="AB556" s="212">
        <f>(호표!H555+호표!H556)*0.02</f>
        <v>0</v>
      </c>
      <c r="AC556" s="220" t="s">
        <v>1956</v>
      </c>
      <c r="AD556" s="212">
        <f>$AB556</f>
        <v>0</v>
      </c>
      <c r="AE556" s="212"/>
      <c r="AF556" s="212"/>
      <c r="AG556" s="212"/>
      <c r="AH556" s="212"/>
      <c r="AI556" s="212"/>
      <c r="AJ556" s="212"/>
      <c r="AK556" s="212"/>
      <c r="AL556" s="212"/>
      <c r="AM556" s="212"/>
      <c r="AN556" s="212"/>
      <c r="AO556" s="212"/>
      <c r="AP556" s="212"/>
      <c r="AQ556" s="212"/>
      <c r="AR556" s="212"/>
      <c r="AS556" s="212"/>
      <c r="AT556" s="212"/>
      <c r="AU556" s="212"/>
      <c r="AV556" s="212"/>
      <c r="AW556" s="212"/>
      <c r="AX556" s="212"/>
      <c r="AY556" s="212"/>
      <c r="AZ556" s="212"/>
      <c r="BA556" s="212"/>
      <c r="BB556" s="212"/>
      <c r="BC556" s="212"/>
      <c r="BD556" s="212"/>
      <c r="BE556" s="212"/>
      <c r="BF556" s="212"/>
      <c r="BG556" s="212"/>
      <c r="BH556" s="212"/>
      <c r="BI556" s="231" t="str">
        <f>HYPERLINK("#노임!A3","L001010101000002 →")</f>
        <v>L001010101000002 →</v>
      </c>
    </row>
    <row r="557" spans="1:61" ht="24" customHeight="1">
      <c r="A557" s="218" t="s">
        <v>1948</v>
      </c>
      <c r="B557" s="218" t="s">
        <v>1958</v>
      </c>
      <c r="C557" s="228">
        <v>2</v>
      </c>
      <c r="D557" s="213" t="s">
        <v>1950</v>
      </c>
      <c r="E557" s="213"/>
      <c r="F557" s="217">
        <v>0</v>
      </c>
      <c r="G557" s="213"/>
      <c r="H557" s="217">
        <v>0</v>
      </c>
      <c r="I557" s="213"/>
      <c r="J557" s="217">
        <f>TRUNC(((H555+H556)*0.02),0)</f>
        <v>0</v>
      </c>
      <c r="K557" s="217">
        <f>E557+G557+I557</f>
        <v>0</v>
      </c>
      <c r="L557" s="217">
        <f t="shared" si="62"/>
        <v>0</v>
      </c>
      <c r="M557" s="215" t="s">
        <v>68</v>
      </c>
      <c r="N557" s="212" t="s">
        <v>68</v>
      </c>
      <c r="O557" s="212"/>
      <c r="P557" s="212" t="s">
        <v>1107</v>
      </c>
      <c r="Q557" s="212" t="s">
        <v>68</v>
      </c>
      <c r="R557" s="212" t="s">
        <v>1121</v>
      </c>
      <c r="S557" s="212"/>
      <c r="T557" s="212"/>
      <c r="U557" s="212"/>
      <c r="V557" s="212"/>
      <c r="W557" s="212"/>
      <c r="X557" s="212" t="s">
        <v>2166</v>
      </c>
      <c r="Y557" s="212"/>
      <c r="Z557" s="212"/>
      <c r="AA557" s="220" t="s">
        <v>1123</v>
      </c>
      <c r="AB557" s="212">
        <f>(호표!H555+호표!H556)*0.2</f>
        <v>0</v>
      </c>
      <c r="AC557" s="220" t="s">
        <v>1124</v>
      </c>
      <c r="AD557" s="212">
        <f>$AB557</f>
        <v>0</v>
      </c>
      <c r="AE557" s="212"/>
      <c r="AF557" s="212"/>
      <c r="AG557" s="212"/>
      <c r="AH557" s="212"/>
      <c r="AI557" s="212"/>
      <c r="AJ557" s="212"/>
      <c r="AK557" s="212"/>
      <c r="AL557" s="212"/>
      <c r="AM557" s="212"/>
      <c r="AN557" s="212"/>
      <c r="AO557" s="212"/>
      <c r="AP557" s="212"/>
      <c r="AQ557" s="212"/>
      <c r="AR557" s="212"/>
      <c r="AS557" s="212"/>
      <c r="AT557" s="212"/>
      <c r="AU557" s="212"/>
      <c r="AV557" s="212"/>
      <c r="AW557" s="212"/>
      <c r="AX557" s="212"/>
      <c r="AY557" s="212"/>
      <c r="AZ557" s="212"/>
      <c r="BA557" s="212"/>
      <c r="BB557" s="212"/>
      <c r="BC557" s="212"/>
      <c r="BD557" s="212"/>
      <c r="BE557" s="212"/>
      <c r="BF557" s="212"/>
      <c r="BG557" s="212"/>
      <c r="BH557" s="212"/>
      <c r="BI557" s="212"/>
    </row>
    <row r="558" spans="1:61" ht="24" customHeight="1">
      <c r="A558" s="218" t="s">
        <v>2272</v>
      </c>
      <c r="B558" s="218" t="s">
        <v>2273</v>
      </c>
      <c r="C558" s="228">
        <v>20</v>
      </c>
      <c r="D558" s="213" t="s">
        <v>1950</v>
      </c>
      <c r="E558" s="213"/>
      <c r="F558" s="217">
        <v>0</v>
      </c>
      <c r="G558" s="213"/>
      <c r="H558" s="217">
        <f>TRUNC(((H555+H556)*0.2),0)</f>
        <v>0</v>
      </c>
      <c r="I558" s="213"/>
      <c r="J558" s="217">
        <v>0</v>
      </c>
      <c r="K558" s="217">
        <f>E558+G558+I558</f>
        <v>0</v>
      </c>
      <c r="L558" s="217">
        <f t="shared" si="62"/>
        <v>0</v>
      </c>
      <c r="M558" s="215" t="s">
        <v>68</v>
      </c>
      <c r="N558" s="212" t="s">
        <v>68</v>
      </c>
      <c r="O558" s="212"/>
      <c r="P558" s="212" t="s">
        <v>1108</v>
      </c>
      <c r="Q558" s="212" t="s">
        <v>68</v>
      </c>
      <c r="R558" s="212" t="s">
        <v>1121</v>
      </c>
      <c r="S558" s="212"/>
      <c r="T558" s="212"/>
      <c r="U558" s="212"/>
      <c r="V558" s="212"/>
      <c r="W558" s="212"/>
      <c r="X558" s="212" t="s">
        <v>2276</v>
      </c>
      <c r="Y558" s="212"/>
      <c r="Z558" s="212"/>
      <c r="AA558" s="212"/>
      <c r="AB558" s="212"/>
      <c r="AC558" s="212"/>
      <c r="AD558" s="212"/>
      <c r="AE558" s="212"/>
      <c r="AF558" s="212"/>
      <c r="AG558" s="212"/>
      <c r="AH558" s="212"/>
      <c r="AI558" s="212"/>
      <c r="AJ558" s="212"/>
      <c r="AK558" s="212"/>
      <c r="AL558" s="212"/>
      <c r="AM558" s="212"/>
      <c r="AN558" s="212"/>
      <c r="AO558" s="212"/>
      <c r="AP558" s="212"/>
      <c r="AQ558" s="212"/>
      <c r="AR558" s="212"/>
      <c r="AS558" s="212"/>
      <c r="AT558" s="212"/>
      <c r="AU558" s="212"/>
      <c r="AV558" s="212"/>
      <c r="AW558" s="212"/>
      <c r="AX558" s="212"/>
      <c r="AY558" s="212"/>
      <c r="AZ558" s="212"/>
      <c r="BA558" s="212"/>
      <c r="BB558" s="212"/>
      <c r="BC558" s="212"/>
      <c r="BD558" s="212"/>
      <c r="BE558" s="212"/>
      <c r="BF558" s="212"/>
      <c r="BG558" s="212"/>
      <c r="BH558" s="212"/>
      <c r="BI558" s="212"/>
    </row>
    <row r="559" spans="1:61" ht="24" customHeight="1">
      <c r="A559" s="215"/>
      <c r="B559" s="215"/>
      <c r="C559" s="229"/>
      <c r="D559" s="213"/>
      <c r="E559" s="213"/>
      <c r="F559" s="213"/>
      <c r="G559" s="213"/>
      <c r="H559" s="213"/>
      <c r="I559" s="213"/>
      <c r="J559" s="213"/>
      <c r="K559" s="213"/>
      <c r="L559" s="213"/>
      <c r="M559" s="215"/>
      <c r="N559" s="212"/>
      <c r="O559" s="212"/>
      <c r="P559" s="212"/>
      <c r="Q559" s="212"/>
      <c r="R559" s="212"/>
      <c r="S559" s="212"/>
      <c r="T559" s="212"/>
      <c r="U559" s="212"/>
      <c r="V559" s="212"/>
      <c r="W559" s="212"/>
      <c r="X559" s="212"/>
      <c r="Y559" s="212"/>
      <c r="Z559" s="212"/>
      <c r="AA559" s="212"/>
      <c r="AB559" s="212"/>
      <c r="AC559" s="212"/>
      <c r="AD559" s="212"/>
      <c r="AE559" s="212"/>
      <c r="AF559" s="212"/>
      <c r="AG559" s="212"/>
      <c r="AH559" s="212"/>
      <c r="AI559" s="212"/>
      <c r="AJ559" s="212"/>
      <c r="AK559" s="212"/>
      <c r="AL559" s="212"/>
      <c r="AM559" s="212"/>
      <c r="AN559" s="212"/>
      <c r="AO559" s="212"/>
      <c r="AP559" s="212"/>
      <c r="AQ559" s="212"/>
      <c r="AR559" s="212"/>
      <c r="AS559" s="212"/>
      <c r="AT559" s="212"/>
      <c r="AU559" s="212"/>
      <c r="AV559" s="212"/>
      <c r="AW559" s="212"/>
      <c r="AX559" s="212"/>
      <c r="AY559" s="212"/>
      <c r="AZ559" s="212"/>
      <c r="BA559" s="212"/>
      <c r="BB559" s="212"/>
      <c r="BC559" s="212"/>
      <c r="BD559" s="212"/>
      <c r="BE559" s="212"/>
      <c r="BF559" s="212"/>
      <c r="BG559" s="212"/>
      <c r="BH559" s="212"/>
      <c r="BI559" s="212"/>
    </row>
    <row r="560" spans="1:61" ht="24" customHeight="1">
      <c r="A560" s="218" t="s">
        <v>2277</v>
      </c>
      <c r="B560" s="218" t="s">
        <v>1353</v>
      </c>
      <c r="C560" s="228">
        <v>1</v>
      </c>
      <c r="D560" s="213" t="s">
        <v>9</v>
      </c>
      <c r="E560" s="212"/>
      <c r="F560" s="217">
        <f>TRUNC(F562+F563+F564+F565+F566+F567+F568+F569+F572+F573+F574,0)</f>
        <v>0</v>
      </c>
      <c r="G560" s="212"/>
      <c r="H560" s="217">
        <f>TRUNC(H562+H563+H564+H565+H566+H567+H568+H569+H572+H573+H574,0)</f>
        <v>0</v>
      </c>
      <c r="I560" s="212"/>
      <c r="J560" s="217">
        <f>TRUNC(J562+J563+J564+J565+J566+J567+J568+J569+J572+J573+J574,0)</f>
        <v>0</v>
      </c>
      <c r="K560" s="212"/>
      <c r="L560" s="217">
        <f t="shared" ref="L560:L574" si="63">F560+H560+J560</f>
        <v>0</v>
      </c>
      <c r="M560" s="215" t="s">
        <v>1822</v>
      </c>
      <c r="N560" s="212" t="s">
        <v>68</v>
      </c>
      <c r="O560" s="212" t="s">
        <v>1355</v>
      </c>
      <c r="P560" s="212"/>
      <c r="Q560" s="212"/>
      <c r="R560" s="212"/>
      <c r="S560" s="212"/>
      <c r="T560" s="212"/>
      <c r="U560" s="212"/>
      <c r="V560" s="212"/>
      <c r="W560" s="212"/>
      <c r="X560" s="212"/>
      <c r="Y560" s="212"/>
      <c r="Z560" s="212"/>
      <c r="AA560" s="212"/>
      <c r="AB560" s="212"/>
      <c r="AC560" s="212"/>
      <c r="AD560" s="212"/>
      <c r="AE560" s="212"/>
      <c r="AF560" s="212"/>
      <c r="AG560" s="212"/>
      <c r="AH560" s="212"/>
      <c r="AI560" s="212"/>
      <c r="AJ560" s="212"/>
      <c r="AK560" s="212"/>
      <c r="AL560" s="212"/>
      <c r="AM560" s="212"/>
      <c r="AN560" s="212"/>
      <c r="AO560" s="212"/>
      <c r="AP560" s="212"/>
      <c r="AQ560" s="212"/>
      <c r="AR560" s="212"/>
      <c r="AS560" s="212"/>
      <c r="AT560" s="212"/>
      <c r="AU560" s="212"/>
      <c r="AV560" s="212"/>
      <c r="AW560" s="212"/>
      <c r="AX560" s="212"/>
      <c r="AY560" s="212"/>
      <c r="AZ560" s="212"/>
      <c r="BA560" s="212"/>
      <c r="BB560" s="212"/>
      <c r="BC560" s="212"/>
      <c r="BD560" s="212"/>
      <c r="BE560" s="212"/>
      <c r="BF560" s="212"/>
      <c r="BG560" s="212"/>
      <c r="BH560" s="212"/>
      <c r="BI560" s="212"/>
    </row>
    <row r="561" spans="1:61" ht="24" customHeight="1">
      <c r="A561" s="218" t="s">
        <v>2278</v>
      </c>
      <c r="B561" s="218" t="s">
        <v>68</v>
      </c>
      <c r="C561" s="229"/>
      <c r="D561" s="213" t="s">
        <v>68</v>
      </c>
      <c r="E561" s="213"/>
      <c r="F561" s="217">
        <v>0</v>
      </c>
      <c r="G561" s="213"/>
      <c r="H561" s="217">
        <v>0</v>
      </c>
      <c r="I561" s="213"/>
      <c r="J561" s="217">
        <v>0</v>
      </c>
      <c r="K561" s="217">
        <f t="shared" ref="K561:K574" si="64">E561+G561+I561</f>
        <v>0</v>
      </c>
      <c r="L561" s="217">
        <f t="shared" si="63"/>
        <v>0</v>
      </c>
      <c r="M561" s="215" t="s">
        <v>68</v>
      </c>
      <c r="N561" s="212" t="s">
        <v>68</v>
      </c>
      <c r="O561" s="212"/>
      <c r="P561" s="212" t="s">
        <v>1095</v>
      </c>
      <c r="Q561" s="212" t="s">
        <v>68</v>
      </c>
      <c r="R561" s="212" t="s">
        <v>68</v>
      </c>
      <c r="S561" s="212"/>
      <c r="T561" s="212"/>
      <c r="U561" s="212"/>
      <c r="V561" s="212"/>
      <c r="W561" s="212"/>
      <c r="X561" s="212"/>
      <c r="Y561" s="212"/>
      <c r="Z561" s="212"/>
      <c r="AA561" s="212"/>
      <c r="AB561" s="212"/>
      <c r="AC561" s="212"/>
      <c r="AD561" s="212"/>
      <c r="AE561" s="212"/>
      <c r="AF561" s="212"/>
      <c r="AG561" s="212"/>
      <c r="AH561" s="212"/>
      <c r="AI561" s="212"/>
      <c r="AJ561" s="212"/>
      <c r="AK561" s="212"/>
      <c r="AL561" s="212"/>
      <c r="AM561" s="212"/>
      <c r="AN561" s="212"/>
      <c r="AO561" s="212"/>
      <c r="AP561" s="212"/>
      <c r="AQ561" s="212"/>
      <c r="AR561" s="212"/>
      <c r="AS561" s="212"/>
      <c r="AT561" s="212"/>
      <c r="AU561" s="212"/>
      <c r="AV561" s="212"/>
      <c r="AW561" s="212"/>
      <c r="AX561" s="212"/>
      <c r="AY561" s="212"/>
      <c r="AZ561" s="212"/>
      <c r="BA561" s="212"/>
      <c r="BB561" s="212"/>
      <c r="BC561" s="212"/>
      <c r="BD561" s="212"/>
      <c r="BE561" s="212"/>
      <c r="BF561" s="212"/>
      <c r="BG561" s="212"/>
      <c r="BH561" s="212"/>
      <c r="BI561" s="212"/>
    </row>
    <row r="562" spans="1:61" ht="24" customHeight="1">
      <c r="A562" s="218" t="s">
        <v>2279</v>
      </c>
      <c r="B562" s="218" t="s">
        <v>2280</v>
      </c>
      <c r="C562" s="229">
        <v>1.3620000000000001</v>
      </c>
      <c r="D562" s="213" t="s">
        <v>1412</v>
      </c>
      <c r="E562" s="217">
        <f>자재조서!E46</f>
        <v>0</v>
      </c>
      <c r="F562" s="217">
        <f t="shared" ref="F562:F569" si="65">TRUNC(E562*C562,0)</f>
        <v>0</v>
      </c>
      <c r="G562" s="217">
        <v>0</v>
      </c>
      <c r="H562" s="217"/>
      <c r="I562" s="217">
        <v>0</v>
      </c>
      <c r="J562" s="217"/>
      <c r="K562" s="217">
        <f t="shared" si="64"/>
        <v>0</v>
      </c>
      <c r="L562" s="217">
        <f t="shared" si="63"/>
        <v>0</v>
      </c>
      <c r="M562" s="215" t="s">
        <v>68</v>
      </c>
      <c r="N562" s="212" t="s">
        <v>68</v>
      </c>
      <c r="O562" s="212"/>
      <c r="P562" s="212" t="s">
        <v>1098</v>
      </c>
      <c r="Q562" s="212" t="s">
        <v>68</v>
      </c>
      <c r="R562" s="212" t="s">
        <v>2281</v>
      </c>
      <c r="S562" s="212"/>
      <c r="T562" s="212"/>
      <c r="U562" s="212"/>
      <c r="V562" s="212"/>
      <c r="W562" s="212"/>
      <c r="X562" s="212"/>
      <c r="Y562" s="212"/>
      <c r="Z562" s="212"/>
      <c r="AA562" s="212"/>
      <c r="AB562" s="212"/>
      <c r="AC562" s="212"/>
      <c r="AD562" s="212"/>
      <c r="AE562" s="212"/>
      <c r="AF562" s="212"/>
      <c r="AG562" s="212"/>
      <c r="AH562" s="212"/>
      <c r="AI562" s="212"/>
      <c r="AJ562" s="212"/>
      <c r="AK562" s="212"/>
      <c r="AL562" s="212"/>
      <c r="AM562" s="212"/>
      <c r="AN562" s="212"/>
      <c r="AO562" s="212"/>
      <c r="AP562" s="212"/>
      <c r="AQ562" s="212"/>
      <c r="AR562" s="212"/>
      <c r="AS562" s="212"/>
      <c r="AT562" s="212"/>
      <c r="AU562" s="212"/>
      <c r="AV562" s="212"/>
      <c r="AW562" s="212"/>
      <c r="AX562" s="212"/>
      <c r="AY562" s="212"/>
      <c r="AZ562" s="212"/>
      <c r="BA562" s="212"/>
      <c r="BB562" s="212"/>
      <c r="BC562" s="212"/>
      <c r="BD562" s="212"/>
      <c r="BE562" s="212"/>
      <c r="BF562" s="212"/>
      <c r="BG562" s="212"/>
      <c r="BH562" s="212"/>
      <c r="BI562" s="231" t="str">
        <f>HYPERLINK("#자재조서!A46","MZZ1007925 →")</f>
        <v>MZZ1007925 →</v>
      </c>
    </row>
    <row r="563" spans="1:61" ht="24" customHeight="1">
      <c r="A563" s="218" t="s">
        <v>2279</v>
      </c>
      <c r="B563" s="218" t="s">
        <v>2282</v>
      </c>
      <c r="C563" s="229">
        <v>1.3620000000000001</v>
      </c>
      <c r="D563" s="213" t="s">
        <v>1412</v>
      </c>
      <c r="E563" s="217">
        <f>자재조서!E47</f>
        <v>0</v>
      </c>
      <c r="F563" s="217">
        <f t="shared" si="65"/>
        <v>0</v>
      </c>
      <c r="G563" s="217">
        <v>0</v>
      </c>
      <c r="H563" s="217"/>
      <c r="I563" s="217">
        <v>0</v>
      </c>
      <c r="J563" s="217"/>
      <c r="K563" s="217">
        <f t="shared" si="64"/>
        <v>0</v>
      </c>
      <c r="L563" s="217">
        <f t="shared" si="63"/>
        <v>0</v>
      </c>
      <c r="M563" s="215" t="s">
        <v>68</v>
      </c>
      <c r="N563" s="212" t="s">
        <v>68</v>
      </c>
      <c r="O563" s="212"/>
      <c r="P563" s="212" t="s">
        <v>1101</v>
      </c>
      <c r="Q563" s="212" t="s">
        <v>68</v>
      </c>
      <c r="R563" s="212" t="s">
        <v>2283</v>
      </c>
      <c r="S563" s="212"/>
      <c r="T563" s="212"/>
      <c r="U563" s="212"/>
      <c r="V563" s="212"/>
      <c r="W563" s="212"/>
      <c r="X563" s="212"/>
      <c r="Y563" s="212"/>
      <c r="Z563" s="212"/>
      <c r="AA563" s="212"/>
      <c r="AB563" s="212"/>
      <c r="AC563" s="212"/>
      <c r="AD563" s="212"/>
      <c r="AE563" s="212"/>
      <c r="AF563" s="212"/>
      <c r="AG563" s="212"/>
      <c r="AH563" s="212"/>
      <c r="AI563" s="212"/>
      <c r="AJ563" s="212"/>
      <c r="AK563" s="212"/>
      <c r="AL563" s="212"/>
      <c r="AM563" s="212"/>
      <c r="AN563" s="212"/>
      <c r="AO563" s="212"/>
      <c r="AP563" s="212"/>
      <c r="AQ563" s="212"/>
      <c r="AR563" s="212"/>
      <c r="AS563" s="212"/>
      <c r="AT563" s="212"/>
      <c r="AU563" s="212"/>
      <c r="AV563" s="212"/>
      <c r="AW563" s="212"/>
      <c r="AX563" s="212"/>
      <c r="AY563" s="212"/>
      <c r="AZ563" s="212"/>
      <c r="BA563" s="212"/>
      <c r="BB563" s="212"/>
      <c r="BC563" s="212"/>
      <c r="BD563" s="212"/>
      <c r="BE563" s="212"/>
      <c r="BF563" s="212"/>
      <c r="BG563" s="212"/>
      <c r="BH563" s="212"/>
      <c r="BI563" s="231" t="str">
        <f>HYPERLINK("#자재조서!A47","MZZ1007926 →")</f>
        <v>MZZ1007926 →</v>
      </c>
    </row>
    <row r="564" spans="1:61" ht="24" customHeight="1">
      <c r="A564" s="218" t="s">
        <v>2279</v>
      </c>
      <c r="B564" s="218" t="s">
        <v>2284</v>
      </c>
      <c r="C564" s="229">
        <v>1.222</v>
      </c>
      <c r="D564" s="213" t="s">
        <v>1033</v>
      </c>
      <c r="E564" s="217">
        <f>자재조서!E48</f>
        <v>0</v>
      </c>
      <c r="F564" s="217">
        <f t="shared" si="65"/>
        <v>0</v>
      </c>
      <c r="G564" s="217">
        <v>0</v>
      </c>
      <c r="H564" s="217"/>
      <c r="I564" s="217">
        <v>0</v>
      </c>
      <c r="J564" s="217"/>
      <c r="K564" s="217">
        <f t="shared" si="64"/>
        <v>0</v>
      </c>
      <c r="L564" s="217">
        <f t="shared" si="63"/>
        <v>0</v>
      </c>
      <c r="M564" s="215" t="s">
        <v>68</v>
      </c>
      <c r="N564" s="212" t="s">
        <v>68</v>
      </c>
      <c r="O564" s="212"/>
      <c r="P564" s="212" t="s">
        <v>1104</v>
      </c>
      <c r="Q564" s="212" t="s">
        <v>68</v>
      </c>
      <c r="R564" s="212" t="s">
        <v>2285</v>
      </c>
      <c r="S564" s="212"/>
      <c r="T564" s="212"/>
      <c r="U564" s="212"/>
      <c r="V564" s="212"/>
      <c r="W564" s="212"/>
      <c r="X564" s="212"/>
      <c r="Y564" s="212"/>
      <c r="Z564" s="212"/>
      <c r="AA564" s="212"/>
      <c r="AB564" s="212"/>
      <c r="AC564" s="212"/>
      <c r="AD564" s="212"/>
      <c r="AE564" s="212"/>
      <c r="AF564" s="212"/>
      <c r="AG564" s="212"/>
      <c r="AH564" s="212"/>
      <c r="AI564" s="212"/>
      <c r="AJ564" s="212"/>
      <c r="AK564" s="212"/>
      <c r="AL564" s="212"/>
      <c r="AM564" s="212"/>
      <c r="AN564" s="212"/>
      <c r="AO564" s="212"/>
      <c r="AP564" s="212"/>
      <c r="AQ564" s="212"/>
      <c r="AR564" s="212"/>
      <c r="AS564" s="212"/>
      <c r="AT564" s="212"/>
      <c r="AU564" s="212"/>
      <c r="AV564" s="212"/>
      <c r="AW564" s="212"/>
      <c r="AX564" s="212"/>
      <c r="AY564" s="212"/>
      <c r="AZ564" s="212"/>
      <c r="BA564" s="212"/>
      <c r="BB564" s="212"/>
      <c r="BC564" s="212"/>
      <c r="BD564" s="212"/>
      <c r="BE564" s="212"/>
      <c r="BF564" s="212"/>
      <c r="BG564" s="212"/>
      <c r="BH564" s="212"/>
      <c r="BI564" s="231" t="str">
        <f>HYPERLINK("#자재조서!A48","MZZ1007928 →")</f>
        <v>MZZ1007928 →</v>
      </c>
    </row>
    <row r="565" spans="1:61" ht="24" customHeight="1">
      <c r="A565" s="218" t="s">
        <v>2279</v>
      </c>
      <c r="B565" s="218" t="s">
        <v>2286</v>
      </c>
      <c r="C565" s="229">
        <v>1.36</v>
      </c>
      <c r="D565" s="213" t="s">
        <v>2287</v>
      </c>
      <c r="E565" s="217">
        <f>자재조서!E49</f>
        <v>0</v>
      </c>
      <c r="F565" s="217">
        <f t="shared" si="65"/>
        <v>0</v>
      </c>
      <c r="G565" s="217">
        <v>0</v>
      </c>
      <c r="H565" s="217"/>
      <c r="I565" s="217">
        <v>0</v>
      </c>
      <c r="J565" s="217"/>
      <c r="K565" s="217">
        <f t="shared" si="64"/>
        <v>0</v>
      </c>
      <c r="L565" s="217">
        <f t="shared" si="63"/>
        <v>0</v>
      </c>
      <c r="M565" s="215" t="s">
        <v>68</v>
      </c>
      <c r="N565" s="212" t="s">
        <v>68</v>
      </c>
      <c r="O565" s="212"/>
      <c r="P565" s="212" t="s">
        <v>1107</v>
      </c>
      <c r="Q565" s="212" t="s">
        <v>68</v>
      </c>
      <c r="R565" s="212" t="s">
        <v>2288</v>
      </c>
      <c r="S565" s="212"/>
      <c r="T565" s="212"/>
      <c r="U565" s="212"/>
      <c r="V565" s="212"/>
      <c r="W565" s="212"/>
      <c r="X565" s="212"/>
      <c r="Y565" s="212"/>
      <c r="Z565" s="212"/>
      <c r="AA565" s="212"/>
      <c r="AB565" s="212"/>
      <c r="AC565" s="212"/>
      <c r="AD565" s="212"/>
      <c r="AE565" s="212"/>
      <c r="AF565" s="212"/>
      <c r="AG565" s="212"/>
      <c r="AH565" s="212"/>
      <c r="AI565" s="212"/>
      <c r="AJ565" s="212"/>
      <c r="AK565" s="212"/>
      <c r="AL565" s="212"/>
      <c r="AM565" s="212"/>
      <c r="AN565" s="212"/>
      <c r="AO565" s="212"/>
      <c r="AP565" s="212"/>
      <c r="AQ565" s="212"/>
      <c r="AR565" s="212"/>
      <c r="AS565" s="212"/>
      <c r="AT565" s="212"/>
      <c r="AU565" s="212"/>
      <c r="AV565" s="212"/>
      <c r="AW565" s="212"/>
      <c r="AX565" s="212"/>
      <c r="AY565" s="212"/>
      <c r="AZ565" s="212"/>
      <c r="BA565" s="212"/>
      <c r="BB565" s="212"/>
      <c r="BC565" s="212"/>
      <c r="BD565" s="212"/>
      <c r="BE565" s="212"/>
      <c r="BF565" s="212"/>
      <c r="BG565" s="212"/>
      <c r="BH565" s="212"/>
      <c r="BI565" s="231" t="str">
        <f>HYPERLINK("#자재조서!A49","MZZ1007930 →")</f>
        <v>MZZ1007930 →</v>
      </c>
    </row>
    <row r="566" spans="1:61" ht="24" customHeight="1">
      <c r="A566" s="218" t="s">
        <v>2279</v>
      </c>
      <c r="B566" s="218" t="s">
        <v>2289</v>
      </c>
      <c r="C566" s="229">
        <v>0.58399999999999996</v>
      </c>
      <c r="D566" s="213" t="s">
        <v>2287</v>
      </c>
      <c r="E566" s="217">
        <f>자재조서!E51</f>
        <v>0</v>
      </c>
      <c r="F566" s="217">
        <f t="shared" si="65"/>
        <v>0</v>
      </c>
      <c r="G566" s="217">
        <v>0</v>
      </c>
      <c r="H566" s="217"/>
      <c r="I566" s="217">
        <v>0</v>
      </c>
      <c r="J566" s="217"/>
      <c r="K566" s="217">
        <f t="shared" si="64"/>
        <v>0</v>
      </c>
      <c r="L566" s="217">
        <f t="shared" si="63"/>
        <v>0</v>
      </c>
      <c r="M566" s="215" t="s">
        <v>68</v>
      </c>
      <c r="N566" s="212" t="s">
        <v>68</v>
      </c>
      <c r="O566" s="212"/>
      <c r="P566" s="212" t="s">
        <v>1108</v>
      </c>
      <c r="Q566" s="212" t="s">
        <v>68</v>
      </c>
      <c r="R566" s="212" t="s">
        <v>2290</v>
      </c>
      <c r="S566" s="212"/>
      <c r="T566" s="212"/>
      <c r="U566" s="212"/>
      <c r="V566" s="212"/>
      <c r="W566" s="212"/>
      <c r="X566" s="212"/>
      <c r="Y566" s="212"/>
      <c r="Z566" s="212"/>
      <c r="AA566" s="212"/>
      <c r="AB566" s="212"/>
      <c r="AC566" s="212"/>
      <c r="AD566" s="212"/>
      <c r="AE566" s="212"/>
      <c r="AF566" s="212"/>
      <c r="AG566" s="212"/>
      <c r="AH566" s="212"/>
      <c r="AI566" s="212"/>
      <c r="AJ566" s="212"/>
      <c r="AK566" s="212"/>
      <c r="AL566" s="212"/>
      <c r="AM566" s="212"/>
      <c r="AN566" s="212"/>
      <c r="AO566" s="212"/>
      <c r="AP566" s="212"/>
      <c r="AQ566" s="212"/>
      <c r="AR566" s="212"/>
      <c r="AS566" s="212"/>
      <c r="AT566" s="212"/>
      <c r="AU566" s="212"/>
      <c r="AV566" s="212"/>
      <c r="AW566" s="212"/>
      <c r="AX566" s="212"/>
      <c r="AY566" s="212"/>
      <c r="AZ566" s="212"/>
      <c r="BA566" s="212"/>
      <c r="BB566" s="212"/>
      <c r="BC566" s="212"/>
      <c r="BD566" s="212"/>
      <c r="BE566" s="212"/>
      <c r="BF566" s="212"/>
      <c r="BG566" s="212"/>
      <c r="BH566" s="212"/>
      <c r="BI566" s="231" t="str">
        <f>HYPERLINK("#자재조서!A51","MZZ1007940 →")</f>
        <v>MZZ1007940 →</v>
      </c>
    </row>
    <row r="567" spans="1:61" ht="24" customHeight="1">
      <c r="A567" s="218" t="s">
        <v>2279</v>
      </c>
      <c r="B567" s="218" t="s">
        <v>2291</v>
      </c>
      <c r="C567" s="229">
        <v>0.19500000000000001</v>
      </c>
      <c r="D567" s="213" t="s">
        <v>2287</v>
      </c>
      <c r="E567" s="217">
        <f>자재조서!E52</f>
        <v>0</v>
      </c>
      <c r="F567" s="217">
        <f t="shared" si="65"/>
        <v>0</v>
      </c>
      <c r="G567" s="217">
        <v>0</v>
      </c>
      <c r="H567" s="217"/>
      <c r="I567" s="217">
        <v>0</v>
      </c>
      <c r="J567" s="217"/>
      <c r="K567" s="217">
        <f t="shared" si="64"/>
        <v>0</v>
      </c>
      <c r="L567" s="217">
        <f t="shared" si="63"/>
        <v>0</v>
      </c>
      <c r="M567" s="215" t="s">
        <v>68</v>
      </c>
      <c r="N567" s="212" t="s">
        <v>68</v>
      </c>
      <c r="O567" s="212"/>
      <c r="P567" s="212" t="s">
        <v>1109</v>
      </c>
      <c r="Q567" s="212" t="s">
        <v>68</v>
      </c>
      <c r="R567" s="212" t="s">
        <v>2292</v>
      </c>
      <c r="S567" s="212"/>
      <c r="T567" s="212"/>
      <c r="U567" s="212"/>
      <c r="V567" s="212"/>
      <c r="W567" s="212"/>
      <c r="X567" s="212"/>
      <c r="Y567" s="212"/>
      <c r="Z567" s="212"/>
      <c r="AA567" s="212"/>
      <c r="AB567" s="212"/>
      <c r="AC567" s="212"/>
      <c r="AD567" s="212"/>
      <c r="AE567" s="212"/>
      <c r="AF567" s="212"/>
      <c r="AG567" s="212"/>
      <c r="AH567" s="212"/>
      <c r="AI567" s="212"/>
      <c r="AJ567" s="212"/>
      <c r="AK567" s="212"/>
      <c r="AL567" s="212"/>
      <c r="AM567" s="212"/>
      <c r="AN567" s="212"/>
      <c r="AO567" s="212"/>
      <c r="AP567" s="212"/>
      <c r="AQ567" s="212"/>
      <c r="AR567" s="212"/>
      <c r="AS567" s="212"/>
      <c r="AT567" s="212"/>
      <c r="AU567" s="212"/>
      <c r="AV567" s="212"/>
      <c r="AW567" s="212"/>
      <c r="AX567" s="212"/>
      <c r="AY567" s="212"/>
      <c r="AZ567" s="212"/>
      <c r="BA567" s="212"/>
      <c r="BB567" s="212"/>
      <c r="BC567" s="212"/>
      <c r="BD567" s="212"/>
      <c r="BE567" s="212"/>
      <c r="BF567" s="212"/>
      <c r="BG567" s="212"/>
      <c r="BH567" s="212"/>
      <c r="BI567" s="231" t="str">
        <f>HYPERLINK("#자재조서!A52","MZZ1007941 →")</f>
        <v>MZZ1007941 →</v>
      </c>
    </row>
    <row r="568" spans="1:61" ht="24" customHeight="1">
      <c r="A568" s="218" t="s">
        <v>2279</v>
      </c>
      <c r="B568" s="218" t="s">
        <v>2293</v>
      </c>
      <c r="C568" s="229">
        <v>3.6749999999999998</v>
      </c>
      <c r="D568" s="213" t="s">
        <v>1033</v>
      </c>
      <c r="E568" s="217">
        <f>자재조서!E50</f>
        <v>0</v>
      </c>
      <c r="F568" s="217">
        <f t="shared" si="65"/>
        <v>0</v>
      </c>
      <c r="G568" s="217">
        <v>0</v>
      </c>
      <c r="H568" s="217"/>
      <c r="I568" s="217">
        <v>0</v>
      </c>
      <c r="J568" s="217"/>
      <c r="K568" s="217">
        <f t="shared" si="64"/>
        <v>0</v>
      </c>
      <c r="L568" s="217">
        <f t="shared" si="63"/>
        <v>0</v>
      </c>
      <c r="M568" s="215" t="s">
        <v>68</v>
      </c>
      <c r="N568" s="212" t="s">
        <v>68</v>
      </c>
      <c r="O568" s="212"/>
      <c r="P568" s="212" t="s">
        <v>1110</v>
      </c>
      <c r="Q568" s="212" t="s">
        <v>68</v>
      </c>
      <c r="R568" s="212" t="s">
        <v>2294</v>
      </c>
      <c r="S568" s="212"/>
      <c r="T568" s="212"/>
      <c r="U568" s="212"/>
      <c r="V568" s="212"/>
      <c r="W568" s="212"/>
      <c r="X568" s="212"/>
      <c r="Y568" s="212"/>
      <c r="Z568" s="212"/>
      <c r="AA568" s="212"/>
      <c r="AB568" s="212"/>
      <c r="AC568" s="212"/>
      <c r="AD568" s="212"/>
      <c r="AE568" s="212"/>
      <c r="AF568" s="212"/>
      <c r="AG568" s="212"/>
      <c r="AH568" s="212"/>
      <c r="AI568" s="212"/>
      <c r="AJ568" s="212"/>
      <c r="AK568" s="212"/>
      <c r="AL568" s="212"/>
      <c r="AM568" s="212"/>
      <c r="AN568" s="212"/>
      <c r="AO568" s="212"/>
      <c r="AP568" s="212"/>
      <c r="AQ568" s="212"/>
      <c r="AR568" s="212"/>
      <c r="AS568" s="212"/>
      <c r="AT568" s="212"/>
      <c r="AU568" s="212"/>
      <c r="AV568" s="212"/>
      <c r="AW568" s="212"/>
      <c r="AX568" s="212"/>
      <c r="AY568" s="212"/>
      <c r="AZ568" s="212"/>
      <c r="BA568" s="212"/>
      <c r="BB568" s="212"/>
      <c r="BC568" s="212"/>
      <c r="BD568" s="212"/>
      <c r="BE568" s="212"/>
      <c r="BF568" s="212"/>
      <c r="BG568" s="212"/>
      <c r="BH568" s="212"/>
      <c r="BI568" s="231" t="str">
        <f>HYPERLINK("#자재조서!A50","MZZ1007932 →")</f>
        <v>MZZ1007932 →</v>
      </c>
    </row>
    <row r="569" spans="1:61" ht="24" customHeight="1">
      <c r="A569" s="218" t="s">
        <v>2279</v>
      </c>
      <c r="B569" s="218" t="s">
        <v>2295</v>
      </c>
      <c r="C569" s="229">
        <v>4.0839999999999996</v>
      </c>
      <c r="D569" s="213" t="s">
        <v>1412</v>
      </c>
      <c r="E569" s="217">
        <f>자재조서!E53</f>
        <v>0</v>
      </c>
      <c r="F569" s="217">
        <f t="shared" si="65"/>
        <v>0</v>
      </c>
      <c r="G569" s="217">
        <v>0</v>
      </c>
      <c r="H569" s="217"/>
      <c r="I569" s="217">
        <v>0</v>
      </c>
      <c r="J569" s="217"/>
      <c r="K569" s="217">
        <f t="shared" si="64"/>
        <v>0</v>
      </c>
      <c r="L569" s="217">
        <f t="shared" si="63"/>
        <v>0</v>
      </c>
      <c r="M569" s="215" t="s">
        <v>68</v>
      </c>
      <c r="N569" s="212" t="s">
        <v>68</v>
      </c>
      <c r="O569" s="212"/>
      <c r="P569" s="212" t="s">
        <v>1111</v>
      </c>
      <c r="Q569" s="212" t="s">
        <v>68</v>
      </c>
      <c r="R569" s="212" t="s">
        <v>2296</v>
      </c>
      <c r="S569" s="212"/>
      <c r="T569" s="212"/>
      <c r="U569" s="212"/>
      <c r="V569" s="212"/>
      <c r="W569" s="212"/>
      <c r="X569" s="212"/>
      <c r="Y569" s="212"/>
      <c r="Z569" s="212"/>
      <c r="AA569" s="212"/>
      <c r="AB569" s="212"/>
      <c r="AC569" s="212"/>
      <c r="AD569" s="212"/>
      <c r="AE569" s="212"/>
      <c r="AF569" s="212"/>
      <c r="AG569" s="212"/>
      <c r="AH569" s="212"/>
      <c r="AI569" s="212"/>
      <c r="AJ569" s="212"/>
      <c r="AK569" s="212"/>
      <c r="AL569" s="212"/>
      <c r="AM569" s="212"/>
      <c r="AN569" s="212"/>
      <c r="AO569" s="212"/>
      <c r="AP569" s="212"/>
      <c r="AQ569" s="212"/>
      <c r="AR569" s="212"/>
      <c r="AS569" s="212"/>
      <c r="AT569" s="212"/>
      <c r="AU569" s="212"/>
      <c r="AV569" s="212"/>
      <c r="AW569" s="212"/>
      <c r="AX569" s="212"/>
      <c r="AY569" s="212"/>
      <c r="AZ569" s="212"/>
      <c r="BA569" s="212"/>
      <c r="BB569" s="212"/>
      <c r="BC569" s="212"/>
      <c r="BD569" s="212"/>
      <c r="BE569" s="212"/>
      <c r="BF569" s="212"/>
      <c r="BG569" s="212"/>
      <c r="BH569" s="212"/>
      <c r="BI569" s="231" t="str">
        <f>HYPERLINK("#자재조서!A53","MZZ1007942 →")</f>
        <v>MZZ1007942 →</v>
      </c>
    </row>
    <row r="570" spans="1:61" ht="24" customHeight="1">
      <c r="A570" s="218" t="s">
        <v>68</v>
      </c>
      <c r="B570" s="218" t="s">
        <v>68</v>
      </c>
      <c r="C570" s="229"/>
      <c r="D570" s="213" t="s">
        <v>68</v>
      </c>
      <c r="E570" s="213"/>
      <c r="F570" s="217">
        <v>0</v>
      </c>
      <c r="G570" s="213"/>
      <c r="H570" s="217">
        <v>0</v>
      </c>
      <c r="I570" s="213"/>
      <c r="J570" s="217">
        <v>0</v>
      </c>
      <c r="K570" s="217">
        <f t="shared" si="64"/>
        <v>0</v>
      </c>
      <c r="L570" s="217">
        <f t="shared" si="63"/>
        <v>0</v>
      </c>
      <c r="M570" s="215" t="s">
        <v>68</v>
      </c>
      <c r="N570" s="212" t="s">
        <v>68</v>
      </c>
      <c r="O570" s="212"/>
      <c r="P570" s="212" t="s">
        <v>1113</v>
      </c>
      <c r="Q570" s="212" t="s">
        <v>68</v>
      </c>
      <c r="R570" s="212" t="s">
        <v>68</v>
      </c>
      <c r="S570" s="212"/>
      <c r="T570" s="212"/>
      <c r="U570" s="212"/>
      <c r="V570" s="212"/>
      <c r="W570" s="212"/>
      <c r="X570" s="212"/>
      <c r="Y570" s="212"/>
      <c r="Z570" s="212"/>
      <c r="AA570" s="212"/>
      <c r="AB570" s="212"/>
      <c r="AC570" s="212"/>
      <c r="AD570" s="212"/>
      <c r="AE570" s="212"/>
      <c r="AF570" s="212"/>
      <c r="AG570" s="212"/>
      <c r="AH570" s="212"/>
      <c r="AI570" s="212"/>
      <c r="AJ570" s="212"/>
      <c r="AK570" s="212"/>
      <c r="AL570" s="212"/>
      <c r="AM570" s="212"/>
      <c r="AN570" s="212"/>
      <c r="AO570" s="212"/>
      <c r="AP570" s="212"/>
      <c r="AQ570" s="212"/>
      <c r="AR570" s="212"/>
      <c r="AS570" s="212"/>
      <c r="AT570" s="212"/>
      <c r="AU570" s="212"/>
      <c r="AV570" s="212"/>
      <c r="AW570" s="212"/>
      <c r="AX570" s="212"/>
      <c r="AY570" s="212"/>
      <c r="AZ570" s="212"/>
      <c r="BA570" s="212"/>
      <c r="BB570" s="212"/>
      <c r="BC570" s="212"/>
      <c r="BD570" s="212"/>
      <c r="BE570" s="212"/>
      <c r="BF570" s="212"/>
      <c r="BG570" s="212"/>
      <c r="BH570" s="212"/>
      <c r="BI570" s="212"/>
    </row>
    <row r="571" spans="1:61" ht="24" customHeight="1">
      <c r="A571" s="218" t="s">
        <v>2297</v>
      </c>
      <c r="B571" s="218" t="s">
        <v>68</v>
      </c>
      <c r="C571" s="229"/>
      <c r="D571" s="213" t="s">
        <v>68</v>
      </c>
      <c r="E571" s="213"/>
      <c r="F571" s="217">
        <v>0</v>
      </c>
      <c r="G571" s="213"/>
      <c r="H571" s="217">
        <v>0</v>
      </c>
      <c r="I571" s="213"/>
      <c r="J571" s="217">
        <v>0</v>
      </c>
      <c r="K571" s="217">
        <f t="shared" si="64"/>
        <v>0</v>
      </c>
      <c r="L571" s="217">
        <f t="shared" si="63"/>
        <v>0</v>
      </c>
      <c r="M571" s="215" t="s">
        <v>68</v>
      </c>
      <c r="N571" s="212" t="s">
        <v>68</v>
      </c>
      <c r="O571" s="212"/>
      <c r="P571" s="212" t="s">
        <v>1114</v>
      </c>
      <c r="Q571" s="212" t="s">
        <v>68</v>
      </c>
      <c r="R571" s="212" t="s">
        <v>68</v>
      </c>
      <c r="S571" s="212"/>
      <c r="T571" s="212"/>
      <c r="U571" s="212"/>
      <c r="V571" s="212"/>
      <c r="W571" s="212"/>
      <c r="X571" s="212"/>
      <c r="Y571" s="212"/>
      <c r="Z571" s="212"/>
      <c r="AA571" s="212"/>
      <c r="AB571" s="212"/>
      <c r="AC571" s="212"/>
      <c r="AD571" s="212"/>
      <c r="AE571" s="212"/>
      <c r="AF571" s="212"/>
      <c r="AG571" s="212"/>
      <c r="AH571" s="212"/>
      <c r="AI571" s="212"/>
      <c r="AJ571" s="212"/>
      <c r="AK571" s="212"/>
      <c r="AL571" s="212"/>
      <c r="AM571" s="212"/>
      <c r="AN571" s="212"/>
      <c r="AO571" s="212"/>
      <c r="AP571" s="212"/>
      <c r="AQ571" s="212"/>
      <c r="AR571" s="212"/>
      <c r="AS571" s="212"/>
      <c r="AT571" s="212"/>
      <c r="AU571" s="212"/>
      <c r="AV571" s="212"/>
      <c r="AW571" s="212"/>
      <c r="AX571" s="212"/>
      <c r="AY571" s="212"/>
      <c r="AZ571" s="212"/>
      <c r="BA571" s="212"/>
      <c r="BB571" s="212"/>
      <c r="BC571" s="212"/>
      <c r="BD571" s="212"/>
      <c r="BE571" s="212"/>
      <c r="BF571" s="212"/>
      <c r="BG571" s="212"/>
      <c r="BH571" s="212"/>
      <c r="BI571" s="212"/>
    </row>
    <row r="572" spans="1:61" ht="24" customHeight="1">
      <c r="A572" s="218" t="s">
        <v>2109</v>
      </c>
      <c r="B572" s="218" t="s">
        <v>1946</v>
      </c>
      <c r="C572" s="229">
        <v>3.2000000000000001E-2</v>
      </c>
      <c r="D572" s="213" t="s">
        <v>1286</v>
      </c>
      <c r="E572" s="217">
        <v>0</v>
      </c>
      <c r="F572" s="217"/>
      <c r="G572" s="217">
        <f>노임!D18</f>
        <v>0</v>
      </c>
      <c r="H572" s="217">
        <f>TRUNC(G572*C572,0)</f>
        <v>0</v>
      </c>
      <c r="I572" s="217">
        <v>0</v>
      </c>
      <c r="J572" s="217"/>
      <c r="K572" s="217">
        <f t="shared" si="64"/>
        <v>0</v>
      </c>
      <c r="L572" s="217">
        <f t="shared" si="63"/>
        <v>0</v>
      </c>
      <c r="M572" s="215" t="s">
        <v>68</v>
      </c>
      <c r="N572" s="212" t="s">
        <v>68</v>
      </c>
      <c r="O572" s="212"/>
      <c r="P572" s="212" t="s">
        <v>1115</v>
      </c>
      <c r="Q572" s="212" t="s">
        <v>68</v>
      </c>
      <c r="R572" s="212" t="s">
        <v>2110</v>
      </c>
      <c r="S572" s="212"/>
      <c r="T572" s="212"/>
      <c r="U572" s="212"/>
      <c r="V572" s="212"/>
      <c r="W572" s="212"/>
      <c r="X572" s="212"/>
      <c r="Y572" s="212"/>
      <c r="Z572" s="212"/>
      <c r="AA572" s="212"/>
      <c r="AB572" s="212"/>
      <c r="AC572" s="212"/>
      <c r="AD572" s="212"/>
      <c r="AE572" s="212"/>
      <c r="AF572" s="212"/>
      <c r="AG572" s="212"/>
      <c r="AH572" s="212"/>
      <c r="AI572" s="212"/>
      <c r="AJ572" s="212"/>
      <c r="AK572" s="212"/>
      <c r="AL572" s="212"/>
      <c r="AM572" s="212"/>
      <c r="AN572" s="212"/>
      <c r="AO572" s="212"/>
      <c r="AP572" s="212"/>
      <c r="AQ572" s="212"/>
      <c r="AR572" s="212"/>
      <c r="AS572" s="212"/>
      <c r="AT572" s="212"/>
      <c r="AU572" s="212"/>
      <c r="AV572" s="212"/>
      <c r="AW572" s="212"/>
      <c r="AX572" s="212"/>
      <c r="AY572" s="212"/>
      <c r="AZ572" s="212"/>
      <c r="BA572" s="212"/>
      <c r="BB572" s="212"/>
      <c r="BC572" s="212"/>
      <c r="BD572" s="212"/>
      <c r="BE572" s="212"/>
      <c r="BF572" s="212"/>
      <c r="BG572" s="212"/>
      <c r="BH572" s="212"/>
      <c r="BI572" s="231" t="str">
        <f>HYPERLINK("#노임!A18","L001010101000030 →")</f>
        <v>L001010101000030 →</v>
      </c>
    </row>
    <row r="573" spans="1:61" ht="24" customHeight="1">
      <c r="A573" s="218" t="s">
        <v>1967</v>
      </c>
      <c r="B573" s="218" t="s">
        <v>1946</v>
      </c>
      <c r="C573" s="229">
        <v>1.4999999999999999E-2</v>
      </c>
      <c r="D573" s="213" t="s">
        <v>1286</v>
      </c>
      <c r="E573" s="217">
        <v>0</v>
      </c>
      <c r="F573" s="217"/>
      <c r="G573" s="217">
        <f>노임!D3</f>
        <v>0</v>
      </c>
      <c r="H573" s="217">
        <f>TRUNC(G573*C573,0)</f>
        <v>0</v>
      </c>
      <c r="I573" s="217">
        <v>0</v>
      </c>
      <c r="J573" s="217"/>
      <c r="K573" s="217">
        <f t="shared" si="64"/>
        <v>0</v>
      </c>
      <c r="L573" s="217">
        <f t="shared" si="63"/>
        <v>0</v>
      </c>
      <c r="M573" s="215" t="s">
        <v>68</v>
      </c>
      <c r="N573" s="212" t="s">
        <v>68</v>
      </c>
      <c r="O573" s="212"/>
      <c r="P573" s="212" t="s">
        <v>1116</v>
      </c>
      <c r="Q573" s="212" t="s">
        <v>68</v>
      </c>
      <c r="R573" s="212" t="s">
        <v>1968</v>
      </c>
      <c r="S573" s="212"/>
      <c r="T573" s="212"/>
      <c r="U573" s="212"/>
      <c r="V573" s="212"/>
      <c r="W573" s="212"/>
      <c r="X573" s="212"/>
      <c r="Y573" s="212"/>
      <c r="Z573" s="212"/>
      <c r="AA573" s="220" t="s">
        <v>1117</v>
      </c>
      <c r="AB573" s="212">
        <f>(호표!H572+호표!H573)*0.06</f>
        <v>0</v>
      </c>
      <c r="AC573" s="220" t="s">
        <v>1118</v>
      </c>
      <c r="AD573" s="212">
        <f>$AB573</f>
        <v>0</v>
      </c>
      <c r="AE573" s="212"/>
      <c r="AF573" s="212"/>
      <c r="AG573" s="212"/>
      <c r="AH573" s="212"/>
      <c r="AI573" s="212"/>
      <c r="AJ573" s="212"/>
      <c r="AK573" s="212"/>
      <c r="AL573" s="212"/>
      <c r="AM573" s="212"/>
      <c r="AN573" s="212"/>
      <c r="AO573" s="212"/>
      <c r="AP573" s="212"/>
      <c r="AQ573" s="212"/>
      <c r="AR573" s="212"/>
      <c r="AS573" s="212"/>
      <c r="AT573" s="212"/>
      <c r="AU573" s="212"/>
      <c r="AV573" s="212"/>
      <c r="AW573" s="212"/>
      <c r="AX573" s="212"/>
      <c r="AY573" s="212"/>
      <c r="AZ573" s="212"/>
      <c r="BA573" s="212"/>
      <c r="BB573" s="212"/>
      <c r="BC573" s="212"/>
      <c r="BD573" s="212"/>
      <c r="BE573" s="212"/>
      <c r="BF573" s="212"/>
      <c r="BG573" s="212"/>
      <c r="BH573" s="212"/>
      <c r="BI573" s="231" t="str">
        <f>HYPERLINK("#노임!A3","L001010101000002 →")</f>
        <v>L001010101000002 →</v>
      </c>
    </row>
    <row r="574" spans="1:61" ht="24" customHeight="1">
      <c r="A574" s="218" t="s">
        <v>1974</v>
      </c>
      <c r="B574" s="218" t="s">
        <v>2009</v>
      </c>
      <c r="C574" s="228">
        <v>6</v>
      </c>
      <c r="D574" s="213" t="s">
        <v>1950</v>
      </c>
      <c r="E574" s="213"/>
      <c r="F574" s="217">
        <f>TRUNC(((H572+H573)*0.06),0)</f>
        <v>0</v>
      </c>
      <c r="G574" s="213"/>
      <c r="H574" s="217">
        <v>0</v>
      </c>
      <c r="I574" s="213"/>
      <c r="J574" s="217">
        <v>0</v>
      </c>
      <c r="K574" s="217">
        <f t="shared" si="64"/>
        <v>0</v>
      </c>
      <c r="L574" s="217">
        <f t="shared" si="63"/>
        <v>0</v>
      </c>
      <c r="M574" s="215" t="s">
        <v>68</v>
      </c>
      <c r="N574" s="212" t="s">
        <v>68</v>
      </c>
      <c r="O574" s="212"/>
      <c r="P574" s="212" t="s">
        <v>1120</v>
      </c>
      <c r="Q574" s="212" t="s">
        <v>68</v>
      </c>
      <c r="R574" s="212" t="s">
        <v>1121</v>
      </c>
      <c r="S574" s="212"/>
      <c r="T574" s="212"/>
      <c r="U574" s="212"/>
      <c r="V574" s="212"/>
      <c r="W574" s="212"/>
      <c r="X574" s="212" t="s">
        <v>2298</v>
      </c>
      <c r="Y574" s="212"/>
      <c r="Z574" s="212"/>
      <c r="AA574" s="212"/>
      <c r="AB574" s="212"/>
      <c r="AC574" s="212"/>
      <c r="AD574" s="212"/>
      <c r="AE574" s="212"/>
      <c r="AF574" s="212"/>
      <c r="AG574" s="212"/>
      <c r="AH574" s="212"/>
      <c r="AI574" s="212"/>
      <c r="AJ574" s="212"/>
      <c r="AK574" s="212"/>
      <c r="AL574" s="212"/>
      <c r="AM574" s="212"/>
      <c r="AN574" s="212"/>
      <c r="AO574" s="212"/>
      <c r="AP574" s="212"/>
      <c r="AQ574" s="212"/>
      <c r="AR574" s="212"/>
      <c r="AS574" s="212"/>
      <c r="AT574" s="212"/>
      <c r="AU574" s="212"/>
      <c r="AV574" s="212"/>
      <c r="AW574" s="212"/>
      <c r="AX574" s="212"/>
      <c r="AY574" s="212"/>
      <c r="AZ574" s="212"/>
      <c r="BA574" s="212"/>
      <c r="BB574" s="212"/>
      <c r="BC574" s="212"/>
      <c r="BD574" s="212"/>
      <c r="BE574" s="212"/>
      <c r="BF574" s="212"/>
      <c r="BG574" s="212"/>
      <c r="BH574" s="212"/>
      <c r="BI574" s="212"/>
    </row>
    <row r="575" spans="1:61" ht="24" customHeight="1">
      <c r="A575" s="215"/>
      <c r="B575" s="215"/>
      <c r="C575" s="229"/>
      <c r="D575" s="213"/>
      <c r="E575" s="213"/>
      <c r="F575" s="213"/>
      <c r="G575" s="213"/>
      <c r="H575" s="213"/>
      <c r="I575" s="213"/>
      <c r="J575" s="213"/>
      <c r="K575" s="213"/>
      <c r="L575" s="213"/>
      <c r="M575" s="215"/>
      <c r="N575" s="212"/>
      <c r="O575" s="212"/>
      <c r="P575" s="212"/>
      <c r="Q575" s="212"/>
      <c r="R575" s="212"/>
      <c r="S575" s="212"/>
      <c r="T575" s="212"/>
      <c r="U575" s="212"/>
      <c r="V575" s="212"/>
      <c r="W575" s="212"/>
      <c r="X575" s="212"/>
      <c r="Y575" s="212"/>
      <c r="Z575" s="212"/>
      <c r="AA575" s="212"/>
      <c r="AB575" s="212"/>
      <c r="AC575" s="212"/>
      <c r="AD575" s="212"/>
      <c r="AE575" s="212"/>
      <c r="AF575" s="212"/>
      <c r="AG575" s="212"/>
      <c r="AH575" s="212"/>
      <c r="AI575" s="212"/>
      <c r="AJ575" s="212"/>
      <c r="AK575" s="212"/>
      <c r="AL575" s="212"/>
      <c r="AM575" s="212"/>
      <c r="AN575" s="212"/>
      <c r="AO575" s="212"/>
      <c r="AP575" s="212"/>
      <c r="AQ575" s="212"/>
      <c r="AR575" s="212"/>
      <c r="AS575" s="212"/>
      <c r="AT575" s="212"/>
      <c r="AU575" s="212"/>
      <c r="AV575" s="212"/>
      <c r="AW575" s="212"/>
      <c r="AX575" s="212"/>
      <c r="AY575" s="212"/>
      <c r="AZ575" s="212"/>
      <c r="BA575" s="212"/>
      <c r="BB575" s="212"/>
      <c r="BC575" s="212"/>
      <c r="BD575" s="212"/>
      <c r="BE575" s="212"/>
      <c r="BF575" s="212"/>
      <c r="BG575" s="212"/>
      <c r="BH575" s="212"/>
      <c r="BI575" s="212"/>
    </row>
    <row r="576" spans="1:61" ht="24" customHeight="1">
      <c r="A576" s="218" t="s">
        <v>2299</v>
      </c>
      <c r="B576" s="218" t="s">
        <v>1357</v>
      </c>
      <c r="C576" s="228">
        <v>1</v>
      </c>
      <c r="D576" s="213" t="s">
        <v>9</v>
      </c>
      <c r="E576" s="212"/>
      <c r="F576" s="217">
        <f>TRUNC(F577+F578+F579,0)</f>
        <v>0</v>
      </c>
      <c r="G576" s="212"/>
      <c r="H576" s="217">
        <f>TRUNC(H577+H578+H579,0)</f>
        <v>0</v>
      </c>
      <c r="I576" s="212"/>
      <c r="J576" s="217">
        <f>TRUNC(J577+J578+J579,0)</f>
        <v>0</v>
      </c>
      <c r="K576" s="212"/>
      <c r="L576" s="217">
        <f>F576+H576+J576</f>
        <v>0</v>
      </c>
      <c r="M576" s="215" t="s">
        <v>1824</v>
      </c>
      <c r="N576" s="212" t="s">
        <v>68</v>
      </c>
      <c r="O576" s="212" t="s">
        <v>1359</v>
      </c>
      <c r="P576" s="212"/>
      <c r="Q576" s="212"/>
      <c r="R576" s="212"/>
      <c r="S576" s="212"/>
      <c r="T576" s="212"/>
      <c r="U576" s="212"/>
      <c r="V576" s="212"/>
      <c r="W576" s="212"/>
      <c r="X576" s="212"/>
      <c r="Y576" s="212"/>
      <c r="Z576" s="212"/>
      <c r="AA576" s="212"/>
      <c r="AB576" s="212"/>
      <c r="AC576" s="212"/>
      <c r="AD576" s="212"/>
      <c r="AE576" s="212"/>
      <c r="AF576" s="212"/>
      <c r="AG576" s="212"/>
      <c r="AH576" s="212"/>
      <c r="AI576" s="212"/>
      <c r="AJ576" s="212"/>
      <c r="AK576" s="212"/>
      <c r="AL576" s="212"/>
      <c r="AM576" s="212"/>
      <c r="AN576" s="212"/>
      <c r="AO576" s="212"/>
      <c r="AP576" s="212"/>
      <c r="AQ576" s="212"/>
      <c r="AR576" s="212"/>
      <c r="AS576" s="212"/>
      <c r="AT576" s="212"/>
      <c r="AU576" s="212"/>
      <c r="AV576" s="212"/>
      <c r="AW576" s="212"/>
      <c r="AX576" s="212"/>
      <c r="AY576" s="212"/>
      <c r="AZ576" s="212"/>
      <c r="BA576" s="212"/>
      <c r="BB576" s="212"/>
      <c r="BC576" s="212"/>
      <c r="BD576" s="212"/>
      <c r="BE576" s="212"/>
      <c r="BF576" s="212"/>
      <c r="BG576" s="212"/>
      <c r="BH576" s="212"/>
      <c r="BI576" s="212"/>
    </row>
    <row r="577" spans="1:61" ht="24" customHeight="1">
      <c r="A577" s="218" t="s">
        <v>2109</v>
      </c>
      <c r="B577" s="218" t="s">
        <v>1946</v>
      </c>
      <c r="C577" s="229">
        <v>5.7000000000000002E-2</v>
      </c>
      <c r="D577" s="213" t="s">
        <v>1286</v>
      </c>
      <c r="E577" s="217">
        <v>0</v>
      </c>
      <c r="F577" s="217"/>
      <c r="G577" s="217">
        <f>노임!D18</f>
        <v>0</v>
      </c>
      <c r="H577" s="217">
        <f>TRUNC(G577*C577,0)</f>
        <v>0</v>
      </c>
      <c r="I577" s="217">
        <v>0</v>
      </c>
      <c r="J577" s="217"/>
      <c r="K577" s="217">
        <f>E577+G577+I577</f>
        <v>0</v>
      </c>
      <c r="L577" s="217">
        <f>F577+H577+J577</f>
        <v>0</v>
      </c>
      <c r="M577" s="215" t="s">
        <v>68</v>
      </c>
      <c r="N577" s="212" t="s">
        <v>68</v>
      </c>
      <c r="O577" s="212"/>
      <c r="P577" s="212" t="s">
        <v>1098</v>
      </c>
      <c r="Q577" s="212" t="s">
        <v>68</v>
      </c>
      <c r="R577" s="212" t="s">
        <v>2110</v>
      </c>
      <c r="S577" s="212"/>
      <c r="T577" s="212"/>
      <c r="U577" s="212"/>
      <c r="V577" s="212"/>
      <c r="W577" s="212"/>
      <c r="X577" s="212"/>
      <c r="Y577" s="212"/>
      <c r="Z577" s="212"/>
      <c r="AA577" s="212"/>
      <c r="AB577" s="212"/>
      <c r="AC577" s="212"/>
      <c r="AD577" s="212"/>
      <c r="AE577" s="212"/>
      <c r="AF577" s="212"/>
      <c r="AG577" s="212"/>
      <c r="AH577" s="212"/>
      <c r="AI577" s="212"/>
      <c r="AJ577" s="212"/>
      <c r="AK577" s="212"/>
      <c r="AL577" s="212"/>
      <c r="AM577" s="212"/>
      <c r="AN577" s="212"/>
      <c r="AO577" s="212"/>
      <c r="AP577" s="212"/>
      <c r="AQ577" s="212"/>
      <c r="AR577" s="212"/>
      <c r="AS577" s="212"/>
      <c r="AT577" s="212"/>
      <c r="AU577" s="212"/>
      <c r="AV577" s="212"/>
      <c r="AW577" s="212"/>
      <c r="AX577" s="212"/>
      <c r="AY577" s="212"/>
      <c r="AZ577" s="212"/>
      <c r="BA577" s="212"/>
      <c r="BB577" s="212"/>
      <c r="BC577" s="212"/>
      <c r="BD577" s="212"/>
      <c r="BE577" s="212"/>
      <c r="BF577" s="212"/>
      <c r="BG577" s="212"/>
      <c r="BH577" s="212"/>
      <c r="BI577" s="231" t="str">
        <f>HYPERLINK("#노임!A18","L001010101000030 →")</f>
        <v>L001010101000030 →</v>
      </c>
    </row>
    <row r="578" spans="1:61" ht="24" customHeight="1">
      <c r="A578" s="218" t="s">
        <v>1967</v>
      </c>
      <c r="B578" s="218" t="s">
        <v>1946</v>
      </c>
      <c r="C578" s="229">
        <v>2.9000000000000001E-2</v>
      </c>
      <c r="D578" s="213" t="s">
        <v>1286</v>
      </c>
      <c r="E578" s="217">
        <v>0</v>
      </c>
      <c r="F578" s="217"/>
      <c r="G578" s="217">
        <f>노임!D3</f>
        <v>0</v>
      </c>
      <c r="H578" s="217">
        <f>TRUNC(G578*C578,0)</f>
        <v>0</v>
      </c>
      <c r="I578" s="217">
        <v>0</v>
      </c>
      <c r="J578" s="217"/>
      <c r="K578" s="217">
        <f>E578+G578+I578</f>
        <v>0</v>
      </c>
      <c r="L578" s="217">
        <f>F578+H578+J578</f>
        <v>0</v>
      </c>
      <c r="M578" s="215" t="s">
        <v>68</v>
      </c>
      <c r="N578" s="212" t="s">
        <v>68</v>
      </c>
      <c r="O578" s="212"/>
      <c r="P578" s="212" t="s">
        <v>1101</v>
      </c>
      <c r="Q578" s="212" t="s">
        <v>68</v>
      </c>
      <c r="R578" s="212" t="s">
        <v>1968</v>
      </c>
      <c r="S578" s="212"/>
      <c r="T578" s="212"/>
      <c r="U578" s="212"/>
      <c r="V578" s="212"/>
      <c r="W578" s="212"/>
      <c r="X578" s="212"/>
      <c r="Y578" s="212"/>
      <c r="Z578" s="212"/>
      <c r="AA578" s="220" t="s">
        <v>1117</v>
      </c>
      <c r="AB578" s="212">
        <f>(호표!H577+호표!H578)*0.01</f>
        <v>0</v>
      </c>
      <c r="AC578" s="220" t="s">
        <v>1118</v>
      </c>
      <c r="AD578" s="212">
        <f>$AB578</f>
        <v>0</v>
      </c>
      <c r="AE578" s="212"/>
      <c r="AF578" s="212"/>
      <c r="AG578" s="212"/>
      <c r="AH578" s="212"/>
      <c r="AI578" s="212"/>
      <c r="AJ578" s="212"/>
      <c r="AK578" s="212"/>
      <c r="AL578" s="212"/>
      <c r="AM578" s="212"/>
      <c r="AN578" s="212"/>
      <c r="AO578" s="212"/>
      <c r="AP578" s="212"/>
      <c r="AQ578" s="212"/>
      <c r="AR578" s="212"/>
      <c r="AS578" s="212"/>
      <c r="AT578" s="212"/>
      <c r="AU578" s="212"/>
      <c r="AV578" s="212"/>
      <c r="AW578" s="212"/>
      <c r="AX578" s="212"/>
      <c r="AY578" s="212"/>
      <c r="AZ578" s="212"/>
      <c r="BA578" s="212"/>
      <c r="BB578" s="212"/>
      <c r="BC578" s="212"/>
      <c r="BD578" s="212"/>
      <c r="BE578" s="212"/>
      <c r="BF578" s="212"/>
      <c r="BG578" s="212"/>
      <c r="BH578" s="212"/>
      <c r="BI578" s="231" t="str">
        <f>HYPERLINK("#노임!A3","L001010101000002 →")</f>
        <v>L001010101000002 →</v>
      </c>
    </row>
    <row r="579" spans="1:61" ht="24" customHeight="1">
      <c r="A579" s="218" t="s">
        <v>1974</v>
      </c>
      <c r="B579" s="218" t="s">
        <v>2300</v>
      </c>
      <c r="C579" s="228">
        <v>1</v>
      </c>
      <c r="D579" s="213" t="s">
        <v>1950</v>
      </c>
      <c r="E579" s="213"/>
      <c r="F579" s="217">
        <f>TRUNC(((H577+H578)*0.01),0)</f>
        <v>0</v>
      </c>
      <c r="G579" s="213"/>
      <c r="H579" s="217">
        <v>0</v>
      </c>
      <c r="I579" s="213"/>
      <c r="J579" s="217">
        <v>0</v>
      </c>
      <c r="K579" s="217">
        <f>E579+G579+I579</f>
        <v>0</v>
      </c>
      <c r="L579" s="217">
        <f>F579+H579+J579</f>
        <v>0</v>
      </c>
      <c r="M579" s="215" t="s">
        <v>68</v>
      </c>
      <c r="N579" s="212" t="s">
        <v>68</v>
      </c>
      <c r="O579" s="212"/>
      <c r="P579" s="212" t="s">
        <v>1104</v>
      </c>
      <c r="Q579" s="212" t="s">
        <v>68</v>
      </c>
      <c r="R579" s="212" t="s">
        <v>1121</v>
      </c>
      <c r="S579" s="212"/>
      <c r="T579" s="212"/>
      <c r="U579" s="212"/>
      <c r="V579" s="212"/>
      <c r="W579" s="212"/>
      <c r="X579" s="212" t="s">
        <v>2301</v>
      </c>
      <c r="Y579" s="212"/>
      <c r="Z579" s="212"/>
      <c r="AA579" s="212"/>
      <c r="AB579" s="212"/>
      <c r="AC579" s="212"/>
      <c r="AD579" s="212"/>
      <c r="AE579" s="212"/>
      <c r="AF579" s="212"/>
      <c r="AG579" s="212"/>
      <c r="AH579" s="212"/>
      <c r="AI579" s="212"/>
      <c r="AJ579" s="212"/>
      <c r="AK579" s="212"/>
      <c r="AL579" s="212"/>
      <c r="AM579" s="212"/>
      <c r="AN579" s="212"/>
      <c r="AO579" s="212"/>
      <c r="AP579" s="212"/>
      <c r="AQ579" s="212"/>
      <c r="AR579" s="212"/>
      <c r="AS579" s="212"/>
      <c r="AT579" s="212"/>
      <c r="AU579" s="212"/>
      <c r="AV579" s="212"/>
      <c r="AW579" s="212"/>
      <c r="AX579" s="212"/>
      <c r="AY579" s="212"/>
      <c r="AZ579" s="212"/>
      <c r="BA579" s="212"/>
      <c r="BB579" s="212"/>
      <c r="BC579" s="212"/>
      <c r="BD579" s="212"/>
      <c r="BE579" s="212"/>
      <c r="BF579" s="212"/>
      <c r="BG579" s="212"/>
      <c r="BH579" s="212"/>
      <c r="BI579" s="212"/>
    </row>
    <row r="580" spans="1:61" ht="24" customHeight="1">
      <c r="A580" s="215"/>
      <c r="B580" s="215"/>
      <c r="C580" s="229"/>
      <c r="D580" s="213"/>
      <c r="E580" s="213"/>
      <c r="F580" s="213"/>
      <c r="G580" s="213"/>
      <c r="H580" s="213"/>
      <c r="I580" s="213"/>
      <c r="J580" s="213"/>
      <c r="K580" s="213"/>
      <c r="L580" s="213"/>
      <c r="M580" s="215"/>
      <c r="N580" s="212"/>
      <c r="O580" s="212"/>
      <c r="P580" s="212"/>
      <c r="Q580" s="212"/>
      <c r="R580" s="212"/>
      <c r="S580" s="212"/>
      <c r="T580" s="212"/>
      <c r="U580" s="212"/>
      <c r="V580" s="212"/>
      <c r="W580" s="212"/>
      <c r="X580" s="212"/>
      <c r="Y580" s="212"/>
      <c r="Z580" s="212"/>
      <c r="AA580" s="212"/>
      <c r="AB580" s="212"/>
      <c r="AC580" s="212"/>
      <c r="AD580" s="212"/>
      <c r="AE580" s="212"/>
      <c r="AF580" s="212"/>
      <c r="AG580" s="212"/>
      <c r="AH580" s="212"/>
      <c r="AI580" s="212"/>
      <c r="AJ580" s="212"/>
      <c r="AK580" s="212"/>
      <c r="AL580" s="212"/>
      <c r="AM580" s="212"/>
      <c r="AN580" s="212"/>
      <c r="AO580" s="212"/>
      <c r="AP580" s="212"/>
      <c r="AQ580" s="212"/>
      <c r="AR580" s="212"/>
      <c r="AS580" s="212"/>
      <c r="AT580" s="212"/>
      <c r="AU580" s="212"/>
      <c r="AV580" s="212"/>
      <c r="AW580" s="212"/>
      <c r="AX580" s="212"/>
      <c r="AY580" s="212"/>
      <c r="AZ580" s="212"/>
      <c r="BA580" s="212"/>
      <c r="BB580" s="212"/>
      <c r="BC580" s="212"/>
      <c r="BD580" s="212"/>
      <c r="BE580" s="212"/>
      <c r="BF580" s="212"/>
      <c r="BG580" s="212"/>
      <c r="BH580" s="212"/>
      <c r="BI580" s="212"/>
    </row>
    <row r="581" spans="1:61" ht="24" customHeight="1">
      <c r="A581" s="218" t="s">
        <v>2302</v>
      </c>
      <c r="B581" s="218" t="s">
        <v>1361</v>
      </c>
      <c r="C581" s="228">
        <v>1</v>
      </c>
      <c r="D581" s="213" t="s">
        <v>9</v>
      </c>
      <c r="E581" s="212"/>
      <c r="F581" s="217">
        <f>TRUNC(F582+F583+F584+F585+F586,0)</f>
        <v>0</v>
      </c>
      <c r="G581" s="212"/>
      <c r="H581" s="217">
        <f>TRUNC(H582+H583+H584+H585+H586,0)</f>
        <v>0</v>
      </c>
      <c r="I581" s="212"/>
      <c r="J581" s="217">
        <f>TRUNC(J582+J583+J584+J585+J586,0)</f>
        <v>0</v>
      </c>
      <c r="K581" s="212"/>
      <c r="L581" s="217">
        <f t="shared" ref="L581:L586" si="66">F581+H581+J581</f>
        <v>0</v>
      </c>
      <c r="M581" s="215" t="s">
        <v>1826</v>
      </c>
      <c r="N581" s="212" t="s">
        <v>68</v>
      </c>
      <c r="O581" s="212" t="s">
        <v>1363</v>
      </c>
      <c r="P581" s="212"/>
      <c r="Q581" s="212"/>
      <c r="R581" s="212"/>
      <c r="S581" s="212"/>
      <c r="T581" s="212"/>
      <c r="U581" s="212"/>
      <c r="V581" s="212"/>
      <c r="W581" s="212"/>
      <c r="X581" s="212"/>
      <c r="Y581" s="212"/>
      <c r="Z581" s="212"/>
      <c r="AA581" s="212"/>
      <c r="AB581" s="212"/>
      <c r="AC581" s="212"/>
      <c r="AD581" s="212"/>
      <c r="AE581" s="212"/>
      <c r="AF581" s="212"/>
      <c r="AG581" s="212"/>
      <c r="AH581" s="212"/>
      <c r="AI581" s="212"/>
      <c r="AJ581" s="212"/>
      <c r="AK581" s="212"/>
      <c r="AL581" s="212"/>
      <c r="AM581" s="212"/>
      <c r="AN581" s="212"/>
      <c r="AO581" s="212"/>
      <c r="AP581" s="212"/>
      <c r="AQ581" s="212"/>
      <c r="AR581" s="212"/>
      <c r="AS581" s="212"/>
      <c r="AT581" s="212"/>
      <c r="AU581" s="212"/>
      <c r="AV581" s="212"/>
      <c r="AW581" s="212"/>
      <c r="AX581" s="212"/>
      <c r="AY581" s="212"/>
      <c r="AZ581" s="212"/>
      <c r="BA581" s="212"/>
      <c r="BB581" s="212"/>
      <c r="BC581" s="212"/>
      <c r="BD581" s="212"/>
      <c r="BE581" s="212"/>
      <c r="BF581" s="212"/>
      <c r="BG581" s="212"/>
      <c r="BH581" s="212"/>
      <c r="BI581" s="212"/>
    </row>
    <row r="582" spans="1:61" ht="24" customHeight="1">
      <c r="A582" s="218" t="s">
        <v>2303</v>
      </c>
      <c r="B582" s="218" t="s">
        <v>2304</v>
      </c>
      <c r="C582" s="229">
        <v>1.05</v>
      </c>
      <c r="D582" s="213" t="s">
        <v>9</v>
      </c>
      <c r="E582" s="217">
        <f>자재조서!E23</f>
        <v>0</v>
      </c>
      <c r="F582" s="217">
        <f>TRUNC(E582*C582,0)</f>
        <v>0</v>
      </c>
      <c r="G582" s="217">
        <v>0</v>
      </c>
      <c r="H582" s="217"/>
      <c r="I582" s="217">
        <v>0</v>
      </c>
      <c r="J582" s="217"/>
      <c r="K582" s="217">
        <f>E582+G582+I582</f>
        <v>0</v>
      </c>
      <c r="L582" s="217">
        <f t="shared" si="66"/>
        <v>0</v>
      </c>
      <c r="M582" s="215" t="s">
        <v>68</v>
      </c>
      <c r="N582" s="212" t="s">
        <v>68</v>
      </c>
      <c r="O582" s="212"/>
      <c r="P582" s="212" t="s">
        <v>1095</v>
      </c>
      <c r="Q582" s="212" t="s">
        <v>68</v>
      </c>
      <c r="R582" s="212" t="s">
        <v>2305</v>
      </c>
      <c r="S582" s="212"/>
      <c r="T582" s="212"/>
      <c r="U582" s="212"/>
      <c r="V582" s="212"/>
      <c r="W582" s="212"/>
      <c r="X582" s="212"/>
      <c r="Y582" s="212"/>
      <c r="Z582" s="212"/>
      <c r="AA582" s="212"/>
      <c r="AB582" s="212"/>
      <c r="AC582" s="212"/>
      <c r="AD582" s="212"/>
      <c r="AE582" s="212"/>
      <c r="AF582" s="212"/>
      <c r="AG582" s="212"/>
      <c r="AH582" s="212"/>
      <c r="AI582" s="212"/>
      <c r="AJ582" s="212"/>
      <c r="AK582" s="212"/>
      <c r="AL582" s="212"/>
      <c r="AM582" s="212"/>
      <c r="AN582" s="212"/>
      <c r="AO582" s="212"/>
      <c r="AP582" s="212"/>
      <c r="AQ582" s="212"/>
      <c r="AR582" s="212"/>
      <c r="AS582" s="212"/>
      <c r="AT582" s="212"/>
      <c r="AU582" s="212"/>
      <c r="AV582" s="212"/>
      <c r="AW582" s="212"/>
      <c r="AX582" s="212"/>
      <c r="AY582" s="212"/>
      <c r="AZ582" s="212"/>
      <c r="BA582" s="212"/>
      <c r="BB582" s="212"/>
      <c r="BC582" s="212"/>
      <c r="BD582" s="212"/>
      <c r="BE582" s="212"/>
      <c r="BF582" s="212"/>
      <c r="BG582" s="212"/>
      <c r="BH582" s="212"/>
      <c r="BI582" s="231" t="str">
        <f>HYPERLINK("#자재조서!A23","M4329005 →")</f>
        <v>M4329005 →</v>
      </c>
    </row>
    <row r="583" spans="1:61" ht="24" customHeight="1">
      <c r="A583" s="218" t="s">
        <v>2121</v>
      </c>
      <c r="B583" s="218" t="s">
        <v>1946</v>
      </c>
      <c r="C583" s="229">
        <v>0.05</v>
      </c>
      <c r="D583" s="213" t="s">
        <v>1286</v>
      </c>
      <c r="E583" s="217">
        <v>0</v>
      </c>
      <c r="F583" s="217"/>
      <c r="G583" s="217">
        <f>노임!D12</f>
        <v>0</v>
      </c>
      <c r="H583" s="217">
        <f>TRUNC(G583*C583,0)</f>
        <v>0</v>
      </c>
      <c r="I583" s="217">
        <v>0</v>
      </c>
      <c r="J583" s="217"/>
      <c r="K583" s="217">
        <f>E583+G583+I583</f>
        <v>0</v>
      </c>
      <c r="L583" s="217">
        <f t="shared" si="66"/>
        <v>0</v>
      </c>
      <c r="M583" s="215" t="s">
        <v>68</v>
      </c>
      <c r="N583" s="212" t="s">
        <v>68</v>
      </c>
      <c r="O583" s="212"/>
      <c r="P583" s="212" t="s">
        <v>1098</v>
      </c>
      <c r="Q583" s="212" t="s">
        <v>68</v>
      </c>
      <c r="R583" s="212" t="s">
        <v>2122</v>
      </c>
      <c r="S583" s="212"/>
      <c r="T583" s="212"/>
      <c r="U583" s="212"/>
      <c r="V583" s="212"/>
      <c r="W583" s="212"/>
      <c r="X583" s="212"/>
      <c r="Y583" s="212"/>
      <c r="Z583" s="212"/>
      <c r="AA583" s="212"/>
      <c r="AB583" s="212"/>
      <c r="AC583" s="212"/>
      <c r="AD583" s="212"/>
      <c r="AE583" s="212"/>
      <c r="AF583" s="212"/>
      <c r="AG583" s="212"/>
      <c r="AH583" s="212"/>
      <c r="AI583" s="212"/>
      <c r="AJ583" s="212"/>
      <c r="AK583" s="212"/>
      <c r="AL583" s="212"/>
      <c r="AM583" s="212"/>
      <c r="AN583" s="212"/>
      <c r="AO583" s="212"/>
      <c r="AP583" s="212"/>
      <c r="AQ583" s="212"/>
      <c r="AR583" s="212"/>
      <c r="AS583" s="212"/>
      <c r="AT583" s="212"/>
      <c r="AU583" s="212"/>
      <c r="AV583" s="212"/>
      <c r="AW583" s="212"/>
      <c r="AX583" s="212"/>
      <c r="AY583" s="212"/>
      <c r="AZ583" s="212"/>
      <c r="BA583" s="212"/>
      <c r="BB583" s="212"/>
      <c r="BC583" s="212"/>
      <c r="BD583" s="212"/>
      <c r="BE583" s="212"/>
      <c r="BF583" s="212"/>
      <c r="BG583" s="212"/>
      <c r="BH583" s="212"/>
      <c r="BI583" s="231" t="str">
        <f>HYPERLINK("#노임!A12","L001010101000023 →")</f>
        <v>L001010101000023 →</v>
      </c>
    </row>
    <row r="584" spans="1:61" ht="24" customHeight="1">
      <c r="A584" s="218" t="s">
        <v>1967</v>
      </c>
      <c r="B584" s="218" t="s">
        <v>1946</v>
      </c>
      <c r="C584" s="229">
        <v>2.5000000000000001E-2</v>
      </c>
      <c r="D584" s="213" t="s">
        <v>1286</v>
      </c>
      <c r="E584" s="217">
        <v>0</v>
      </c>
      <c r="F584" s="217"/>
      <c r="G584" s="217">
        <f>노임!D3</f>
        <v>0</v>
      </c>
      <c r="H584" s="217">
        <f>TRUNC(G584*C584,0)</f>
        <v>0</v>
      </c>
      <c r="I584" s="217">
        <v>0</v>
      </c>
      <c r="J584" s="217"/>
      <c r="K584" s="217">
        <f>E584+G584+I584</f>
        <v>0</v>
      </c>
      <c r="L584" s="217">
        <f t="shared" si="66"/>
        <v>0</v>
      </c>
      <c r="M584" s="215" t="s">
        <v>68</v>
      </c>
      <c r="N584" s="212" t="s">
        <v>68</v>
      </c>
      <c r="O584" s="212"/>
      <c r="P584" s="212" t="s">
        <v>1101</v>
      </c>
      <c r="Q584" s="212" t="s">
        <v>68</v>
      </c>
      <c r="R584" s="212" t="s">
        <v>1968</v>
      </c>
      <c r="S584" s="212"/>
      <c r="T584" s="212"/>
      <c r="U584" s="212"/>
      <c r="V584" s="212"/>
      <c r="W584" s="212"/>
      <c r="X584" s="212"/>
      <c r="Y584" s="212"/>
      <c r="Z584" s="212"/>
      <c r="AA584" s="220" t="s">
        <v>1955</v>
      </c>
      <c r="AB584" s="212">
        <f>(호표!H583+호표!H584)*0.02</f>
        <v>0</v>
      </c>
      <c r="AC584" s="220" t="s">
        <v>1956</v>
      </c>
      <c r="AD584" s="212">
        <f>$AB584</f>
        <v>0</v>
      </c>
      <c r="AE584" s="212"/>
      <c r="AF584" s="212"/>
      <c r="AG584" s="212"/>
      <c r="AH584" s="212"/>
      <c r="AI584" s="212"/>
      <c r="AJ584" s="212"/>
      <c r="AK584" s="212"/>
      <c r="AL584" s="212"/>
      <c r="AM584" s="212"/>
      <c r="AN584" s="212"/>
      <c r="AO584" s="212"/>
      <c r="AP584" s="212"/>
      <c r="AQ584" s="212"/>
      <c r="AR584" s="212"/>
      <c r="AS584" s="212"/>
      <c r="AT584" s="212"/>
      <c r="AU584" s="212"/>
      <c r="AV584" s="212"/>
      <c r="AW584" s="212"/>
      <c r="AX584" s="212"/>
      <c r="AY584" s="212"/>
      <c r="AZ584" s="212"/>
      <c r="BA584" s="212"/>
      <c r="BB584" s="212"/>
      <c r="BC584" s="212"/>
      <c r="BD584" s="212"/>
      <c r="BE584" s="212"/>
      <c r="BF584" s="212"/>
      <c r="BG584" s="212"/>
      <c r="BH584" s="212"/>
      <c r="BI584" s="231" t="str">
        <f>HYPERLINK("#노임!A3","L001010101000002 →")</f>
        <v>L001010101000002 →</v>
      </c>
    </row>
    <row r="585" spans="1:61" ht="24" customHeight="1">
      <c r="A585" s="218" t="s">
        <v>1974</v>
      </c>
      <c r="B585" s="218" t="s">
        <v>1958</v>
      </c>
      <c r="C585" s="228">
        <v>2</v>
      </c>
      <c r="D585" s="213" t="s">
        <v>1950</v>
      </c>
      <c r="E585" s="213"/>
      <c r="F585" s="217">
        <v>0</v>
      </c>
      <c r="G585" s="213"/>
      <c r="H585" s="217">
        <v>0</v>
      </c>
      <c r="I585" s="213"/>
      <c r="J585" s="217">
        <f>TRUNC(((H583+H584)*0.02),0)</f>
        <v>0</v>
      </c>
      <c r="K585" s="217">
        <f>E585+G585+I585</f>
        <v>0</v>
      </c>
      <c r="L585" s="217">
        <f t="shared" si="66"/>
        <v>0</v>
      </c>
      <c r="M585" s="215" t="s">
        <v>68</v>
      </c>
      <c r="N585" s="212" t="s">
        <v>68</v>
      </c>
      <c r="O585" s="212"/>
      <c r="P585" s="212" t="s">
        <v>1104</v>
      </c>
      <c r="Q585" s="212" t="s">
        <v>68</v>
      </c>
      <c r="R585" s="212" t="s">
        <v>1121</v>
      </c>
      <c r="S585" s="212"/>
      <c r="T585" s="212"/>
      <c r="U585" s="212"/>
      <c r="V585" s="212"/>
      <c r="W585" s="212"/>
      <c r="X585" s="212" t="s">
        <v>1986</v>
      </c>
      <c r="Y585" s="212"/>
      <c r="Z585" s="212"/>
      <c r="AA585" s="220" t="s">
        <v>1123</v>
      </c>
      <c r="AB585" s="212">
        <f>(호표!H583+호표!H584)*0.2</f>
        <v>0</v>
      </c>
      <c r="AC585" s="220" t="s">
        <v>1124</v>
      </c>
      <c r="AD585" s="212">
        <f>$AB585</f>
        <v>0</v>
      </c>
      <c r="AE585" s="212"/>
      <c r="AF585" s="212"/>
      <c r="AG585" s="212"/>
      <c r="AH585" s="212"/>
      <c r="AI585" s="212"/>
      <c r="AJ585" s="212"/>
      <c r="AK585" s="212"/>
      <c r="AL585" s="212"/>
      <c r="AM585" s="212"/>
      <c r="AN585" s="212"/>
      <c r="AO585" s="212"/>
      <c r="AP585" s="212"/>
      <c r="AQ585" s="212"/>
      <c r="AR585" s="212"/>
      <c r="AS585" s="212"/>
      <c r="AT585" s="212"/>
      <c r="AU585" s="212"/>
      <c r="AV585" s="212"/>
      <c r="AW585" s="212"/>
      <c r="AX585" s="212"/>
      <c r="AY585" s="212"/>
      <c r="AZ585" s="212"/>
      <c r="BA585" s="212"/>
      <c r="BB585" s="212"/>
      <c r="BC585" s="212"/>
      <c r="BD585" s="212"/>
      <c r="BE585" s="212"/>
      <c r="BF585" s="212"/>
      <c r="BG585" s="212"/>
      <c r="BH585" s="212"/>
      <c r="BI585" s="212"/>
    </row>
    <row r="586" spans="1:61" ht="24" customHeight="1">
      <c r="A586" s="218" t="s">
        <v>2306</v>
      </c>
      <c r="B586" s="218" t="s">
        <v>2273</v>
      </c>
      <c r="C586" s="228">
        <v>20</v>
      </c>
      <c r="D586" s="213" t="s">
        <v>1950</v>
      </c>
      <c r="E586" s="213"/>
      <c r="F586" s="217">
        <v>0</v>
      </c>
      <c r="G586" s="213"/>
      <c r="H586" s="217">
        <f>TRUNC(((H583+H584)*0.2),0)</f>
        <v>0</v>
      </c>
      <c r="I586" s="213"/>
      <c r="J586" s="217">
        <v>0</v>
      </c>
      <c r="K586" s="217">
        <f>E586+G586+I586</f>
        <v>0</v>
      </c>
      <c r="L586" s="217">
        <f t="shared" si="66"/>
        <v>0</v>
      </c>
      <c r="M586" s="215" t="s">
        <v>68</v>
      </c>
      <c r="N586" s="212" t="s">
        <v>68</v>
      </c>
      <c r="O586" s="212"/>
      <c r="P586" s="212" t="s">
        <v>1107</v>
      </c>
      <c r="Q586" s="212" t="s">
        <v>68</v>
      </c>
      <c r="R586" s="212" t="s">
        <v>1121</v>
      </c>
      <c r="S586" s="212"/>
      <c r="T586" s="212"/>
      <c r="U586" s="212"/>
      <c r="V586" s="212"/>
      <c r="W586" s="212"/>
      <c r="X586" s="212" t="s">
        <v>2307</v>
      </c>
      <c r="Y586" s="212"/>
      <c r="Z586" s="212"/>
      <c r="AA586" s="212"/>
      <c r="AB586" s="212"/>
      <c r="AC586" s="212"/>
      <c r="AD586" s="212"/>
      <c r="AE586" s="212"/>
      <c r="AF586" s="212"/>
      <c r="AG586" s="212"/>
      <c r="AH586" s="212"/>
      <c r="AI586" s="212"/>
      <c r="AJ586" s="212"/>
      <c r="AK586" s="212"/>
      <c r="AL586" s="212"/>
      <c r="AM586" s="212"/>
      <c r="AN586" s="212"/>
      <c r="AO586" s="212"/>
      <c r="AP586" s="212"/>
      <c r="AQ586" s="212"/>
      <c r="AR586" s="212"/>
      <c r="AS586" s="212"/>
      <c r="AT586" s="212"/>
      <c r="AU586" s="212"/>
      <c r="AV586" s="212"/>
      <c r="AW586" s="212"/>
      <c r="AX586" s="212"/>
      <c r="AY586" s="212"/>
      <c r="AZ586" s="212"/>
      <c r="BA586" s="212"/>
      <c r="BB586" s="212"/>
      <c r="BC586" s="212"/>
      <c r="BD586" s="212"/>
      <c r="BE586" s="212"/>
      <c r="BF586" s="212"/>
      <c r="BG586" s="212"/>
      <c r="BH586" s="212"/>
      <c r="BI586" s="212"/>
    </row>
    <row r="587" spans="1:61" ht="24" customHeight="1">
      <c r="A587" s="215"/>
      <c r="B587" s="215"/>
      <c r="C587" s="229"/>
      <c r="D587" s="213"/>
      <c r="E587" s="213"/>
      <c r="F587" s="213"/>
      <c r="G587" s="213"/>
      <c r="H587" s="213"/>
      <c r="I587" s="213"/>
      <c r="J587" s="213"/>
      <c r="K587" s="213"/>
      <c r="L587" s="213"/>
      <c r="M587" s="215"/>
      <c r="N587" s="212"/>
      <c r="O587" s="212"/>
      <c r="P587" s="212"/>
      <c r="Q587" s="212"/>
      <c r="R587" s="212"/>
      <c r="S587" s="212"/>
      <c r="T587" s="212"/>
      <c r="U587" s="212"/>
      <c r="V587" s="212"/>
      <c r="W587" s="212"/>
      <c r="X587" s="212"/>
      <c r="Y587" s="212"/>
      <c r="Z587" s="212"/>
      <c r="AA587" s="212"/>
      <c r="AB587" s="212"/>
      <c r="AC587" s="212"/>
      <c r="AD587" s="212"/>
      <c r="AE587" s="212"/>
      <c r="AF587" s="212"/>
      <c r="AG587" s="212"/>
      <c r="AH587" s="212"/>
      <c r="AI587" s="212"/>
      <c r="AJ587" s="212"/>
      <c r="AK587" s="212"/>
      <c r="AL587" s="212"/>
      <c r="AM587" s="212"/>
      <c r="AN587" s="212"/>
      <c r="AO587" s="212"/>
      <c r="AP587" s="212"/>
      <c r="AQ587" s="212"/>
      <c r="AR587" s="212"/>
      <c r="AS587" s="212"/>
      <c r="AT587" s="212"/>
      <c r="AU587" s="212"/>
      <c r="AV587" s="212"/>
      <c r="AW587" s="212"/>
      <c r="AX587" s="212"/>
      <c r="AY587" s="212"/>
      <c r="AZ587" s="212"/>
      <c r="BA587" s="212"/>
      <c r="BB587" s="212"/>
      <c r="BC587" s="212"/>
      <c r="BD587" s="212"/>
      <c r="BE587" s="212"/>
      <c r="BF587" s="212"/>
      <c r="BG587" s="212"/>
      <c r="BH587" s="212"/>
      <c r="BI587" s="212"/>
    </row>
    <row r="588" spans="1:61" ht="24" customHeight="1">
      <c r="A588" s="218" t="s">
        <v>2308</v>
      </c>
      <c r="B588" s="218" t="s">
        <v>1364</v>
      </c>
      <c r="C588" s="228">
        <v>1</v>
      </c>
      <c r="D588" s="213" t="s">
        <v>9</v>
      </c>
      <c r="E588" s="212"/>
      <c r="F588" s="217">
        <f>TRUNC(F590+F591+F592+F595+F596+F597+F598,0)</f>
        <v>0</v>
      </c>
      <c r="G588" s="212"/>
      <c r="H588" s="217">
        <f>TRUNC(H590+H591+H592+H595+H596+H597+H598,0)</f>
        <v>0</v>
      </c>
      <c r="I588" s="212"/>
      <c r="J588" s="217">
        <f>TRUNC(J590+J591+J592+J595+J596+J597+J598,0)</f>
        <v>0</v>
      </c>
      <c r="K588" s="212"/>
      <c r="L588" s="217">
        <f t="shared" ref="L588:L598" si="67">F588+H588+J588</f>
        <v>0</v>
      </c>
      <c r="M588" s="215" t="s">
        <v>1828</v>
      </c>
      <c r="N588" s="212" t="s">
        <v>68</v>
      </c>
      <c r="O588" s="212" t="s">
        <v>1366</v>
      </c>
      <c r="P588" s="212"/>
      <c r="Q588" s="212"/>
      <c r="R588" s="212"/>
      <c r="S588" s="212"/>
      <c r="T588" s="212"/>
      <c r="U588" s="212"/>
      <c r="V588" s="212"/>
      <c r="W588" s="212"/>
      <c r="X588" s="212"/>
      <c r="Y588" s="212"/>
      <c r="Z588" s="212"/>
      <c r="AA588" s="212"/>
      <c r="AB588" s="212"/>
      <c r="AC588" s="212"/>
      <c r="AD588" s="212"/>
      <c r="AE588" s="212"/>
      <c r="AF588" s="212"/>
      <c r="AG588" s="212"/>
      <c r="AH588" s="212"/>
      <c r="AI588" s="212"/>
      <c r="AJ588" s="212"/>
      <c r="AK588" s="212"/>
      <c r="AL588" s="212"/>
      <c r="AM588" s="212"/>
      <c r="AN588" s="212"/>
      <c r="AO588" s="212"/>
      <c r="AP588" s="212"/>
      <c r="AQ588" s="212"/>
      <c r="AR588" s="212"/>
      <c r="AS588" s="212"/>
      <c r="AT588" s="212"/>
      <c r="AU588" s="212"/>
      <c r="AV588" s="212"/>
      <c r="AW588" s="212"/>
      <c r="AX588" s="212"/>
      <c r="AY588" s="212"/>
      <c r="AZ588" s="212"/>
      <c r="BA588" s="212"/>
      <c r="BB588" s="212"/>
      <c r="BC588" s="212"/>
      <c r="BD588" s="212"/>
      <c r="BE588" s="212"/>
      <c r="BF588" s="212"/>
      <c r="BG588" s="212"/>
      <c r="BH588" s="212"/>
      <c r="BI588" s="212"/>
    </row>
    <row r="589" spans="1:61" ht="24" customHeight="1">
      <c r="A589" s="218" t="s">
        <v>2309</v>
      </c>
      <c r="B589" s="218" t="s">
        <v>68</v>
      </c>
      <c r="C589" s="229"/>
      <c r="D589" s="213" t="s">
        <v>68</v>
      </c>
      <c r="E589" s="213"/>
      <c r="F589" s="217">
        <v>0</v>
      </c>
      <c r="G589" s="213"/>
      <c r="H589" s="217">
        <v>0</v>
      </c>
      <c r="I589" s="213"/>
      <c r="J589" s="217">
        <v>0</v>
      </c>
      <c r="K589" s="217">
        <f t="shared" ref="K589:K598" si="68">E589+G589+I589</f>
        <v>0</v>
      </c>
      <c r="L589" s="217">
        <f t="shared" si="67"/>
        <v>0</v>
      </c>
      <c r="M589" s="215" t="s">
        <v>68</v>
      </c>
      <c r="N589" s="212" t="s">
        <v>68</v>
      </c>
      <c r="O589" s="212"/>
      <c r="P589" s="212" t="s">
        <v>1095</v>
      </c>
      <c r="Q589" s="212" t="s">
        <v>68</v>
      </c>
      <c r="R589" s="212" t="s">
        <v>68</v>
      </c>
      <c r="S589" s="212"/>
      <c r="T589" s="212"/>
      <c r="U589" s="212"/>
      <c r="V589" s="212"/>
      <c r="W589" s="212"/>
      <c r="X589" s="212"/>
      <c r="Y589" s="212"/>
      <c r="Z589" s="212"/>
      <c r="AA589" s="212"/>
      <c r="AB589" s="212"/>
      <c r="AC589" s="212"/>
      <c r="AD589" s="212"/>
      <c r="AE589" s="212"/>
      <c r="AF589" s="212"/>
      <c r="AG589" s="212"/>
      <c r="AH589" s="212"/>
      <c r="AI589" s="212"/>
      <c r="AJ589" s="212"/>
      <c r="AK589" s="212"/>
      <c r="AL589" s="212"/>
      <c r="AM589" s="212"/>
      <c r="AN589" s="212"/>
      <c r="AO589" s="212"/>
      <c r="AP589" s="212"/>
      <c r="AQ589" s="212"/>
      <c r="AR589" s="212"/>
      <c r="AS589" s="212"/>
      <c r="AT589" s="212"/>
      <c r="AU589" s="212"/>
      <c r="AV589" s="212"/>
      <c r="AW589" s="212"/>
      <c r="AX589" s="212"/>
      <c r="AY589" s="212"/>
      <c r="AZ589" s="212"/>
      <c r="BA589" s="212"/>
      <c r="BB589" s="212"/>
      <c r="BC589" s="212"/>
      <c r="BD589" s="212"/>
      <c r="BE589" s="212"/>
      <c r="BF589" s="212"/>
      <c r="BG589" s="212"/>
      <c r="BH589" s="212"/>
      <c r="BI589" s="212"/>
    </row>
    <row r="590" spans="1:61" ht="24" customHeight="1">
      <c r="A590" s="218" t="s">
        <v>2017</v>
      </c>
      <c r="B590" s="218" t="s">
        <v>2018</v>
      </c>
      <c r="C590" s="228">
        <v>1</v>
      </c>
      <c r="D590" s="213" t="s">
        <v>2019</v>
      </c>
      <c r="E590" s="217">
        <f>자재조서!E29</f>
        <v>0</v>
      </c>
      <c r="F590" s="217">
        <f>TRUNC(E590*C590,0)</f>
        <v>0</v>
      </c>
      <c r="G590" s="217">
        <v>0</v>
      </c>
      <c r="H590" s="217"/>
      <c r="I590" s="217">
        <v>0</v>
      </c>
      <c r="J590" s="217"/>
      <c r="K590" s="217">
        <f t="shared" si="68"/>
        <v>0</v>
      </c>
      <c r="L590" s="217">
        <f t="shared" si="67"/>
        <v>0</v>
      </c>
      <c r="M590" s="215" t="s">
        <v>68</v>
      </c>
      <c r="N590" s="212" t="s">
        <v>68</v>
      </c>
      <c r="O590" s="212"/>
      <c r="P590" s="212" t="s">
        <v>1098</v>
      </c>
      <c r="Q590" s="212" t="s">
        <v>68</v>
      </c>
      <c r="R590" s="212" t="s">
        <v>2020</v>
      </c>
      <c r="S590" s="212"/>
      <c r="T590" s="212"/>
      <c r="U590" s="212"/>
      <c r="V590" s="212"/>
      <c r="W590" s="212"/>
      <c r="X590" s="212"/>
      <c r="Y590" s="212"/>
      <c r="Z590" s="212"/>
      <c r="AA590" s="212"/>
      <c r="AB590" s="212"/>
      <c r="AC590" s="212"/>
      <c r="AD590" s="212"/>
      <c r="AE590" s="212"/>
      <c r="AF590" s="212"/>
      <c r="AG590" s="212"/>
      <c r="AH590" s="212"/>
      <c r="AI590" s="212"/>
      <c r="AJ590" s="212"/>
      <c r="AK590" s="212"/>
      <c r="AL590" s="212"/>
      <c r="AM590" s="212"/>
      <c r="AN590" s="212"/>
      <c r="AO590" s="212"/>
      <c r="AP590" s="212"/>
      <c r="AQ590" s="212"/>
      <c r="AR590" s="212"/>
      <c r="AS590" s="212"/>
      <c r="AT590" s="212"/>
      <c r="AU590" s="212"/>
      <c r="AV590" s="212"/>
      <c r="AW590" s="212"/>
      <c r="AX590" s="212"/>
      <c r="AY590" s="212"/>
      <c r="AZ590" s="212"/>
      <c r="BA590" s="212"/>
      <c r="BB590" s="212"/>
      <c r="BC590" s="212"/>
      <c r="BD590" s="212"/>
      <c r="BE590" s="212"/>
      <c r="BF590" s="212"/>
      <c r="BG590" s="212"/>
      <c r="BH590" s="212"/>
      <c r="BI590" s="231" t="str">
        <f>HYPERLINK("#자재조서!A29","M8916015 →")</f>
        <v>M8916015 →</v>
      </c>
    </row>
    <row r="591" spans="1:61" ht="24" customHeight="1">
      <c r="A591" s="218" t="s">
        <v>2158</v>
      </c>
      <c r="B591" s="218" t="s">
        <v>1946</v>
      </c>
      <c r="C591" s="229">
        <v>6.0000000000000001E-3</v>
      </c>
      <c r="D591" s="213" t="s">
        <v>1286</v>
      </c>
      <c r="E591" s="217">
        <v>0</v>
      </c>
      <c r="F591" s="217"/>
      <c r="G591" s="217">
        <f>노임!D17</f>
        <v>0</v>
      </c>
      <c r="H591" s="217">
        <f>TRUNC(G591*C591,0)</f>
        <v>0</v>
      </c>
      <c r="I591" s="217">
        <v>0</v>
      </c>
      <c r="J591" s="217"/>
      <c r="K591" s="217">
        <f t="shared" si="68"/>
        <v>0</v>
      </c>
      <c r="L591" s="217">
        <f t="shared" si="67"/>
        <v>0</v>
      </c>
      <c r="M591" s="215" t="s">
        <v>68</v>
      </c>
      <c r="N591" s="212" t="s">
        <v>68</v>
      </c>
      <c r="O591" s="212"/>
      <c r="P591" s="212" t="s">
        <v>1104</v>
      </c>
      <c r="Q591" s="212" t="s">
        <v>68</v>
      </c>
      <c r="R591" s="212" t="s">
        <v>2159</v>
      </c>
      <c r="S591" s="212"/>
      <c r="T591" s="212"/>
      <c r="U591" s="212"/>
      <c r="V591" s="212"/>
      <c r="W591" s="212"/>
      <c r="X591" s="212"/>
      <c r="Y591" s="212"/>
      <c r="Z591" s="212"/>
      <c r="AA591" s="212"/>
      <c r="AB591" s="212"/>
      <c r="AC591" s="212"/>
      <c r="AD591" s="212"/>
      <c r="AE591" s="212"/>
      <c r="AF591" s="212"/>
      <c r="AG591" s="212"/>
      <c r="AH591" s="212"/>
      <c r="AI591" s="212"/>
      <c r="AJ591" s="212"/>
      <c r="AK591" s="212"/>
      <c r="AL591" s="212"/>
      <c r="AM591" s="212"/>
      <c r="AN591" s="212"/>
      <c r="AO591" s="212"/>
      <c r="AP591" s="212"/>
      <c r="AQ591" s="212"/>
      <c r="AR591" s="212"/>
      <c r="AS591" s="212"/>
      <c r="AT591" s="212"/>
      <c r="AU591" s="212"/>
      <c r="AV591" s="212"/>
      <c r="AW591" s="212"/>
      <c r="AX591" s="212"/>
      <c r="AY591" s="212"/>
      <c r="AZ591" s="212"/>
      <c r="BA591" s="212"/>
      <c r="BB591" s="212"/>
      <c r="BC591" s="212"/>
      <c r="BD591" s="212"/>
      <c r="BE591" s="212"/>
      <c r="BF591" s="212"/>
      <c r="BG591" s="212"/>
      <c r="BH591" s="212"/>
      <c r="BI591" s="231" t="str">
        <f>HYPERLINK("#노임!A17","L001010101000029 →")</f>
        <v>L001010101000029 →</v>
      </c>
    </row>
    <row r="592" spans="1:61" ht="24" customHeight="1">
      <c r="A592" s="218" t="s">
        <v>1967</v>
      </c>
      <c r="B592" s="218" t="s">
        <v>1946</v>
      </c>
      <c r="C592" s="229">
        <v>1E-3</v>
      </c>
      <c r="D592" s="213" t="s">
        <v>1286</v>
      </c>
      <c r="E592" s="217">
        <v>0</v>
      </c>
      <c r="F592" s="217"/>
      <c r="G592" s="217">
        <f>노임!D3</f>
        <v>0</v>
      </c>
      <c r="H592" s="217">
        <f>TRUNC(G592*C592,0)</f>
        <v>0</v>
      </c>
      <c r="I592" s="217">
        <v>0</v>
      </c>
      <c r="J592" s="217"/>
      <c r="K592" s="217">
        <f t="shared" si="68"/>
        <v>0</v>
      </c>
      <c r="L592" s="217">
        <f t="shared" si="67"/>
        <v>0</v>
      </c>
      <c r="M592" s="215" t="s">
        <v>68</v>
      </c>
      <c r="N592" s="212" t="s">
        <v>68</v>
      </c>
      <c r="O592" s="212"/>
      <c r="P592" s="212" t="s">
        <v>1107</v>
      </c>
      <c r="Q592" s="212" t="s">
        <v>68</v>
      </c>
      <c r="R592" s="212" t="s">
        <v>1968</v>
      </c>
      <c r="S592" s="212"/>
      <c r="T592" s="212"/>
      <c r="U592" s="212"/>
      <c r="V592" s="212"/>
      <c r="W592" s="212"/>
      <c r="X592" s="212"/>
      <c r="Y592" s="212"/>
      <c r="Z592" s="212"/>
      <c r="AA592" s="212"/>
      <c r="AB592" s="212"/>
      <c r="AC592" s="212"/>
      <c r="AD592" s="212"/>
      <c r="AE592" s="212"/>
      <c r="AF592" s="212"/>
      <c r="AG592" s="212"/>
      <c r="AH592" s="212"/>
      <c r="AI592" s="212"/>
      <c r="AJ592" s="212"/>
      <c r="AK592" s="212"/>
      <c r="AL592" s="212"/>
      <c r="AM592" s="212"/>
      <c r="AN592" s="212"/>
      <c r="AO592" s="212"/>
      <c r="AP592" s="212"/>
      <c r="AQ592" s="212"/>
      <c r="AR592" s="212"/>
      <c r="AS592" s="212"/>
      <c r="AT592" s="212"/>
      <c r="AU592" s="212"/>
      <c r="AV592" s="212"/>
      <c r="AW592" s="212"/>
      <c r="AX592" s="212"/>
      <c r="AY592" s="212"/>
      <c r="AZ592" s="212"/>
      <c r="BA592" s="212"/>
      <c r="BB592" s="212"/>
      <c r="BC592" s="212"/>
      <c r="BD592" s="212"/>
      <c r="BE592" s="212"/>
      <c r="BF592" s="212"/>
      <c r="BG592" s="212"/>
      <c r="BH592" s="212"/>
      <c r="BI592" s="231" t="str">
        <f>HYPERLINK("#노임!A3","L001010101000002 →")</f>
        <v>L001010101000002 →</v>
      </c>
    </row>
    <row r="593" spans="1:61" ht="24" customHeight="1">
      <c r="A593" s="218" t="s">
        <v>68</v>
      </c>
      <c r="B593" s="218" t="s">
        <v>68</v>
      </c>
      <c r="C593" s="229"/>
      <c r="D593" s="213" t="s">
        <v>68</v>
      </c>
      <c r="E593" s="213"/>
      <c r="F593" s="217">
        <v>0</v>
      </c>
      <c r="G593" s="213"/>
      <c r="H593" s="217">
        <v>0</v>
      </c>
      <c r="I593" s="213"/>
      <c r="J593" s="217">
        <v>0</v>
      </c>
      <c r="K593" s="217">
        <f t="shared" si="68"/>
        <v>0</v>
      </c>
      <c r="L593" s="217">
        <f t="shared" si="67"/>
        <v>0</v>
      </c>
      <c r="M593" s="215" t="s">
        <v>68</v>
      </c>
      <c r="N593" s="212" t="s">
        <v>68</v>
      </c>
      <c r="O593" s="212"/>
      <c r="P593" s="212" t="s">
        <v>1108</v>
      </c>
      <c r="Q593" s="212" t="s">
        <v>68</v>
      </c>
      <c r="R593" s="212" t="s">
        <v>68</v>
      </c>
      <c r="S593" s="212"/>
      <c r="T593" s="212"/>
      <c r="U593" s="212"/>
      <c r="V593" s="212"/>
      <c r="W593" s="212"/>
      <c r="X593" s="212"/>
      <c r="Y593" s="212"/>
      <c r="Z593" s="212"/>
      <c r="AA593" s="212"/>
      <c r="AB593" s="212"/>
      <c r="AC593" s="212"/>
      <c r="AD593" s="212"/>
      <c r="AE593" s="212"/>
      <c r="AF593" s="212"/>
      <c r="AG593" s="212"/>
      <c r="AH593" s="212"/>
      <c r="AI593" s="212"/>
      <c r="AJ593" s="212"/>
      <c r="AK593" s="212"/>
      <c r="AL593" s="212"/>
      <c r="AM593" s="212"/>
      <c r="AN593" s="212"/>
      <c r="AO593" s="212"/>
      <c r="AP593" s="212"/>
      <c r="AQ593" s="212"/>
      <c r="AR593" s="212"/>
      <c r="AS593" s="212"/>
      <c r="AT593" s="212"/>
      <c r="AU593" s="212"/>
      <c r="AV593" s="212"/>
      <c r="AW593" s="212"/>
      <c r="AX593" s="212"/>
      <c r="AY593" s="212"/>
      <c r="AZ593" s="212"/>
      <c r="BA593" s="212"/>
      <c r="BB593" s="212"/>
      <c r="BC593" s="212"/>
      <c r="BD593" s="212"/>
      <c r="BE593" s="212"/>
      <c r="BF593" s="212"/>
      <c r="BG593" s="212"/>
      <c r="BH593" s="212"/>
      <c r="BI593" s="212"/>
    </row>
    <row r="594" spans="1:61" ht="24" customHeight="1">
      <c r="A594" s="218" t="s">
        <v>2310</v>
      </c>
      <c r="B594" s="218" t="s">
        <v>68</v>
      </c>
      <c r="C594" s="229"/>
      <c r="D594" s="213" t="s">
        <v>68</v>
      </c>
      <c r="E594" s="213"/>
      <c r="F594" s="217">
        <v>0</v>
      </c>
      <c r="G594" s="213"/>
      <c r="H594" s="217">
        <v>0</v>
      </c>
      <c r="I594" s="213"/>
      <c r="J594" s="217">
        <v>0</v>
      </c>
      <c r="K594" s="217">
        <f t="shared" si="68"/>
        <v>0</v>
      </c>
      <c r="L594" s="217">
        <f t="shared" si="67"/>
        <v>0</v>
      </c>
      <c r="M594" s="215" t="s">
        <v>68</v>
      </c>
      <c r="N594" s="212" t="s">
        <v>68</v>
      </c>
      <c r="O594" s="212"/>
      <c r="P594" s="212" t="s">
        <v>1109</v>
      </c>
      <c r="Q594" s="212" t="s">
        <v>68</v>
      </c>
      <c r="R594" s="212" t="s">
        <v>68</v>
      </c>
      <c r="S594" s="212"/>
      <c r="T594" s="212"/>
      <c r="U594" s="212"/>
      <c r="V594" s="212"/>
      <c r="W594" s="212"/>
      <c r="X594" s="212"/>
      <c r="Y594" s="212"/>
      <c r="Z594" s="212"/>
      <c r="AA594" s="212"/>
      <c r="AB594" s="212"/>
      <c r="AC594" s="212"/>
      <c r="AD594" s="212"/>
      <c r="AE594" s="212"/>
      <c r="AF594" s="212"/>
      <c r="AG594" s="212"/>
      <c r="AH594" s="212"/>
      <c r="AI594" s="212"/>
      <c r="AJ594" s="212"/>
      <c r="AK594" s="212"/>
      <c r="AL594" s="212"/>
      <c r="AM594" s="212"/>
      <c r="AN594" s="212"/>
      <c r="AO594" s="212"/>
      <c r="AP594" s="212"/>
      <c r="AQ594" s="212"/>
      <c r="AR594" s="212"/>
      <c r="AS594" s="212"/>
      <c r="AT594" s="212"/>
      <c r="AU594" s="212"/>
      <c r="AV594" s="212"/>
      <c r="AW594" s="212"/>
      <c r="AX594" s="212"/>
      <c r="AY594" s="212"/>
      <c r="AZ594" s="212"/>
      <c r="BA594" s="212"/>
      <c r="BB594" s="212"/>
      <c r="BC594" s="212"/>
      <c r="BD594" s="212"/>
      <c r="BE594" s="212"/>
      <c r="BF594" s="212"/>
      <c r="BG594" s="212"/>
      <c r="BH594" s="212"/>
      <c r="BI594" s="212"/>
    </row>
    <row r="595" spans="1:61" ht="24" customHeight="1">
      <c r="A595" s="218" t="s">
        <v>2158</v>
      </c>
      <c r="B595" s="218" t="s">
        <v>1946</v>
      </c>
      <c r="C595" s="229">
        <v>8.9999999999999993E-3</v>
      </c>
      <c r="D595" s="213" t="s">
        <v>1286</v>
      </c>
      <c r="E595" s="217">
        <v>0</v>
      </c>
      <c r="F595" s="217"/>
      <c r="G595" s="217">
        <f>노임!D17</f>
        <v>0</v>
      </c>
      <c r="H595" s="217">
        <f>TRUNC(G595*C595,0)</f>
        <v>0</v>
      </c>
      <c r="I595" s="217">
        <v>0</v>
      </c>
      <c r="J595" s="217"/>
      <c r="K595" s="217">
        <f t="shared" si="68"/>
        <v>0</v>
      </c>
      <c r="L595" s="217">
        <f t="shared" si="67"/>
        <v>0</v>
      </c>
      <c r="M595" s="215" t="s">
        <v>68</v>
      </c>
      <c r="N595" s="212" t="s">
        <v>68</v>
      </c>
      <c r="O595" s="212"/>
      <c r="P595" s="212" t="s">
        <v>1110</v>
      </c>
      <c r="Q595" s="212" t="s">
        <v>68</v>
      </c>
      <c r="R595" s="212" t="s">
        <v>2159</v>
      </c>
      <c r="S595" s="212"/>
      <c r="T595" s="212"/>
      <c r="U595" s="212"/>
      <c r="V595" s="212"/>
      <c r="W595" s="212"/>
      <c r="X595" s="212"/>
      <c r="Y595" s="212"/>
      <c r="Z595" s="212"/>
      <c r="AA595" s="212"/>
      <c r="AB595" s="212"/>
      <c r="AC595" s="212"/>
      <c r="AD595" s="212"/>
      <c r="AE595" s="212"/>
      <c r="AF595" s="212"/>
      <c r="AG595" s="212"/>
      <c r="AH595" s="212"/>
      <c r="AI595" s="212"/>
      <c r="AJ595" s="212"/>
      <c r="AK595" s="212"/>
      <c r="AL595" s="212"/>
      <c r="AM595" s="212"/>
      <c r="AN595" s="212"/>
      <c r="AO595" s="212"/>
      <c r="AP595" s="212"/>
      <c r="AQ595" s="212"/>
      <c r="AR595" s="212"/>
      <c r="AS595" s="212"/>
      <c r="AT595" s="212"/>
      <c r="AU595" s="212"/>
      <c r="AV595" s="212"/>
      <c r="AW595" s="212"/>
      <c r="AX595" s="212"/>
      <c r="AY595" s="212"/>
      <c r="AZ595" s="212"/>
      <c r="BA595" s="212"/>
      <c r="BB595" s="212"/>
      <c r="BC595" s="212"/>
      <c r="BD595" s="212"/>
      <c r="BE595" s="212"/>
      <c r="BF595" s="212"/>
      <c r="BG595" s="212"/>
      <c r="BH595" s="212"/>
      <c r="BI595" s="231" t="str">
        <f>HYPERLINK("#노임!A17","L001010101000029 →")</f>
        <v>L001010101000029 →</v>
      </c>
    </row>
    <row r="596" spans="1:61" ht="24" customHeight="1">
      <c r="A596" s="218" t="s">
        <v>1967</v>
      </c>
      <c r="B596" s="218" t="s">
        <v>1946</v>
      </c>
      <c r="C596" s="229">
        <v>1E-3</v>
      </c>
      <c r="D596" s="213" t="s">
        <v>1286</v>
      </c>
      <c r="E596" s="217">
        <v>0</v>
      </c>
      <c r="F596" s="217"/>
      <c r="G596" s="217">
        <f>노임!D3</f>
        <v>0</v>
      </c>
      <c r="H596" s="217">
        <f>TRUNC(G596*C596,0)</f>
        <v>0</v>
      </c>
      <c r="I596" s="217">
        <v>0</v>
      </c>
      <c r="J596" s="217"/>
      <c r="K596" s="217">
        <f t="shared" si="68"/>
        <v>0</v>
      </c>
      <c r="L596" s="217">
        <f t="shared" si="67"/>
        <v>0</v>
      </c>
      <c r="M596" s="215" t="s">
        <v>68</v>
      </c>
      <c r="N596" s="212" t="s">
        <v>68</v>
      </c>
      <c r="O596" s="212"/>
      <c r="P596" s="212" t="s">
        <v>1111</v>
      </c>
      <c r="Q596" s="212" t="s">
        <v>68</v>
      </c>
      <c r="R596" s="212" t="s">
        <v>1968</v>
      </c>
      <c r="S596" s="212"/>
      <c r="T596" s="212"/>
      <c r="U596" s="212"/>
      <c r="V596" s="212"/>
      <c r="W596" s="212"/>
      <c r="X596" s="212"/>
      <c r="Y596" s="212"/>
      <c r="Z596" s="212"/>
      <c r="AA596" s="220" t="s">
        <v>1955</v>
      </c>
      <c r="AB596" s="212">
        <f>(호표!H591+호표!H592+호표!H595+호표!H596)*0.03</f>
        <v>0</v>
      </c>
      <c r="AC596" s="220" t="s">
        <v>1956</v>
      </c>
      <c r="AD596" s="212">
        <f>$AB596</f>
        <v>0</v>
      </c>
      <c r="AE596" s="212"/>
      <c r="AF596" s="212"/>
      <c r="AG596" s="212"/>
      <c r="AH596" s="212"/>
      <c r="AI596" s="212"/>
      <c r="AJ596" s="212"/>
      <c r="AK596" s="212"/>
      <c r="AL596" s="212"/>
      <c r="AM596" s="212"/>
      <c r="AN596" s="212"/>
      <c r="AO596" s="212"/>
      <c r="AP596" s="212"/>
      <c r="AQ596" s="212"/>
      <c r="AR596" s="212"/>
      <c r="AS596" s="212"/>
      <c r="AT596" s="212"/>
      <c r="AU596" s="212"/>
      <c r="AV596" s="212"/>
      <c r="AW596" s="212"/>
      <c r="AX596" s="212"/>
      <c r="AY596" s="212"/>
      <c r="AZ596" s="212"/>
      <c r="BA596" s="212"/>
      <c r="BB596" s="212"/>
      <c r="BC596" s="212"/>
      <c r="BD596" s="212"/>
      <c r="BE596" s="212"/>
      <c r="BF596" s="212"/>
      <c r="BG596" s="212"/>
      <c r="BH596" s="212"/>
      <c r="BI596" s="231" t="str">
        <f>HYPERLINK("#노임!A3","L001010101000002 →")</f>
        <v>L001010101000002 →</v>
      </c>
    </row>
    <row r="597" spans="1:61" ht="24" customHeight="1">
      <c r="A597" s="218" t="s">
        <v>1948</v>
      </c>
      <c r="B597" s="218" t="s">
        <v>1949</v>
      </c>
      <c r="C597" s="228">
        <v>3</v>
      </c>
      <c r="D597" s="213" t="s">
        <v>1950</v>
      </c>
      <c r="E597" s="213"/>
      <c r="F597" s="217">
        <v>0</v>
      </c>
      <c r="G597" s="213"/>
      <c r="H597" s="217">
        <v>0</v>
      </c>
      <c r="I597" s="213"/>
      <c r="J597" s="217">
        <f>TRUNC(((H591+H592+H595+H596)*0.03),0)</f>
        <v>0</v>
      </c>
      <c r="K597" s="217">
        <f t="shared" si="68"/>
        <v>0</v>
      </c>
      <c r="L597" s="217">
        <f t="shared" si="67"/>
        <v>0</v>
      </c>
      <c r="M597" s="215" t="s">
        <v>68</v>
      </c>
      <c r="N597" s="212" t="s">
        <v>68</v>
      </c>
      <c r="O597" s="212"/>
      <c r="P597" s="212" t="s">
        <v>1112</v>
      </c>
      <c r="Q597" s="212" t="s">
        <v>68</v>
      </c>
      <c r="R597" s="212" t="s">
        <v>1121</v>
      </c>
      <c r="S597" s="212"/>
      <c r="T597" s="212"/>
      <c r="U597" s="212"/>
      <c r="V597" s="212"/>
      <c r="W597" s="212"/>
      <c r="X597" s="212" t="s">
        <v>2311</v>
      </c>
      <c r="Y597" s="212"/>
      <c r="Z597" s="212"/>
      <c r="AA597" s="220" t="s">
        <v>1123</v>
      </c>
      <c r="AB597" s="212">
        <f>(호표!H591+호표!H592+호표!H595+호표!H596)*0.2</f>
        <v>0</v>
      </c>
      <c r="AC597" s="220" t="s">
        <v>1124</v>
      </c>
      <c r="AD597" s="212">
        <f>$AB597</f>
        <v>0</v>
      </c>
      <c r="AE597" s="212"/>
      <c r="AF597" s="212"/>
      <c r="AG597" s="212"/>
      <c r="AH597" s="212"/>
      <c r="AI597" s="212"/>
      <c r="AJ597" s="212"/>
      <c r="AK597" s="212"/>
      <c r="AL597" s="212"/>
      <c r="AM597" s="212"/>
      <c r="AN597" s="212"/>
      <c r="AO597" s="212"/>
      <c r="AP597" s="212"/>
      <c r="AQ597" s="212"/>
      <c r="AR597" s="212"/>
      <c r="AS597" s="212"/>
      <c r="AT597" s="212"/>
      <c r="AU597" s="212"/>
      <c r="AV597" s="212"/>
      <c r="AW597" s="212"/>
      <c r="AX597" s="212"/>
      <c r="AY597" s="212"/>
      <c r="AZ597" s="212"/>
      <c r="BA597" s="212"/>
      <c r="BB597" s="212"/>
      <c r="BC597" s="212"/>
      <c r="BD597" s="212"/>
      <c r="BE597" s="212"/>
      <c r="BF597" s="212"/>
      <c r="BG597" s="212"/>
      <c r="BH597" s="212"/>
      <c r="BI597" s="212"/>
    </row>
    <row r="598" spans="1:61" ht="24" customHeight="1">
      <c r="A598" s="218" t="s">
        <v>2312</v>
      </c>
      <c r="B598" s="218" t="s">
        <v>2273</v>
      </c>
      <c r="C598" s="228">
        <v>20</v>
      </c>
      <c r="D598" s="213" t="s">
        <v>1950</v>
      </c>
      <c r="E598" s="213"/>
      <c r="F598" s="217">
        <v>0</v>
      </c>
      <c r="G598" s="213"/>
      <c r="H598" s="217">
        <f>TRUNC(((H591+H592+H595+H596)*0.2),0)</f>
        <v>0</v>
      </c>
      <c r="I598" s="213"/>
      <c r="J598" s="217">
        <v>0</v>
      </c>
      <c r="K598" s="217">
        <f t="shared" si="68"/>
        <v>0</v>
      </c>
      <c r="L598" s="217">
        <f t="shared" si="67"/>
        <v>0</v>
      </c>
      <c r="M598" s="215" t="s">
        <v>68</v>
      </c>
      <c r="N598" s="212" t="s">
        <v>68</v>
      </c>
      <c r="O598" s="212"/>
      <c r="P598" s="212" t="s">
        <v>1113</v>
      </c>
      <c r="Q598" s="212" t="s">
        <v>68</v>
      </c>
      <c r="R598" s="212" t="s">
        <v>1121</v>
      </c>
      <c r="S598" s="212"/>
      <c r="T598" s="212"/>
      <c r="U598" s="212"/>
      <c r="V598" s="212"/>
      <c r="W598" s="212"/>
      <c r="X598" s="212" t="s">
        <v>2313</v>
      </c>
      <c r="Y598" s="212"/>
      <c r="Z598" s="212"/>
      <c r="AA598" s="212"/>
      <c r="AB598" s="212"/>
      <c r="AC598" s="212"/>
      <c r="AD598" s="212"/>
      <c r="AE598" s="212"/>
      <c r="AF598" s="212"/>
      <c r="AG598" s="212"/>
      <c r="AH598" s="212"/>
      <c r="AI598" s="212"/>
      <c r="AJ598" s="212"/>
      <c r="AK598" s="212"/>
      <c r="AL598" s="212"/>
      <c r="AM598" s="212"/>
      <c r="AN598" s="212"/>
      <c r="AO598" s="212"/>
      <c r="AP598" s="212"/>
      <c r="AQ598" s="212"/>
      <c r="AR598" s="212"/>
      <c r="AS598" s="212"/>
      <c r="AT598" s="212"/>
      <c r="AU598" s="212"/>
      <c r="AV598" s="212"/>
      <c r="AW598" s="212"/>
      <c r="AX598" s="212"/>
      <c r="AY598" s="212"/>
      <c r="AZ598" s="212"/>
      <c r="BA598" s="212"/>
      <c r="BB598" s="212"/>
      <c r="BC598" s="212"/>
      <c r="BD598" s="212"/>
      <c r="BE598" s="212"/>
      <c r="BF598" s="212"/>
      <c r="BG598" s="212"/>
      <c r="BH598" s="212"/>
      <c r="BI598" s="212"/>
    </row>
    <row r="599" spans="1:61" ht="24" customHeight="1">
      <c r="A599" s="215"/>
      <c r="B599" s="215"/>
      <c r="C599" s="229"/>
      <c r="D599" s="213"/>
      <c r="E599" s="213"/>
      <c r="F599" s="213"/>
      <c r="G599" s="213"/>
      <c r="H599" s="213"/>
      <c r="I599" s="213"/>
      <c r="J599" s="213"/>
      <c r="K599" s="213"/>
      <c r="L599" s="213"/>
      <c r="M599" s="215"/>
      <c r="N599" s="212"/>
      <c r="O599" s="212"/>
      <c r="P599" s="212"/>
      <c r="Q599" s="212"/>
      <c r="R599" s="212"/>
      <c r="S599" s="212"/>
      <c r="T599" s="212"/>
      <c r="U599" s="212"/>
      <c r="V599" s="212"/>
      <c r="W599" s="212"/>
      <c r="X599" s="212"/>
      <c r="Y599" s="212"/>
      <c r="Z599" s="212"/>
      <c r="AA599" s="212"/>
      <c r="AB599" s="212"/>
      <c r="AC599" s="212"/>
      <c r="AD599" s="212"/>
      <c r="AE599" s="212"/>
      <c r="AF599" s="212"/>
      <c r="AG599" s="212"/>
      <c r="AH599" s="212"/>
      <c r="AI599" s="212"/>
      <c r="AJ599" s="212"/>
      <c r="AK599" s="212"/>
      <c r="AL599" s="212"/>
      <c r="AM599" s="212"/>
      <c r="AN599" s="212"/>
      <c r="AO599" s="212"/>
      <c r="AP599" s="212"/>
      <c r="AQ599" s="212"/>
      <c r="AR599" s="212"/>
      <c r="AS599" s="212"/>
      <c r="AT599" s="212"/>
      <c r="AU599" s="212"/>
      <c r="AV599" s="212"/>
      <c r="AW599" s="212"/>
      <c r="AX599" s="212"/>
      <c r="AY599" s="212"/>
      <c r="AZ599" s="212"/>
      <c r="BA599" s="212"/>
      <c r="BB599" s="212"/>
      <c r="BC599" s="212"/>
      <c r="BD599" s="212"/>
      <c r="BE599" s="212"/>
      <c r="BF599" s="212"/>
      <c r="BG599" s="212"/>
      <c r="BH599" s="212"/>
      <c r="BI599" s="212"/>
    </row>
    <row r="600" spans="1:61" ht="24" customHeight="1">
      <c r="A600" s="218" t="s">
        <v>2314</v>
      </c>
      <c r="B600" s="218" t="s">
        <v>1368</v>
      </c>
      <c r="C600" s="228">
        <v>1</v>
      </c>
      <c r="D600" s="213" t="s">
        <v>9</v>
      </c>
      <c r="E600" s="212"/>
      <c r="F600" s="217">
        <f>TRUNC(F601+F602+F603+F604+F605,0)</f>
        <v>0</v>
      </c>
      <c r="G600" s="212"/>
      <c r="H600" s="217">
        <f>TRUNC(H601+H602+H603+H604+H605,0)</f>
        <v>0</v>
      </c>
      <c r="I600" s="212"/>
      <c r="J600" s="217">
        <f>TRUNC(J601+J602+J603+J604+J605,0)</f>
        <v>0</v>
      </c>
      <c r="K600" s="212"/>
      <c r="L600" s="217">
        <f t="shared" ref="L600:L605" si="69">F600+H600+J600</f>
        <v>0</v>
      </c>
      <c r="M600" s="215" t="s">
        <v>1830</v>
      </c>
      <c r="N600" s="212" t="s">
        <v>68</v>
      </c>
      <c r="O600" s="212" t="s">
        <v>1370</v>
      </c>
      <c r="P600" s="212"/>
      <c r="Q600" s="212"/>
      <c r="R600" s="212"/>
      <c r="S600" s="212"/>
      <c r="T600" s="212"/>
      <c r="U600" s="212"/>
      <c r="V600" s="212"/>
      <c r="W600" s="212"/>
      <c r="X600" s="212"/>
      <c r="Y600" s="212"/>
      <c r="Z600" s="212"/>
      <c r="AA600" s="212"/>
      <c r="AB600" s="212"/>
      <c r="AC600" s="212"/>
      <c r="AD600" s="212"/>
      <c r="AE600" s="212"/>
      <c r="AF600" s="212"/>
      <c r="AG600" s="212"/>
      <c r="AH600" s="212"/>
      <c r="AI600" s="212"/>
      <c r="AJ600" s="212"/>
      <c r="AK600" s="212"/>
      <c r="AL600" s="212"/>
      <c r="AM600" s="212"/>
      <c r="AN600" s="212"/>
      <c r="AO600" s="212"/>
      <c r="AP600" s="212"/>
      <c r="AQ600" s="212"/>
      <c r="AR600" s="212"/>
      <c r="AS600" s="212"/>
      <c r="AT600" s="212"/>
      <c r="AU600" s="212"/>
      <c r="AV600" s="212"/>
      <c r="AW600" s="212"/>
      <c r="AX600" s="212"/>
      <c r="AY600" s="212"/>
      <c r="AZ600" s="212"/>
      <c r="BA600" s="212"/>
      <c r="BB600" s="212"/>
      <c r="BC600" s="212"/>
      <c r="BD600" s="212"/>
      <c r="BE600" s="212"/>
      <c r="BF600" s="212"/>
      <c r="BG600" s="212"/>
      <c r="BH600" s="212"/>
      <c r="BI600" s="212"/>
    </row>
    <row r="601" spans="1:61" ht="24" customHeight="1">
      <c r="A601" s="218" t="s">
        <v>2315</v>
      </c>
      <c r="B601" s="218" t="s">
        <v>2316</v>
      </c>
      <c r="C601" s="229">
        <v>0.4</v>
      </c>
      <c r="D601" s="213" t="s">
        <v>2155</v>
      </c>
      <c r="E601" s="217">
        <f>자재조서!E34</f>
        <v>0</v>
      </c>
      <c r="F601" s="217">
        <f>TRUNC(E601*C601,0)</f>
        <v>0</v>
      </c>
      <c r="G601" s="217">
        <v>0</v>
      </c>
      <c r="H601" s="217"/>
      <c r="I601" s="217">
        <v>0</v>
      </c>
      <c r="J601" s="217"/>
      <c r="K601" s="217">
        <f>E601+G601+I601</f>
        <v>0</v>
      </c>
      <c r="L601" s="217">
        <f t="shared" si="69"/>
        <v>0</v>
      </c>
      <c r="M601" s="215" t="s">
        <v>68</v>
      </c>
      <c r="N601" s="212" t="s">
        <v>68</v>
      </c>
      <c r="O601" s="212"/>
      <c r="P601" s="212" t="s">
        <v>1095</v>
      </c>
      <c r="Q601" s="212" t="s">
        <v>68</v>
      </c>
      <c r="R601" s="212" t="s">
        <v>2317</v>
      </c>
      <c r="S601" s="212"/>
      <c r="T601" s="212"/>
      <c r="U601" s="212"/>
      <c r="V601" s="212"/>
      <c r="W601" s="212"/>
      <c r="X601" s="212"/>
      <c r="Y601" s="212"/>
      <c r="Z601" s="212"/>
      <c r="AA601" s="212"/>
      <c r="AB601" s="212"/>
      <c r="AC601" s="212"/>
      <c r="AD601" s="212"/>
      <c r="AE601" s="212"/>
      <c r="AF601" s="212"/>
      <c r="AG601" s="212"/>
      <c r="AH601" s="212"/>
      <c r="AI601" s="212"/>
      <c r="AJ601" s="212"/>
      <c r="AK601" s="212"/>
      <c r="AL601" s="212"/>
      <c r="AM601" s="212"/>
      <c r="AN601" s="212"/>
      <c r="AO601" s="212"/>
      <c r="AP601" s="212"/>
      <c r="AQ601" s="212"/>
      <c r="AR601" s="212"/>
      <c r="AS601" s="212"/>
      <c r="AT601" s="212"/>
      <c r="AU601" s="212"/>
      <c r="AV601" s="212"/>
      <c r="AW601" s="212"/>
      <c r="AX601" s="212"/>
      <c r="AY601" s="212"/>
      <c r="AZ601" s="212"/>
      <c r="BA601" s="212"/>
      <c r="BB601" s="212"/>
      <c r="BC601" s="212"/>
      <c r="BD601" s="212"/>
      <c r="BE601" s="212"/>
      <c r="BF601" s="212"/>
      <c r="BG601" s="212"/>
      <c r="BH601" s="212"/>
      <c r="BI601" s="231" t="str">
        <f>HYPERLINK("#자재조서!A34","MVP2021 →")</f>
        <v>MVP2021 →</v>
      </c>
    </row>
    <row r="602" spans="1:61" ht="24" customHeight="1">
      <c r="A602" s="218" t="s">
        <v>2158</v>
      </c>
      <c r="B602" s="218" t="s">
        <v>1946</v>
      </c>
      <c r="C602" s="229">
        <v>3.7999999999999999E-2</v>
      </c>
      <c r="D602" s="213" t="s">
        <v>1286</v>
      </c>
      <c r="E602" s="217">
        <v>0</v>
      </c>
      <c r="F602" s="217"/>
      <c r="G602" s="217">
        <f>노임!D17</f>
        <v>0</v>
      </c>
      <c r="H602" s="217">
        <f>TRUNC(G602*C602,0)</f>
        <v>0</v>
      </c>
      <c r="I602" s="217">
        <v>0</v>
      </c>
      <c r="J602" s="217"/>
      <c r="K602" s="217">
        <f>E602+G602+I602</f>
        <v>0</v>
      </c>
      <c r="L602" s="217">
        <f t="shared" si="69"/>
        <v>0</v>
      </c>
      <c r="M602" s="215" t="s">
        <v>68</v>
      </c>
      <c r="N602" s="212" t="s">
        <v>68</v>
      </c>
      <c r="O602" s="212"/>
      <c r="P602" s="212" t="s">
        <v>1098</v>
      </c>
      <c r="Q602" s="212" t="s">
        <v>68</v>
      </c>
      <c r="R602" s="212" t="s">
        <v>2159</v>
      </c>
      <c r="S602" s="212"/>
      <c r="T602" s="212"/>
      <c r="U602" s="212"/>
      <c r="V602" s="212"/>
      <c r="W602" s="212"/>
      <c r="X602" s="212"/>
      <c r="Y602" s="212"/>
      <c r="Z602" s="212"/>
      <c r="AA602" s="212"/>
      <c r="AB602" s="212"/>
      <c r="AC602" s="212"/>
      <c r="AD602" s="212"/>
      <c r="AE602" s="212"/>
      <c r="AF602" s="212"/>
      <c r="AG602" s="212"/>
      <c r="AH602" s="212"/>
      <c r="AI602" s="212"/>
      <c r="AJ602" s="212"/>
      <c r="AK602" s="212"/>
      <c r="AL602" s="212"/>
      <c r="AM602" s="212"/>
      <c r="AN602" s="212"/>
      <c r="AO602" s="212"/>
      <c r="AP602" s="212"/>
      <c r="AQ602" s="212"/>
      <c r="AR602" s="212"/>
      <c r="AS602" s="212"/>
      <c r="AT602" s="212"/>
      <c r="AU602" s="212"/>
      <c r="AV602" s="212"/>
      <c r="AW602" s="212"/>
      <c r="AX602" s="212"/>
      <c r="AY602" s="212"/>
      <c r="AZ602" s="212"/>
      <c r="BA602" s="212"/>
      <c r="BB602" s="212"/>
      <c r="BC602" s="212"/>
      <c r="BD602" s="212"/>
      <c r="BE602" s="212"/>
      <c r="BF602" s="212"/>
      <c r="BG602" s="212"/>
      <c r="BH602" s="212"/>
      <c r="BI602" s="231" t="str">
        <f>HYPERLINK("#노임!A17","L001010101000029 →")</f>
        <v>L001010101000029 →</v>
      </c>
    </row>
    <row r="603" spans="1:61" ht="24" customHeight="1">
      <c r="A603" s="218" t="s">
        <v>1967</v>
      </c>
      <c r="B603" s="218" t="s">
        <v>1946</v>
      </c>
      <c r="C603" s="229">
        <v>6.0000000000000001E-3</v>
      </c>
      <c r="D603" s="213" t="s">
        <v>1286</v>
      </c>
      <c r="E603" s="217">
        <v>0</v>
      </c>
      <c r="F603" s="217"/>
      <c r="G603" s="217">
        <f>노임!D3</f>
        <v>0</v>
      </c>
      <c r="H603" s="217">
        <f>TRUNC(G603*C603,0)</f>
        <v>0</v>
      </c>
      <c r="I603" s="217">
        <v>0</v>
      </c>
      <c r="J603" s="217"/>
      <c r="K603" s="217">
        <f>E603+G603+I603</f>
        <v>0</v>
      </c>
      <c r="L603" s="217">
        <f t="shared" si="69"/>
        <v>0</v>
      </c>
      <c r="M603" s="215" t="s">
        <v>68</v>
      </c>
      <c r="N603" s="212" t="s">
        <v>68</v>
      </c>
      <c r="O603" s="212"/>
      <c r="P603" s="212" t="s">
        <v>1101</v>
      </c>
      <c r="Q603" s="212" t="s">
        <v>68</v>
      </c>
      <c r="R603" s="212" t="s">
        <v>1968</v>
      </c>
      <c r="S603" s="212"/>
      <c r="T603" s="212"/>
      <c r="U603" s="212"/>
      <c r="V603" s="212"/>
      <c r="W603" s="212"/>
      <c r="X603" s="212"/>
      <c r="Y603" s="212"/>
      <c r="Z603" s="212"/>
      <c r="AA603" s="220" t="s">
        <v>1955</v>
      </c>
      <c r="AB603" s="212">
        <f>(호표!H602+호표!H603)*0.02</f>
        <v>0</v>
      </c>
      <c r="AC603" s="220" t="s">
        <v>1956</v>
      </c>
      <c r="AD603" s="212">
        <f>$AB603</f>
        <v>0</v>
      </c>
      <c r="AE603" s="212"/>
      <c r="AF603" s="212"/>
      <c r="AG603" s="212"/>
      <c r="AH603" s="212"/>
      <c r="AI603" s="212"/>
      <c r="AJ603" s="212"/>
      <c r="AK603" s="212"/>
      <c r="AL603" s="212"/>
      <c r="AM603" s="212"/>
      <c r="AN603" s="212"/>
      <c r="AO603" s="212"/>
      <c r="AP603" s="212"/>
      <c r="AQ603" s="212"/>
      <c r="AR603" s="212"/>
      <c r="AS603" s="212"/>
      <c r="AT603" s="212"/>
      <c r="AU603" s="212"/>
      <c r="AV603" s="212"/>
      <c r="AW603" s="212"/>
      <c r="AX603" s="212"/>
      <c r="AY603" s="212"/>
      <c r="AZ603" s="212"/>
      <c r="BA603" s="212"/>
      <c r="BB603" s="212"/>
      <c r="BC603" s="212"/>
      <c r="BD603" s="212"/>
      <c r="BE603" s="212"/>
      <c r="BF603" s="212"/>
      <c r="BG603" s="212"/>
      <c r="BH603" s="212"/>
      <c r="BI603" s="231" t="str">
        <f>HYPERLINK("#노임!A3","L001010101000002 →")</f>
        <v>L001010101000002 →</v>
      </c>
    </row>
    <row r="604" spans="1:61" ht="24" customHeight="1">
      <c r="A604" s="218" t="s">
        <v>1948</v>
      </c>
      <c r="B604" s="218" t="s">
        <v>1958</v>
      </c>
      <c r="C604" s="228">
        <v>2</v>
      </c>
      <c r="D604" s="213" t="s">
        <v>1950</v>
      </c>
      <c r="E604" s="213"/>
      <c r="F604" s="217">
        <v>0</v>
      </c>
      <c r="G604" s="213"/>
      <c r="H604" s="217">
        <v>0</v>
      </c>
      <c r="I604" s="213"/>
      <c r="J604" s="217">
        <f>TRUNC(((H602+H603)*0.02),0)</f>
        <v>0</v>
      </c>
      <c r="K604" s="217">
        <f>E604+G604+I604</f>
        <v>0</v>
      </c>
      <c r="L604" s="217">
        <f t="shared" si="69"/>
        <v>0</v>
      </c>
      <c r="M604" s="215" t="s">
        <v>68</v>
      </c>
      <c r="N604" s="212" t="s">
        <v>68</v>
      </c>
      <c r="O604" s="212"/>
      <c r="P604" s="212" t="s">
        <v>1104</v>
      </c>
      <c r="Q604" s="212" t="s">
        <v>68</v>
      </c>
      <c r="R604" s="212" t="s">
        <v>1121</v>
      </c>
      <c r="S604" s="212"/>
      <c r="T604" s="212"/>
      <c r="U604" s="212"/>
      <c r="V604" s="212"/>
      <c r="W604" s="212"/>
      <c r="X604" s="212" t="s">
        <v>1986</v>
      </c>
      <c r="Y604" s="212"/>
      <c r="Z604" s="212"/>
      <c r="AA604" s="220" t="s">
        <v>1123</v>
      </c>
      <c r="AB604" s="212">
        <f>(호표!H602+호표!H603)*0.2</f>
        <v>0</v>
      </c>
      <c r="AC604" s="220" t="s">
        <v>1124</v>
      </c>
      <c r="AD604" s="212">
        <f>$AB604</f>
        <v>0</v>
      </c>
      <c r="AE604" s="212"/>
      <c r="AF604" s="212"/>
      <c r="AG604" s="212"/>
      <c r="AH604" s="212"/>
      <c r="AI604" s="212"/>
      <c r="AJ604" s="212"/>
      <c r="AK604" s="212"/>
      <c r="AL604" s="212"/>
      <c r="AM604" s="212"/>
      <c r="AN604" s="212"/>
      <c r="AO604" s="212"/>
      <c r="AP604" s="212"/>
      <c r="AQ604" s="212"/>
      <c r="AR604" s="212"/>
      <c r="AS604" s="212"/>
      <c r="AT604" s="212"/>
      <c r="AU604" s="212"/>
      <c r="AV604" s="212"/>
      <c r="AW604" s="212"/>
      <c r="AX604" s="212"/>
      <c r="AY604" s="212"/>
      <c r="AZ604" s="212"/>
      <c r="BA604" s="212"/>
      <c r="BB604" s="212"/>
      <c r="BC604" s="212"/>
      <c r="BD604" s="212"/>
      <c r="BE604" s="212"/>
      <c r="BF604" s="212"/>
      <c r="BG604" s="212"/>
      <c r="BH604" s="212"/>
      <c r="BI604" s="212"/>
    </row>
    <row r="605" spans="1:61" ht="24" customHeight="1">
      <c r="A605" s="218" t="s">
        <v>2272</v>
      </c>
      <c r="B605" s="218" t="s">
        <v>2273</v>
      </c>
      <c r="C605" s="228">
        <v>20</v>
      </c>
      <c r="D605" s="213" t="s">
        <v>1950</v>
      </c>
      <c r="E605" s="213"/>
      <c r="F605" s="217">
        <v>0</v>
      </c>
      <c r="G605" s="213"/>
      <c r="H605" s="217">
        <f>TRUNC(((H602+H603)*0.2),0)</f>
        <v>0</v>
      </c>
      <c r="I605" s="213"/>
      <c r="J605" s="217">
        <v>0</v>
      </c>
      <c r="K605" s="217">
        <f>E605+G605+I605</f>
        <v>0</v>
      </c>
      <c r="L605" s="217">
        <f t="shared" si="69"/>
        <v>0</v>
      </c>
      <c r="M605" s="215" t="s">
        <v>68</v>
      </c>
      <c r="N605" s="212" t="s">
        <v>68</v>
      </c>
      <c r="O605" s="212"/>
      <c r="P605" s="212" t="s">
        <v>1107</v>
      </c>
      <c r="Q605" s="212" t="s">
        <v>68</v>
      </c>
      <c r="R605" s="212" t="s">
        <v>1121</v>
      </c>
      <c r="S605" s="212"/>
      <c r="T605" s="212"/>
      <c r="U605" s="212"/>
      <c r="V605" s="212"/>
      <c r="W605" s="212"/>
      <c r="X605" s="212" t="s">
        <v>2307</v>
      </c>
      <c r="Y605" s="212"/>
      <c r="Z605" s="212"/>
      <c r="AA605" s="212"/>
      <c r="AB605" s="212"/>
      <c r="AC605" s="212"/>
      <c r="AD605" s="212"/>
      <c r="AE605" s="212"/>
      <c r="AF605" s="212"/>
      <c r="AG605" s="212"/>
      <c r="AH605" s="212"/>
      <c r="AI605" s="212"/>
      <c r="AJ605" s="212"/>
      <c r="AK605" s="212"/>
      <c r="AL605" s="212"/>
      <c r="AM605" s="212"/>
      <c r="AN605" s="212"/>
      <c r="AO605" s="212"/>
      <c r="AP605" s="212"/>
      <c r="AQ605" s="212"/>
      <c r="AR605" s="212"/>
      <c r="AS605" s="212"/>
      <c r="AT605" s="212"/>
      <c r="AU605" s="212"/>
      <c r="AV605" s="212"/>
      <c r="AW605" s="212"/>
      <c r="AX605" s="212"/>
      <c r="AY605" s="212"/>
      <c r="AZ605" s="212"/>
      <c r="BA605" s="212"/>
      <c r="BB605" s="212"/>
      <c r="BC605" s="212"/>
      <c r="BD605" s="212"/>
      <c r="BE605" s="212"/>
      <c r="BF605" s="212"/>
      <c r="BG605" s="212"/>
      <c r="BH605" s="212"/>
      <c r="BI605" s="212"/>
    </row>
    <row r="606" spans="1:61" ht="24" customHeight="1">
      <c r="A606" s="215"/>
      <c r="B606" s="215"/>
      <c r="C606" s="229"/>
      <c r="D606" s="213"/>
      <c r="E606" s="213"/>
      <c r="F606" s="213"/>
      <c r="G606" s="213"/>
      <c r="H606" s="213"/>
      <c r="I606" s="213"/>
      <c r="J606" s="213"/>
      <c r="K606" s="213"/>
      <c r="L606" s="213"/>
      <c r="M606" s="215"/>
      <c r="N606" s="212"/>
      <c r="O606" s="212"/>
      <c r="P606" s="212"/>
      <c r="Q606" s="212"/>
      <c r="R606" s="212"/>
      <c r="S606" s="212"/>
      <c r="T606" s="212"/>
      <c r="U606" s="212"/>
      <c r="V606" s="212"/>
      <c r="W606" s="212"/>
      <c r="X606" s="212"/>
      <c r="Y606" s="212"/>
      <c r="Z606" s="212"/>
      <c r="AA606" s="212"/>
      <c r="AB606" s="212"/>
      <c r="AC606" s="212"/>
      <c r="AD606" s="212"/>
      <c r="AE606" s="212"/>
      <c r="AF606" s="212"/>
      <c r="AG606" s="212"/>
      <c r="AH606" s="212"/>
      <c r="AI606" s="212"/>
      <c r="AJ606" s="212"/>
      <c r="AK606" s="212"/>
      <c r="AL606" s="212"/>
      <c r="AM606" s="212"/>
      <c r="AN606" s="212"/>
      <c r="AO606" s="212"/>
      <c r="AP606" s="212"/>
      <c r="AQ606" s="212"/>
      <c r="AR606" s="212"/>
      <c r="AS606" s="212"/>
      <c r="AT606" s="212"/>
      <c r="AU606" s="212"/>
      <c r="AV606" s="212"/>
      <c r="AW606" s="212"/>
      <c r="AX606" s="212"/>
      <c r="AY606" s="212"/>
      <c r="AZ606" s="212"/>
      <c r="BA606" s="212"/>
      <c r="BB606" s="212"/>
      <c r="BC606" s="212"/>
      <c r="BD606" s="212"/>
      <c r="BE606" s="212"/>
      <c r="BF606" s="212"/>
      <c r="BG606" s="212"/>
      <c r="BH606" s="212"/>
      <c r="BI606" s="212"/>
    </row>
    <row r="607" spans="1:61" ht="24" customHeight="1">
      <c r="A607" s="218" t="s">
        <v>2318</v>
      </c>
      <c r="B607" s="218" t="s">
        <v>1372</v>
      </c>
      <c r="C607" s="228">
        <v>1</v>
      </c>
      <c r="D607" s="213" t="s">
        <v>1033</v>
      </c>
      <c r="E607" s="212"/>
      <c r="F607" s="217">
        <f>TRUNC(F608+F609+F610+F611+F612,0)</f>
        <v>0</v>
      </c>
      <c r="G607" s="212"/>
      <c r="H607" s="217">
        <f>TRUNC(H608+H609+H610+H611+H612,0)</f>
        <v>0</v>
      </c>
      <c r="I607" s="212"/>
      <c r="J607" s="217">
        <f>TRUNC(J608+J609+J610+J611+J612,0)</f>
        <v>0</v>
      </c>
      <c r="K607" s="212"/>
      <c r="L607" s="217">
        <f t="shared" ref="L607:L612" si="70">F607+H607+J607</f>
        <v>0</v>
      </c>
      <c r="M607" s="215" t="s">
        <v>1832</v>
      </c>
      <c r="N607" s="212" t="s">
        <v>68</v>
      </c>
      <c r="O607" s="212" t="s">
        <v>1374</v>
      </c>
      <c r="P607" s="212"/>
      <c r="Q607" s="212"/>
      <c r="R607" s="212"/>
      <c r="S607" s="212"/>
      <c r="T607" s="212"/>
      <c r="U607" s="212"/>
      <c r="V607" s="212"/>
      <c r="W607" s="212"/>
      <c r="X607" s="212"/>
      <c r="Y607" s="212"/>
      <c r="Z607" s="212"/>
      <c r="AA607" s="212"/>
      <c r="AB607" s="212"/>
      <c r="AC607" s="212"/>
      <c r="AD607" s="212"/>
      <c r="AE607" s="212"/>
      <c r="AF607" s="212"/>
      <c r="AG607" s="212"/>
      <c r="AH607" s="212"/>
      <c r="AI607" s="212"/>
      <c r="AJ607" s="212"/>
      <c r="AK607" s="212"/>
      <c r="AL607" s="212"/>
      <c r="AM607" s="212"/>
      <c r="AN607" s="212"/>
      <c r="AO607" s="212"/>
      <c r="AP607" s="212"/>
      <c r="AQ607" s="212"/>
      <c r="AR607" s="212"/>
      <c r="AS607" s="212"/>
      <c r="AT607" s="212"/>
      <c r="AU607" s="212"/>
      <c r="AV607" s="212"/>
      <c r="AW607" s="212"/>
      <c r="AX607" s="212"/>
      <c r="AY607" s="212"/>
      <c r="AZ607" s="212"/>
      <c r="BA607" s="212"/>
      <c r="BB607" s="212"/>
      <c r="BC607" s="212"/>
      <c r="BD607" s="212"/>
      <c r="BE607" s="212"/>
      <c r="BF607" s="212"/>
      <c r="BG607" s="212"/>
      <c r="BH607" s="212"/>
      <c r="BI607" s="212"/>
    </row>
    <row r="608" spans="1:61" ht="24" customHeight="1">
      <c r="A608" s="218" t="s">
        <v>2319</v>
      </c>
      <c r="B608" s="218" t="s">
        <v>2320</v>
      </c>
      <c r="C608" s="229">
        <v>6.0000000000000001E-3</v>
      </c>
      <c r="D608" s="213" t="s">
        <v>2143</v>
      </c>
      <c r="E608" s="217">
        <f>자재조서!E14</f>
        <v>0</v>
      </c>
      <c r="F608" s="217">
        <f>TRUNC(E608*C608,0)</f>
        <v>0</v>
      </c>
      <c r="G608" s="217">
        <v>0</v>
      </c>
      <c r="H608" s="217"/>
      <c r="I608" s="217">
        <v>0</v>
      </c>
      <c r="J608" s="217"/>
      <c r="K608" s="217">
        <f>E608+G608+I608</f>
        <v>0</v>
      </c>
      <c r="L608" s="217">
        <f t="shared" si="70"/>
        <v>0</v>
      </c>
      <c r="M608" s="215" t="s">
        <v>68</v>
      </c>
      <c r="N608" s="212" t="s">
        <v>68</v>
      </c>
      <c r="O608" s="212"/>
      <c r="P608" s="212" t="s">
        <v>1095</v>
      </c>
      <c r="Q608" s="212" t="s">
        <v>68</v>
      </c>
      <c r="R608" s="212" t="s">
        <v>2321</v>
      </c>
      <c r="S608" s="212"/>
      <c r="T608" s="212"/>
      <c r="U608" s="212"/>
      <c r="V608" s="212"/>
      <c r="W608" s="212"/>
      <c r="X608" s="212"/>
      <c r="Y608" s="212"/>
      <c r="Z608" s="212"/>
      <c r="AA608" s="212"/>
      <c r="AB608" s="212"/>
      <c r="AC608" s="212"/>
      <c r="AD608" s="212"/>
      <c r="AE608" s="212"/>
      <c r="AF608" s="212"/>
      <c r="AG608" s="212"/>
      <c r="AH608" s="212"/>
      <c r="AI608" s="212"/>
      <c r="AJ608" s="212"/>
      <c r="AK608" s="212"/>
      <c r="AL608" s="212"/>
      <c r="AM608" s="212"/>
      <c r="AN608" s="212"/>
      <c r="AO608" s="212"/>
      <c r="AP608" s="212"/>
      <c r="AQ608" s="212"/>
      <c r="AR608" s="212"/>
      <c r="AS608" s="212"/>
      <c r="AT608" s="212"/>
      <c r="AU608" s="212"/>
      <c r="AV608" s="212"/>
      <c r="AW608" s="212"/>
      <c r="AX608" s="212"/>
      <c r="AY608" s="212"/>
      <c r="AZ608" s="212"/>
      <c r="BA608" s="212"/>
      <c r="BB608" s="212"/>
      <c r="BC608" s="212"/>
      <c r="BD608" s="212"/>
      <c r="BE608" s="212"/>
      <c r="BF608" s="212"/>
      <c r="BG608" s="212"/>
      <c r="BH608" s="212"/>
      <c r="BI608" s="231" t="str">
        <f>HYPERLINK("#자재조서!A14","M0980005 →")</f>
        <v>M0980005 →</v>
      </c>
    </row>
    <row r="609" spans="1:61" ht="24" customHeight="1">
      <c r="A609" s="218" t="s">
        <v>1306</v>
      </c>
      <c r="B609" s="218" t="s">
        <v>1364</v>
      </c>
      <c r="C609" s="229">
        <v>0.31</v>
      </c>
      <c r="D609" s="213" t="s">
        <v>9</v>
      </c>
      <c r="E609" s="217">
        <f>일위목록!E108</f>
        <v>0</v>
      </c>
      <c r="F609" s="217">
        <f>TRUNC(E609*C609,0)</f>
        <v>0</v>
      </c>
      <c r="G609" s="217">
        <f>일위목록!F108</f>
        <v>0</v>
      </c>
      <c r="H609" s="217">
        <f>TRUNC(G609*C609,0)</f>
        <v>0</v>
      </c>
      <c r="I609" s="217">
        <f>일위목록!G108</f>
        <v>0</v>
      </c>
      <c r="J609" s="217">
        <f>TRUNC(I609*C609,0)</f>
        <v>0</v>
      </c>
      <c r="K609" s="217">
        <f>E609+G609+I609</f>
        <v>0</v>
      </c>
      <c r="L609" s="217">
        <f t="shared" si="70"/>
        <v>0</v>
      </c>
      <c r="M609" s="215" t="s">
        <v>68</v>
      </c>
      <c r="N609" s="212" t="s">
        <v>68</v>
      </c>
      <c r="O609" s="212"/>
      <c r="P609" s="212" t="s">
        <v>2057</v>
      </c>
      <c r="Q609" s="212" t="s">
        <v>68</v>
      </c>
      <c r="R609" s="212" t="s">
        <v>1366</v>
      </c>
      <c r="S609" s="212"/>
      <c r="T609" s="212" t="s">
        <v>1129</v>
      </c>
      <c r="U609" s="212"/>
      <c r="V609" s="212"/>
      <c r="W609" s="212"/>
      <c r="X609" s="212"/>
      <c r="Y609" s="212"/>
      <c r="Z609" s="212"/>
      <c r="AA609" s="212"/>
      <c r="AB609" s="212"/>
      <c r="AC609" s="212"/>
      <c r="AD609" s="212"/>
      <c r="AE609" s="212"/>
      <c r="AF609" s="212"/>
      <c r="AG609" s="212"/>
      <c r="AH609" s="212"/>
      <c r="AI609" s="212"/>
      <c r="AJ609" s="212"/>
      <c r="AK609" s="212"/>
      <c r="AL609" s="212"/>
      <c r="AM609" s="212"/>
      <c r="AN609" s="212"/>
      <c r="AO609" s="212"/>
      <c r="AP609" s="212"/>
      <c r="AQ609" s="212"/>
      <c r="AR609" s="212"/>
      <c r="AS609" s="212"/>
      <c r="AT609" s="212"/>
      <c r="AU609" s="212"/>
      <c r="AV609" s="212"/>
      <c r="AW609" s="212"/>
      <c r="AX609" s="212"/>
      <c r="AY609" s="212"/>
      <c r="AZ609" s="212"/>
      <c r="BA609" s="212"/>
      <c r="BB609" s="212"/>
      <c r="BC609" s="212"/>
      <c r="BD609" s="212"/>
      <c r="BE609" s="212"/>
      <c r="BF609" s="212"/>
      <c r="BG609" s="212"/>
      <c r="BH609" s="212"/>
      <c r="BI609" s="231" t="str">
        <f>HYPERLINK("#일위대가목록!A108","PP11-1-4/2 →")</f>
        <v>PP11-1-4/2 →</v>
      </c>
    </row>
    <row r="610" spans="1:61" ht="24" customHeight="1">
      <c r="A610" s="218" t="s">
        <v>1367</v>
      </c>
      <c r="B610" s="218" t="s">
        <v>1368</v>
      </c>
      <c r="C610" s="229">
        <v>0.31</v>
      </c>
      <c r="D610" s="213" t="s">
        <v>9</v>
      </c>
      <c r="E610" s="217">
        <f>일위목록!E109</f>
        <v>0</v>
      </c>
      <c r="F610" s="217">
        <f>TRUNC(E610*C610,0)</f>
        <v>0</v>
      </c>
      <c r="G610" s="217">
        <f>일위목록!F109</f>
        <v>0</v>
      </c>
      <c r="H610" s="217">
        <f>TRUNC(G610*C610,0)</f>
        <v>0</v>
      </c>
      <c r="I610" s="217">
        <f>일위목록!G109</f>
        <v>0</v>
      </c>
      <c r="J610" s="217">
        <f>TRUNC(I610*C610,0)</f>
        <v>0</v>
      </c>
      <c r="K610" s="217">
        <f>E610+G610+I610</f>
        <v>0</v>
      </c>
      <c r="L610" s="217">
        <f t="shared" si="70"/>
        <v>0</v>
      </c>
      <c r="M610" s="215" t="s">
        <v>68</v>
      </c>
      <c r="N610" s="212" t="s">
        <v>68</v>
      </c>
      <c r="O610" s="212"/>
      <c r="P610" s="212" t="s">
        <v>2322</v>
      </c>
      <c r="Q610" s="212" t="s">
        <v>68</v>
      </c>
      <c r="R610" s="212" t="s">
        <v>1370</v>
      </c>
      <c r="S610" s="212"/>
      <c r="T610" s="212" t="s">
        <v>1129</v>
      </c>
      <c r="U610" s="212"/>
      <c r="V610" s="212"/>
      <c r="W610" s="212"/>
      <c r="X610" s="212"/>
      <c r="Y610" s="212"/>
      <c r="Z610" s="212"/>
      <c r="AA610" s="212"/>
      <c r="AB610" s="212"/>
      <c r="AC610" s="212"/>
      <c r="AD610" s="212"/>
      <c r="AE610" s="212"/>
      <c r="AF610" s="212"/>
      <c r="AG610" s="212"/>
      <c r="AH610" s="212"/>
      <c r="AI610" s="212"/>
      <c r="AJ610" s="212"/>
      <c r="AK610" s="212"/>
      <c r="AL610" s="212"/>
      <c r="AM610" s="212"/>
      <c r="AN610" s="212"/>
      <c r="AO610" s="212"/>
      <c r="AP610" s="212"/>
      <c r="AQ610" s="212"/>
      <c r="AR610" s="212"/>
      <c r="AS610" s="212"/>
      <c r="AT610" s="212"/>
      <c r="AU610" s="212"/>
      <c r="AV610" s="212"/>
      <c r="AW610" s="212"/>
      <c r="AX610" s="212"/>
      <c r="AY610" s="212"/>
      <c r="AZ610" s="212"/>
      <c r="BA610" s="212"/>
      <c r="BB610" s="212"/>
      <c r="BC610" s="212"/>
      <c r="BD610" s="212"/>
      <c r="BE610" s="212"/>
      <c r="BF610" s="212"/>
      <c r="BG610" s="212"/>
      <c r="BH610" s="212"/>
      <c r="BI610" s="231" t="str">
        <f>HYPERLINK("#일위대가목록!A109","PP11-2-7/2 →")</f>
        <v>PP11-2-7/2 →</v>
      </c>
    </row>
    <row r="611" spans="1:61" ht="24" customHeight="1">
      <c r="A611" s="218" t="s">
        <v>2109</v>
      </c>
      <c r="B611" s="218" t="s">
        <v>1946</v>
      </c>
      <c r="C611" s="229">
        <v>3.5000000000000003E-2</v>
      </c>
      <c r="D611" s="213" t="s">
        <v>1286</v>
      </c>
      <c r="E611" s="217">
        <v>0</v>
      </c>
      <c r="F611" s="217"/>
      <c r="G611" s="217">
        <f>노임!D18</f>
        <v>0</v>
      </c>
      <c r="H611" s="217">
        <f>TRUNC(G611*C611,0)</f>
        <v>0</v>
      </c>
      <c r="I611" s="217">
        <v>0</v>
      </c>
      <c r="J611" s="217"/>
      <c r="K611" s="217">
        <f>E611+G611+I611</f>
        <v>0</v>
      </c>
      <c r="L611" s="217">
        <f t="shared" si="70"/>
        <v>0</v>
      </c>
      <c r="M611" s="215" t="s">
        <v>68</v>
      </c>
      <c r="N611" s="212" t="s">
        <v>68</v>
      </c>
      <c r="O611" s="212"/>
      <c r="P611" s="212" t="s">
        <v>1104</v>
      </c>
      <c r="Q611" s="212" t="s">
        <v>68</v>
      </c>
      <c r="R611" s="212" t="s">
        <v>2110</v>
      </c>
      <c r="S611" s="212"/>
      <c r="T611" s="212"/>
      <c r="U611" s="212"/>
      <c r="V611" s="212"/>
      <c r="W611" s="212"/>
      <c r="X611" s="212"/>
      <c r="Y611" s="212"/>
      <c r="Z611" s="212"/>
      <c r="AA611" s="220" t="s">
        <v>1955</v>
      </c>
      <c r="AB611" s="212">
        <f>호표!H611*0.04</f>
        <v>0</v>
      </c>
      <c r="AC611" s="220" t="s">
        <v>1956</v>
      </c>
      <c r="AD611" s="212">
        <f>$AB611</f>
        <v>0</v>
      </c>
      <c r="AE611" s="212"/>
      <c r="AF611" s="212"/>
      <c r="AG611" s="212"/>
      <c r="AH611" s="212"/>
      <c r="AI611" s="212"/>
      <c r="AJ611" s="212"/>
      <c r="AK611" s="212"/>
      <c r="AL611" s="212"/>
      <c r="AM611" s="212"/>
      <c r="AN611" s="212"/>
      <c r="AO611" s="212"/>
      <c r="AP611" s="212"/>
      <c r="AQ611" s="212"/>
      <c r="AR611" s="212"/>
      <c r="AS611" s="212"/>
      <c r="AT611" s="212"/>
      <c r="AU611" s="212"/>
      <c r="AV611" s="212"/>
      <c r="AW611" s="212"/>
      <c r="AX611" s="212"/>
      <c r="AY611" s="212"/>
      <c r="AZ611" s="212"/>
      <c r="BA611" s="212"/>
      <c r="BB611" s="212"/>
      <c r="BC611" s="212"/>
      <c r="BD611" s="212"/>
      <c r="BE611" s="212"/>
      <c r="BF611" s="212"/>
      <c r="BG611" s="212"/>
      <c r="BH611" s="212"/>
      <c r="BI611" s="231" t="str">
        <f>HYPERLINK("#노임!A18","L001010101000030 →")</f>
        <v>L001010101000030 →</v>
      </c>
    </row>
    <row r="612" spans="1:61" ht="24" customHeight="1">
      <c r="A612" s="218" t="s">
        <v>1974</v>
      </c>
      <c r="B612" s="218" t="s">
        <v>2149</v>
      </c>
      <c r="C612" s="228">
        <v>4</v>
      </c>
      <c r="D612" s="213" t="s">
        <v>1950</v>
      </c>
      <c r="E612" s="213"/>
      <c r="F612" s="217">
        <v>0</v>
      </c>
      <c r="G612" s="213"/>
      <c r="H612" s="217">
        <v>0</v>
      </c>
      <c r="I612" s="213"/>
      <c r="J612" s="217">
        <f>TRUNC((H611*0.04),0)</f>
        <v>0</v>
      </c>
      <c r="K612" s="217">
        <f>E612+G612+I612</f>
        <v>0</v>
      </c>
      <c r="L612" s="217">
        <f t="shared" si="70"/>
        <v>0</v>
      </c>
      <c r="M612" s="215" t="s">
        <v>68</v>
      </c>
      <c r="N612" s="212" t="s">
        <v>68</v>
      </c>
      <c r="O612" s="212"/>
      <c r="P612" s="212" t="s">
        <v>1107</v>
      </c>
      <c r="Q612" s="212" t="s">
        <v>68</v>
      </c>
      <c r="R612" s="212" t="s">
        <v>1121</v>
      </c>
      <c r="S612" s="212"/>
      <c r="T612" s="212"/>
      <c r="U612" s="212"/>
      <c r="V612" s="212"/>
      <c r="W612" s="212"/>
      <c r="X612" s="212" t="s">
        <v>2323</v>
      </c>
      <c r="Y612" s="212"/>
      <c r="Z612" s="212"/>
      <c r="AA612" s="212"/>
      <c r="AB612" s="212"/>
      <c r="AC612" s="212"/>
      <c r="AD612" s="212"/>
      <c r="AE612" s="212"/>
      <c r="AF612" s="212"/>
      <c r="AG612" s="212"/>
      <c r="AH612" s="212"/>
      <c r="AI612" s="212"/>
      <c r="AJ612" s="212"/>
      <c r="AK612" s="212"/>
      <c r="AL612" s="212"/>
      <c r="AM612" s="212"/>
      <c r="AN612" s="212"/>
      <c r="AO612" s="212"/>
      <c r="AP612" s="212"/>
      <c r="AQ612" s="212"/>
      <c r="AR612" s="212"/>
      <c r="AS612" s="212"/>
      <c r="AT612" s="212"/>
      <c r="AU612" s="212"/>
      <c r="AV612" s="212"/>
      <c r="AW612" s="212"/>
      <c r="AX612" s="212"/>
      <c r="AY612" s="212"/>
      <c r="AZ612" s="212"/>
      <c r="BA612" s="212"/>
      <c r="BB612" s="212"/>
      <c r="BC612" s="212"/>
      <c r="BD612" s="212"/>
      <c r="BE612" s="212"/>
      <c r="BF612" s="212"/>
      <c r="BG612" s="212"/>
      <c r="BH612" s="212"/>
      <c r="BI612" s="212"/>
    </row>
    <row r="613" spans="1:61" ht="24" customHeight="1">
      <c r="A613" s="215"/>
      <c r="B613" s="215"/>
      <c r="C613" s="229"/>
      <c r="D613" s="213"/>
      <c r="E613" s="213"/>
      <c r="F613" s="213"/>
      <c r="G613" s="213"/>
      <c r="H613" s="213"/>
      <c r="I613" s="213"/>
      <c r="J613" s="213"/>
      <c r="K613" s="213"/>
      <c r="L613" s="213"/>
      <c r="M613" s="215"/>
      <c r="N613" s="212"/>
      <c r="O613" s="212"/>
      <c r="P613" s="212"/>
      <c r="Q613" s="212"/>
      <c r="R613" s="212"/>
      <c r="S613" s="212"/>
      <c r="T613" s="212"/>
      <c r="U613" s="212"/>
      <c r="V613" s="212"/>
      <c r="W613" s="212"/>
      <c r="X613" s="212"/>
      <c r="Y613" s="212"/>
      <c r="Z613" s="212"/>
      <c r="AA613" s="212"/>
      <c r="AB613" s="212"/>
      <c r="AC613" s="212"/>
      <c r="AD613" s="212"/>
      <c r="AE613" s="212"/>
      <c r="AF613" s="212"/>
      <c r="AG613" s="212"/>
      <c r="AH613" s="212"/>
      <c r="AI613" s="212"/>
      <c r="AJ613" s="212"/>
      <c r="AK613" s="212"/>
      <c r="AL613" s="212"/>
      <c r="AM613" s="212"/>
      <c r="AN613" s="212"/>
      <c r="AO613" s="212"/>
      <c r="AP613" s="212"/>
      <c r="AQ613" s="212"/>
      <c r="AR613" s="212"/>
      <c r="AS613" s="212"/>
      <c r="AT613" s="212"/>
      <c r="AU613" s="212"/>
      <c r="AV613" s="212"/>
      <c r="AW613" s="212"/>
      <c r="AX613" s="212"/>
      <c r="AY613" s="212"/>
      <c r="AZ613" s="212"/>
      <c r="BA613" s="212"/>
      <c r="BB613" s="212"/>
      <c r="BC613" s="212"/>
      <c r="BD613" s="212"/>
      <c r="BE613" s="212"/>
      <c r="BF613" s="212"/>
      <c r="BG613" s="212"/>
      <c r="BH613" s="212"/>
      <c r="BI613" s="212"/>
    </row>
    <row r="614" spans="1:61" ht="24" customHeight="1">
      <c r="A614" s="218" t="s">
        <v>2324</v>
      </c>
      <c r="B614" s="218" t="s">
        <v>1375</v>
      </c>
      <c r="C614" s="228">
        <v>1</v>
      </c>
      <c r="D614" s="213" t="s">
        <v>1033</v>
      </c>
      <c r="E614" s="212"/>
      <c r="F614" s="217">
        <f>TRUNC(F615+F616+F617+F618+F619,0)</f>
        <v>0</v>
      </c>
      <c r="G614" s="212"/>
      <c r="H614" s="217">
        <f>TRUNC(H615+H616+H617+H618+H619,0)</f>
        <v>0</v>
      </c>
      <c r="I614" s="212"/>
      <c r="J614" s="217">
        <f>TRUNC(J615+J616+J617+J618+J619,0)</f>
        <v>0</v>
      </c>
      <c r="K614" s="212"/>
      <c r="L614" s="217">
        <f t="shared" ref="L614:L619" si="71">F614+H614+J614</f>
        <v>0</v>
      </c>
      <c r="M614" s="215" t="s">
        <v>1832</v>
      </c>
      <c r="N614" s="212" t="s">
        <v>68</v>
      </c>
      <c r="O614" s="212" t="s">
        <v>1377</v>
      </c>
      <c r="P614" s="212"/>
      <c r="Q614" s="212"/>
      <c r="R614" s="212"/>
      <c r="S614" s="212"/>
      <c r="T614" s="212"/>
      <c r="U614" s="212"/>
      <c r="V614" s="212"/>
      <c r="W614" s="212"/>
      <c r="X614" s="212"/>
      <c r="Y614" s="212"/>
      <c r="Z614" s="212"/>
      <c r="AA614" s="212"/>
      <c r="AB614" s="212"/>
      <c r="AC614" s="212"/>
      <c r="AD614" s="212"/>
      <c r="AE614" s="212"/>
      <c r="AF614" s="212"/>
      <c r="AG614" s="212"/>
      <c r="AH614" s="212"/>
      <c r="AI614" s="212"/>
      <c r="AJ614" s="212"/>
      <c r="AK614" s="212"/>
      <c r="AL614" s="212"/>
      <c r="AM614" s="212"/>
      <c r="AN614" s="212"/>
      <c r="AO614" s="212"/>
      <c r="AP614" s="212"/>
      <c r="AQ614" s="212"/>
      <c r="AR614" s="212"/>
      <c r="AS614" s="212"/>
      <c r="AT614" s="212"/>
      <c r="AU614" s="212"/>
      <c r="AV614" s="212"/>
      <c r="AW614" s="212"/>
      <c r="AX614" s="212"/>
      <c r="AY614" s="212"/>
      <c r="AZ614" s="212"/>
      <c r="BA614" s="212"/>
      <c r="BB614" s="212"/>
      <c r="BC614" s="212"/>
      <c r="BD614" s="212"/>
      <c r="BE614" s="212"/>
      <c r="BF614" s="212"/>
      <c r="BG614" s="212"/>
      <c r="BH614" s="212"/>
      <c r="BI614" s="212"/>
    </row>
    <row r="615" spans="1:61" ht="24" customHeight="1">
      <c r="A615" s="218" t="s">
        <v>2319</v>
      </c>
      <c r="B615" s="218" t="s">
        <v>2320</v>
      </c>
      <c r="C615" s="229">
        <v>1.8E-3</v>
      </c>
      <c r="D615" s="213" t="s">
        <v>2143</v>
      </c>
      <c r="E615" s="217">
        <f>자재조서!E14</f>
        <v>0</v>
      </c>
      <c r="F615" s="217">
        <f>TRUNC(E615*C615,0)</f>
        <v>0</v>
      </c>
      <c r="G615" s="217">
        <v>0</v>
      </c>
      <c r="H615" s="217"/>
      <c r="I615" s="217">
        <v>0</v>
      </c>
      <c r="J615" s="217"/>
      <c r="K615" s="217">
        <f>E615+G615+I615</f>
        <v>0</v>
      </c>
      <c r="L615" s="217">
        <f t="shared" si="71"/>
        <v>0</v>
      </c>
      <c r="M615" s="215" t="s">
        <v>68</v>
      </c>
      <c r="N615" s="212" t="s">
        <v>68</v>
      </c>
      <c r="O615" s="212"/>
      <c r="P615" s="212" t="s">
        <v>1095</v>
      </c>
      <c r="Q615" s="212" t="s">
        <v>68</v>
      </c>
      <c r="R615" s="212" t="s">
        <v>2321</v>
      </c>
      <c r="S615" s="212"/>
      <c r="T615" s="212"/>
      <c r="U615" s="212"/>
      <c r="V615" s="212"/>
      <c r="W615" s="212"/>
      <c r="X615" s="212"/>
      <c r="Y615" s="212"/>
      <c r="Z615" s="212"/>
      <c r="AA615" s="212"/>
      <c r="AB615" s="212"/>
      <c r="AC615" s="212"/>
      <c r="AD615" s="212"/>
      <c r="AE615" s="212"/>
      <c r="AF615" s="212"/>
      <c r="AG615" s="212"/>
      <c r="AH615" s="212"/>
      <c r="AI615" s="212"/>
      <c r="AJ615" s="212"/>
      <c r="AK615" s="212"/>
      <c r="AL615" s="212"/>
      <c r="AM615" s="212"/>
      <c r="AN615" s="212"/>
      <c r="AO615" s="212"/>
      <c r="AP615" s="212"/>
      <c r="AQ615" s="212"/>
      <c r="AR615" s="212"/>
      <c r="AS615" s="212"/>
      <c r="AT615" s="212"/>
      <c r="AU615" s="212"/>
      <c r="AV615" s="212"/>
      <c r="AW615" s="212"/>
      <c r="AX615" s="212"/>
      <c r="AY615" s="212"/>
      <c r="AZ615" s="212"/>
      <c r="BA615" s="212"/>
      <c r="BB615" s="212"/>
      <c r="BC615" s="212"/>
      <c r="BD615" s="212"/>
      <c r="BE615" s="212"/>
      <c r="BF615" s="212"/>
      <c r="BG615" s="212"/>
      <c r="BH615" s="212"/>
      <c r="BI615" s="231" t="str">
        <f>HYPERLINK("#자재조서!A14","M0980005 →")</f>
        <v>M0980005 →</v>
      </c>
    </row>
    <row r="616" spans="1:61" ht="24" customHeight="1">
      <c r="A616" s="218" t="s">
        <v>1306</v>
      </c>
      <c r="B616" s="218" t="s">
        <v>1364</v>
      </c>
      <c r="C616" s="229">
        <v>0.18</v>
      </c>
      <c r="D616" s="213" t="s">
        <v>9</v>
      </c>
      <c r="E616" s="217">
        <f>일위목록!E108</f>
        <v>0</v>
      </c>
      <c r="F616" s="217">
        <f>TRUNC(E616*C616,0)</f>
        <v>0</v>
      </c>
      <c r="G616" s="217">
        <f>일위목록!F108</f>
        <v>0</v>
      </c>
      <c r="H616" s="217">
        <f>TRUNC(G616*C616,0)</f>
        <v>0</v>
      </c>
      <c r="I616" s="217">
        <f>일위목록!G108</f>
        <v>0</v>
      </c>
      <c r="J616" s="217">
        <f>TRUNC(I616*C616,0)</f>
        <v>0</v>
      </c>
      <c r="K616" s="217">
        <f>E616+G616+I616</f>
        <v>0</v>
      </c>
      <c r="L616" s="217">
        <f t="shared" si="71"/>
        <v>0</v>
      </c>
      <c r="M616" s="215" t="s">
        <v>68</v>
      </c>
      <c r="N616" s="212" t="s">
        <v>68</v>
      </c>
      <c r="O616" s="212"/>
      <c r="P616" s="212" t="s">
        <v>1098</v>
      </c>
      <c r="Q616" s="212" t="s">
        <v>68</v>
      </c>
      <c r="R616" s="212" t="s">
        <v>1366</v>
      </c>
      <c r="S616" s="212"/>
      <c r="T616" s="212" t="s">
        <v>1129</v>
      </c>
      <c r="U616" s="212"/>
      <c r="V616" s="212"/>
      <c r="W616" s="212"/>
      <c r="X616" s="212"/>
      <c r="Y616" s="212"/>
      <c r="Z616" s="212"/>
      <c r="AA616" s="212"/>
      <c r="AB616" s="212"/>
      <c r="AC616" s="212"/>
      <c r="AD616" s="212"/>
      <c r="AE616" s="212"/>
      <c r="AF616" s="212"/>
      <c r="AG616" s="212"/>
      <c r="AH616" s="212"/>
      <c r="AI616" s="212"/>
      <c r="AJ616" s="212"/>
      <c r="AK616" s="212"/>
      <c r="AL616" s="212"/>
      <c r="AM616" s="212"/>
      <c r="AN616" s="212"/>
      <c r="AO616" s="212"/>
      <c r="AP616" s="212"/>
      <c r="AQ616" s="212"/>
      <c r="AR616" s="212"/>
      <c r="AS616" s="212"/>
      <c r="AT616" s="212"/>
      <c r="AU616" s="212"/>
      <c r="AV616" s="212"/>
      <c r="AW616" s="212"/>
      <c r="AX616" s="212"/>
      <c r="AY616" s="212"/>
      <c r="AZ616" s="212"/>
      <c r="BA616" s="212"/>
      <c r="BB616" s="212"/>
      <c r="BC616" s="212"/>
      <c r="BD616" s="212"/>
      <c r="BE616" s="212"/>
      <c r="BF616" s="212"/>
      <c r="BG616" s="212"/>
      <c r="BH616" s="212"/>
      <c r="BI616" s="231" t="str">
        <f>HYPERLINK("#일위대가목록!A108","PP11-1-4/2 →")</f>
        <v>PP11-1-4/2 →</v>
      </c>
    </row>
    <row r="617" spans="1:61" ht="24" customHeight="1">
      <c r="A617" s="218" t="s">
        <v>1367</v>
      </c>
      <c r="B617" s="218" t="s">
        <v>1368</v>
      </c>
      <c r="C617" s="229">
        <v>0.18</v>
      </c>
      <c r="D617" s="213" t="s">
        <v>9</v>
      </c>
      <c r="E617" s="217">
        <f>일위목록!E109</f>
        <v>0</v>
      </c>
      <c r="F617" s="217">
        <f>TRUNC(E617*C617,0)</f>
        <v>0</v>
      </c>
      <c r="G617" s="217">
        <f>일위목록!F109</f>
        <v>0</v>
      </c>
      <c r="H617" s="217">
        <f>TRUNC(G617*C617,0)</f>
        <v>0</v>
      </c>
      <c r="I617" s="217">
        <f>일위목록!G109</f>
        <v>0</v>
      </c>
      <c r="J617" s="217">
        <f>TRUNC(I617*C617,0)</f>
        <v>0</v>
      </c>
      <c r="K617" s="217">
        <f>E617+G617+I617</f>
        <v>0</v>
      </c>
      <c r="L617" s="217">
        <f t="shared" si="71"/>
        <v>0</v>
      </c>
      <c r="M617" s="215" t="s">
        <v>68</v>
      </c>
      <c r="N617" s="212" t="s">
        <v>68</v>
      </c>
      <c r="O617" s="212"/>
      <c r="P617" s="212" t="s">
        <v>1101</v>
      </c>
      <c r="Q617" s="212" t="s">
        <v>68</v>
      </c>
      <c r="R617" s="212" t="s">
        <v>1370</v>
      </c>
      <c r="S617" s="212"/>
      <c r="T617" s="212" t="s">
        <v>1129</v>
      </c>
      <c r="U617" s="212"/>
      <c r="V617" s="212"/>
      <c r="W617" s="212"/>
      <c r="X617" s="212"/>
      <c r="Y617" s="212"/>
      <c r="Z617" s="212"/>
      <c r="AA617" s="212"/>
      <c r="AB617" s="212"/>
      <c r="AC617" s="212"/>
      <c r="AD617" s="212"/>
      <c r="AE617" s="212"/>
      <c r="AF617" s="212"/>
      <c r="AG617" s="212"/>
      <c r="AH617" s="212"/>
      <c r="AI617" s="212"/>
      <c r="AJ617" s="212"/>
      <c r="AK617" s="212"/>
      <c r="AL617" s="212"/>
      <c r="AM617" s="212"/>
      <c r="AN617" s="212"/>
      <c r="AO617" s="212"/>
      <c r="AP617" s="212"/>
      <c r="AQ617" s="212"/>
      <c r="AR617" s="212"/>
      <c r="AS617" s="212"/>
      <c r="AT617" s="212"/>
      <c r="AU617" s="212"/>
      <c r="AV617" s="212"/>
      <c r="AW617" s="212"/>
      <c r="AX617" s="212"/>
      <c r="AY617" s="212"/>
      <c r="AZ617" s="212"/>
      <c r="BA617" s="212"/>
      <c r="BB617" s="212"/>
      <c r="BC617" s="212"/>
      <c r="BD617" s="212"/>
      <c r="BE617" s="212"/>
      <c r="BF617" s="212"/>
      <c r="BG617" s="212"/>
      <c r="BH617" s="212"/>
      <c r="BI617" s="231" t="str">
        <f>HYPERLINK("#일위대가목록!A109","PP11-2-7/2 →")</f>
        <v>PP11-2-7/2 →</v>
      </c>
    </row>
    <row r="618" spans="1:61" ht="24" customHeight="1">
      <c r="A618" s="218" t="s">
        <v>2109</v>
      </c>
      <c r="B618" s="218" t="s">
        <v>1946</v>
      </c>
      <c r="C618" s="229">
        <v>3.5000000000000003E-2</v>
      </c>
      <c r="D618" s="213" t="s">
        <v>1286</v>
      </c>
      <c r="E618" s="217">
        <v>0</v>
      </c>
      <c r="F618" s="217"/>
      <c r="G618" s="217">
        <f>노임!D18</f>
        <v>0</v>
      </c>
      <c r="H618" s="217">
        <f>TRUNC(G618*C618,0)</f>
        <v>0</v>
      </c>
      <c r="I618" s="217">
        <v>0</v>
      </c>
      <c r="J618" s="217"/>
      <c r="K618" s="217">
        <f>E618+G618+I618</f>
        <v>0</v>
      </c>
      <c r="L618" s="217">
        <f t="shared" si="71"/>
        <v>0</v>
      </c>
      <c r="M618" s="215" t="s">
        <v>68</v>
      </c>
      <c r="N618" s="212" t="s">
        <v>68</v>
      </c>
      <c r="O618" s="212"/>
      <c r="P618" s="212" t="s">
        <v>1107</v>
      </c>
      <c r="Q618" s="212" t="s">
        <v>68</v>
      </c>
      <c r="R618" s="212" t="s">
        <v>2110</v>
      </c>
      <c r="S618" s="212"/>
      <c r="T618" s="212"/>
      <c r="U618" s="212"/>
      <c r="V618" s="212"/>
      <c r="W618" s="212"/>
      <c r="X618" s="212"/>
      <c r="Y618" s="212"/>
      <c r="Z618" s="212"/>
      <c r="AA618" s="220" t="s">
        <v>1955</v>
      </c>
      <c r="AB618" s="212">
        <f>호표!H618*0.04</f>
        <v>0</v>
      </c>
      <c r="AC618" s="220" t="s">
        <v>1956</v>
      </c>
      <c r="AD618" s="212">
        <f>$AB618</f>
        <v>0</v>
      </c>
      <c r="AE618" s="212"/>
      <c r="AF618" s="212"/>
      <c r="AG618" s="212"/>
      <c r="AH618" s="212"/>
      <c r="AI618" s="212"/>
      <c r="AJ618" s="212"/>
      <c r="AK618" s="212"/>
      <c r="AL618" s="212"/>
      <c r="AM618" s="212"/>
      <c r="AN618" s="212"/>
      <c r="AO618" s="212"/>
      <c r="AP618" s="212"/>
      <c r="AQ618" s="212"/>
      <c r="AR618" s="212"/>
      <c r="AS618" s="212"/>
      <c r="AT618" s="212"/>
      <c r="AU618" s="212"/>
      <c r="AV618" s="212"/>
      <c r="AW618" s="212"/>
      <c r="AX618" s="212"/>
      <c r="AY618" s="212"/>
      <c r="AZ618" s="212"/>
      <c r="BA618" s="212"/>
      <c r="BB618" s="212"/>
      <c r="BC618" s="212"/>
      <c r="BD618" s="212"/>
      <c r="BE618" s="212"/>
      <c r="BF618" s="212"/>
      <c r="BG618" s="212"/>
      <c r="BH618" s="212"/>
      <c r="BI618" s="231" t="str">
        <f>HYPERLINK("#노임!A18","L001010101000030 →")</f>
        <v>L001010101000030 →</v>
      </c>
    </row>
    <row r="619" spans="1:61" ht="24" customHeight="1">
      <c r="A619" s="218" t="s">
        <v>1974</v>
      </c>
      <c r="B619" s="218" t="s">
        <v>2149</v>
      </c>
      <c r="C619" s="228">
        <v>4</v>
      </c>
      <c r="D619" s="213" t="s">
        <v>1950</v>
      </c>
      <c r="E619" s="213"/>
      <c r="F619" s="217">
        <v>0</v>
      </c>
      <c r="G619" s="213"/>
      <c r="H619" s="217">
        <v>0</v>
      </c>
      <c r="I619" s="213"/>
      <c r="J619" s="217">
        <f>TRUNC((H618*0.04),0)</f>
        <v>0</v>
      </c>
      <c r="K619" s="217">
        <f>E619+G619+I619</f>
        <v>0</v>
      </c>
      <c r="L619" s="217">
        <f t="shared" si="71"/>
        <v>0</v>
      </c>
      <c r="M619" s="215" t="s">
        <v>68</v>
      </c>
      <c r="N619" s="212" t="s">
        <v>68</v>
      </c>
      <c r="O619" s="212"/>
      <c r="P619" s="212" t="s">
        <v>1108</v>
      </c>
      <c r="Q619" s="212" t="s">
        <v>68</v>
      </c>
      <c r="R619" s="212" t="s">
        <v>1121</v>
      </c>
      <c r="S619" s="212"/>
      <c r="T619" s="212"/>
      <c r="U619" s="212"/>
      <c r="V619" s="212"/>
      <c r="W619" s="212"/>
      <c r="X619" s="212" t="s">
        <v>2325</v>
      </c>
      <c r="Y619" s="212"/>
      <c r="Z619" s="212"/>
      <c r="AA619" s="212"/>
      <c r="AB619" s="212"/>
      <c r="AC619" s="212"/>
      <c r="AD619" s="212"/>
      <c r="AE619" s="212"/>
      <c r="AF619" s="212"/>
      <c r="AG619" s="212"/>
      <c r="AH619" s="212"/>
      <c r="AI619" s="212"/>
      <c r="AJ619" s="212"/>
      <c r="AK619" s="212"/>
      <c r="AL619" s="212"/>
      <c r="AM619" s="212"/>
      <c r="AN619" s="212"/>
      <c r="AO619" s="212"/>
      <c r="AP619" s="212"/>
      <c r="AQ619" s="212"/>
      <c r="AR619" s="212"/>
      <c r="AS619" s="212"/>
      <c r="AT619" s="212"/>
      <c r="AU619" s="212"/>
      <c r="AV619" s="212"/>
      <c r="AW619" s="212"/>
      <c r="AX619" s="212"/>
      <c r="AY619" s="212"/>
      <c r="AZ619" s="212"/>
      <c r="BA619" s="212"/>
      <c r="BB619" s="212"/>
      <c r="BC619" s="212"/>
      <c r="BD619" s="212"/>
      <c r="BE619" s="212"/>
      <c r="BF619" s="212"/>
      <c r="BG619" s="212"/>
      <c r="BH619" s="212"/>
      <c r="BI619" s="212"/>
    </row>
    <row r="620" spans="1:61" ht="24" customHeight="1">
      <c r="A620" s="215"/>
      <c r="B620" s="215"/>
      <c r="C620" s="229"/>
      <c r="D620" s="213"/>
      <c r="E620" s="213"/>
      <c r="F620" s="213"/>
      <c r="G620" s="213"/>
      <c r="H620" s="213"/>
      <c r="I620" s="213"/>
      <c r="J620" s="213"/>
      <c r="K620" s="213"/>
      <c r="L620" s="213"/>
      <c r="M620" s="215"/>
      <c r="N620" s="212"/>
      <c r="O620" s="212"/>
      <c r="P620" s="212"/>
      <c r="Q620" s="212"/>
      <c r="R620" s="212"/>
      <c r="S620" s="212"/>
      <c r="T620" s="212"/>
      <c r="U620" s="212"/>
      <c r="V620" s="212"/>
      <c r="W620" s="212"/>
      <c r="X620" s="212"/>
      <c r="Y620" s="212"/>
      <c r="Z620" s="212"/>
      <c r="AA620" s="212"/>
      <c r="AB620" s="212"/>
      <c r="AC620" s="212"/>
      <c r="AD620" s="212"/>
      <c r="AE620" s="212"/>
      <c r="AF620" s="212"/>
      <c r="AG620" s="212"/>
      <c r="AH620" s="212"/>
      <c r="AI620" s="212"/>
      <c r="AJ620" s="212"/>
      <c r="AK620" s="212"/>
      <c r="AL620" s="212"/>
      <c r="AM620" s="212"/>
      <c r="AN620" s="212"/>
      <c r="AO620" s="212"/>
      <c r="AP620" s="212"/>
      <c r="AQ620" s="212"/>
      <c r="AR620" s="212"/>
      <c r="AS620" s="212"/>
      <c r="AT620" s="212"/>
      <c r="AU620" s="212"/>
      <c r="AV620" s="212"/>
      <c r="AW620" s="212"/>
      <c r="AX620" s="212"/>
      <c r="AY620" s="212"/>
      <c r="AZ620" s="212"/>
      <c r="BA620" s="212"/>
      <c r="BB620" s="212"/>
      <c r="BC620" s="212"/>
      <c r="BD620" s="212"/>
      <c r="BE620" s="212"/>
      <c r="BF620" s="212"/>
      <c r="BG620" s="212"/>
      <c r="BH620" s="212"/>
      <c r="BI620" s="212"/>
    </row>
    <row r="621" spans="1:61" ht="24" customHeight="1">
      <c r="A621" s="218" t="s">
        <v>2326</v>
      </c>
      <c r="B621" s="218" t="s">
        <v>1379</v>
      </c>
      <c r="C621" s="228">
        <v>1</v>
      </c>
      <c r="D621" s="213" t="s">
        <v>378</v>
      </c>
      <c r="E621" s="212"/>
      <c r="F621" s="217">
        <f>TRUNC(F622+F623+F624+F625,0)</f>
        <v>0</v>
      </c>
      <c r="G621" s="212"/>
      <c r="H621" s="217">
        <f>TRUNC(H622+H623+H624+H625,0)</f>
        <v>0</v>
      </c>
      <c r="I621" s="212"/>
      <c r="J621" s="217">
        <f>TRUNC(J622+J623+J624+J625,0)</f>
        <v>0</v>
      </c>
      <c r="K621" s="212"/>
      <c r="L621" s="217">
        <f>F621+H621+J621</f>
        <v>0</v>
      </c>
      <c r="M621" s="215" t="s">
        <v>1835</v>
      </c>
      <c r="N621" s="212" t="s">
        <v>68</v>
      </c>
      <c r="O621" s="212" t="s">
        <v>1381</v>
      </c>
      <c r="P621" s="212"/>
      <c r="Q621" s="212"/>
      <c r="R621" s="212"/>
      <c r="S621" s="212"/>
      <c r="T621" s="212"/>
      <c r="U621" s="212"/>
      <c r="V621" s="212"/>
      <c r="W621" s="212"/>
      <c r="X621" s="212"/>
      <c r="Y621" s="212"/>
      <c r="Z621" s="212"/>
      <c r="AA621" s="212"/>
      <c r="AB621" s="212"/>
      <c r="AC621" s="212"/>
      <c r="AD621" s="212"/>
      <c r="AE621" s="212"/>
      <c r="AF621" s="212"/>
      <c r="AG621" s="212"/>
      <c r="AH621" s="212"/>
      <c r="AI621" s="212"/>
      <c r="AJ621" s="212"/>
      <c r="AK621" s="212"/>
      <c r="AL621" s="212"/>
      <c r="AM621" s="212"/>
      <c r="AN621" s="212"/>
      <c r="AO621" s="212"/>
      <c r="AP621" s="212"/>
      <c r="AQ621" s="212"/>
      <c r="AR621" s="212"/>
      <c r="AS621" s="212"/>
      <c r="AT621" s="212"/>
      <c r="AU621" s="212"/>
      <c r="AV621" s="212"/>
      <c r="AW621" s="212"/>
      <c r="AX621" s="212"/>
      <c r="AY621" s="212"/>
      <c r="AZ621" s="212"/>
      <c r="BA621" s="212"/>
      <c r="BB621" s="212"/>
      <c r="BC621" s="212"/>
      <c r="BD621" s="212"/>
      <c r="BE621" s="212"/>
      <c r="BF621" s="212"/>
      <c r="BG621" s="212"/>
      <c r="BH621" s="212"/>
      <c r="BI621" s="212"/>
    </row>
    <row r="622" spans="1:61" ht="24" customHeight="1">
      <c r="A622" s="218" t="s">
        <v>2327</v>
      </c>
      <c r="B622" s="218" t="s">
        <v>2328</v>
      </c>
      <c r="C622" s="228">
        <v>1</v>
      </c>
      <c r="D622" s="213" t="s">
        <v>437</v>
      </c>
      <c r="E622" s="217">
        <f>자재조서!E19</f>
        <v>0</v>
      </c>
      <c r="F622" s="217">
        <f>TRUNC(E622*C622,0)</f>
        <v>0</v>
      </c>
      <c r="G622" s="217">
        <v>0</v>
      </c>
      <c r="H622" s="217"/>
      <c r="I622" s="217">
        <v>0</v>
      </c>
      <c r="J622" s="217"/>
      <c r="K622" s="217">
        <f>E622+G622+I622</f>
        <v>0</v>
      </c>
      <c r="L622" s="217">
        <f>F622+H622+J622</f>
        <v>0</v>
      </c>
      <c r="M622" s="215" t="s">
        <v>68</v>
      </c>
      <c r="N622" s="212" t="s">
        <v>2329</v>
      </c>
      <c r="O622" s="212"/>
      <c r="P622" s="212" t="s">
        <v>1095</v>
      </c>
      <c r="Q622" s="212" t="s">
        <v>68</v>
      </c>
      <c r="R622" s="212" t="s">
        <v>2330</v>
      </c>
      <c r="S622" s="212"/>
      <c r="T622" s="212"/>
      <c r="U622" s="212"/>
      <c r="V622" s="212"/>
      <c r="W622" s="212"/>
      <c r="X622" s="212"/>
      <c r="Y622" s="212"/>
      <c r="Z622" s="212"/>
      <c r="AA622" s="212"/>
      <c r="AB622" s="212"/>
      <c r="AC622" s="212"/>
      <c r="AD622" s="212"/>
      <c r="AE622" s="212"/>
      <c r="AF622" s="212"/>
      <c r="AG622" s="212"/>
      <c r="AH622" s="212"/>
      <c r="AI622" s="212"/>
      <c r="AJ622" s="212"/>
      <c r="AK622" s="212"/>
      <c r="AL622" s="212"/>
      <c r="AM622" s="212"/>
      <c r="AN622" s="212"/>
      <c r="AO622" s="212"/>
      <c r="AP622" s="212"/>
      <c r="AQ622" s="212"/>
      <c r="AR622" s="212"/>
      <c r="AS622" s="212"/>
      <c r="AT622" s="212"/>
      <c r="AU622" s="212"/>
      <c r="AV622" s="212"/>
      <c r="AW622" s="212"/>
      <c r="AX622" s="212"/>
      <c r="AY622" s="212"/>
      <c r="AZ622" s="212"/>
      <c r="BA622" s="212"/>
      <c r="BB622" s="212"/>
      <c r="BC622" s="212"/>
      <c r="BD622" s="212"/>
      <c r="BE622" s="212"/>
      <c r="BF622" s="212"/>
      <c r="BG622" s="212"/>
      <c r="BH622" s="212"/>
      <c r="BI622" s="231" t="str">
        <f>HYPERLINK("#자재조서!A19","M3429506 →")</f>
        <v>M3429506 →</v>
      </c>
    </row>
    <row r="623" spans="1:61" ht="24" customHeight="1">
      <c r="A623" s="218" t="s">
        <v>2109</v>
      </c>
      <c r="B623" s="218" t="s">
        <v>1946</v>
      </c>
      <c r="C623" s="229">
        <v>0.308</v>
      </c>
      <c r="D623" s="213" t="s">
        <v>1286</v>
      </c>
      <c r="E623" s="217">
        <v>0</v>
      </c>
      <c r="F623" s="217"/>
      <c r="G623" s="217">
        <f>노임!D18</f>
        <v>0</v>
      </c>
      <c r="H623" s="217">
        <f>TRUNC(G623*C623,0)</f>
        <v>0</v>
      </c>
      <c r="I623" s="217">
        <v>0</v>
      </c>
      <c r="J623" s="217"/>
      <c r="K623" s="217">
        <f>E623+G623+I623</f>
        <v>0</v>
      </c>
      <c r="L623" s="217">
        <f>F623+H623+J623</f>
        <v>0</v>
      </c>
      <c r="M623" s="215" t="s">
        <v>68</v>
      </c>
      <c r="N623" s="212" t="s">
        <v>68</v>
      </c>
      <c r="O623" s="212"/>
      <c r="P623" s="212" t="s">
        <v>1101</v>
      </c>
      <c r="Q623" s="212" t="s">
        <v>68</v>
      </c>
      <c r="R623" s="212" t="s">
        <v>2110</v>
      </c>
      <c r="S623" s="212"/>
      <c r="T623" s="212"/>
      <c r="U623" s="212"/>
      <c r="V623" s="212"/>
      <c r="W623" s="212"/>
      <c r="X623" s="212"/>
      <c r="Y623" s="212"/>
      <c r="Z623" s="212"/>
      <c r="AA623" s="212"/>
      <c r="AB623" s="212"/>
      <c r="AC623" s="212"/>
      <c r="AD623" s="212"/>
      <c r="AE623" s="212"/>
      <c r="AF623" s="212"/>
      <c r="AG623" s="212"/>
      <c r="AH623" s="212"/>
      <c r="AI623" s="212"/>
      <c r="AJ623" s="212"/>
      <c r="AK623" s="212"/>
      <c r="AL623" s="212"/>
      <c r="AM623" s="212"/>
      <c r="AN623" s="212"/>
      <c r="AO623" s="212"/>
      <c r="AP623" s="212"/>
      <c r="AQ623" s="212"/>
      <c r="AR623" s="212"/>
      <c r="AS623" s="212"/>
      <c r="AT623" s="212"/>
      <c r="AU623" s="212"/>
      <c r="AV623" s="212"/>
      <c r="AW623" s="212"/>
      <c r="AX623" s="212"/>
      <c r="AY623" s="212"/>
      <c r="AZ623" s="212"/>
      <c r="BA623" s="212"/>
      <c r="BB623" s="212"/>
      <c r="BC623" s="212"/>
      <c r="BD623" s="212"/>
      <c r="BE623" s="212"/>
      <c r="BF623" s="212"/>
      <c r="BG623" s="212"/>
      <c r="BH623" s="212"/>
      <c r="BI623" s="231" t="str">
        <f>HYPERLINK("#노임!A18","L001010101000030 →")</f>
        <v>L001010101000030 →</v>
      </c>
    </row>
    <row r="624" spans="1:61" ht="24" customHeight="1">
      <c r="A624" s="218" t="s">
        <v>1967</v>
      </c>
      <c r="B624" s="218" t="s">
        <v>1946</v>
      </c>
      <c r="C624" s="229">
        <v>5.7000000000000002E-2</v>
      </c>
      <c r="D624" s="213" t="s">
        <v>1286</v>
      </c>
      <c r="E624" s="217">
        <v>0</v>
      </c>
      <c r="F624" s="217"/>
      <c r="G624" s="217">
        <f>노임!D3</f>
        <v>0</v>
      </c>
      <c r="H624" s="217">
        <f>TRUNC(G624*C624,0)</f>
        <v>0</v>
      </c>
      <c r="I624" s="217">
        <v>0</v>
      </c>
      <c r="J624" s="217"/>
      <c r="K624" s="217">
        <f>E624+G624+I624</f>
        <v>0</v>
      </c>
      <c r="L624" s="217">
        <f>F624+H624+J624</f>
        <v>0</v>
      </c>
      <c r="M624" s="215" t="s">
        <v>68</v>
      </c>
      <c r="N624" s="212" t="s">
        <v>68</v>
      </c>
      <c r="O624" s="212"/>
      <c r="P624" s="212" t="s">
        <v>1104</v>
      </c>
      <c r="Q624" s="212" t="s">
        <v>68</v>
      </c>
      <c r="R624" s="212" t="s">
        <v>1968</v>
      </c>
      <c r="S624" s="212"/>
      <c r="T624" s="212"/>
      <c r="U624" s="212"/>
      <c r="V624" s="212"/>
      <c r="W624" s="212"/>
      <c r="X624" s="212"/>
      <c r="Y624" s="212"/>
      <c r="Z624" s="212"/>
      <c r="AA624" s="220" t="s">
        <v>1955</v>
      </c>
      <c r="AB624" s="212">
        <f>(호표!H623+호표!H624)*0.03</f>
        <v>0</v>
      </c>
      <c r="AC624" s="220" t="s">
        <v>1956</v>
      </c>
      <c r="AD624" s="212">
        <f>$AB624</f>
        <v>0</v>
      </c>
      <c r="AE624" s="212"/>
      <c r="AF624" s="212"/>
      <c r="AG624" s="212"/>
      <c r="AH624" s="212"/>
      <c r="AI624" s="212"/>
      <c r="AJ624" s="212"/>
      <c r="AK624" s="212"/>
      <c r="AL624" s="212"/>
      <c r="AM624" s="212"/>
      <c r="AN624" s="212"/>
      <c r="AO624" s="212"/>
      <c r="AP624" s="212"/>
      <c r="AQ624" s="212"/>
      <c r="AR624" s="212"/>
      <c r="AS624" s="212"/>
      <c r="AT624" s="212"/>
      <c r="AU624" s="212"/>
      <c r="AV624" s="212"/>
      <c r="AW624" s="212"/>
      <c r="AX624" s="212"/>
      <c r="AY624" s="212"/>
      <c r="AZ624" s="212"/>
      <c r="BA624" s="212"/>
      <c r="BB624" s="212"/>
      <c r="BC624" s="212"/>
      <c r="BD624" s="212"/>
      <c r="BE624" s="212"/>
      <c r="BF624" s="212"/>
      <c r="BG624" s="212"/>
      <c r="BH624" s="212"/>
      <c r="BI624" s="231" t="str">
        <f>HYPERLINK("#노임!A3","L001010101000002 →")</f>
        <v>L001010101000002 →</v>
      </c>
    </row>
    <row r="625" spans="1:61" ht="24" customHeight="1">
      <c r="A625" s="218" t="s">
        <v>1974</v>
      </c>
      <c r="B625" s="218" t="s">
        <v>1949</v>
      </c>
      <c r="C625" s="228">
        <v>3</v>
      </c>
      <c r="D625" s="213" t="s">
        <v>1950</v>
      </c>
      <c r="E625" s="213"/>
      <c r="F625" s="217">
        <v>0</v>
      </c>
      <c r="G625" s="213"/>
      <c r="H625" s="217">
        <v>0</v>
      </c>
      <c r="I625" s="213"/>
      <c r="J625" s="217">
        <f>TRUNC(((H623+H624)*0.03),0)</f>
        <v>0</v>
      </c>
      <c r="K625" s="217">
        <f>E625+G625+I625</f>
        <v>0</v>
      </c>
      <c r="L625" s="217">
        <f>F625+H625+J625</f>
        <v>0</v>
      </c>
      <c r="M625" s="215" t="s">
        <v>68</v>
      </c>
      <c r="N625" s="212" t="s">
        <v>68</v>
      </c>
      <c r="O625" s="212"/>
      <c r="P625" s="212" t="s">
        <v>1107</v>
      </c>
      <c r="Q625" s="212" t="s">
        <v>68</v>
      </c>
      <c r="R625" s="212" t="s">
        <v>1121</v>
      </c>
      <c r="S625" s="212"/>
      <c r="T625" s="212"/>
      <c r="U625" s="212"/>
      <c r="V625" s="212"/>
      <c r="W625" s="212"/>
      <c r="X625" s="212" t="s">
        <v>2331</v>
      </c>
      <c r="Y625" s="212"/>
      <c r="Z625" s="212"/>
      <c r="AA625" s="212"/>
      <c r="AB625" s="212"/>
      <c r="AC625" s="212"/>
      <c r="AD625" s="212"/>
      <c r="AE625" s="212"/>
      <c r="AF625" s="212"/>
      <c r="AG625" s="212"/>
      <c r="AH625" s="212"/>
      <c r="AI625" s="212"/>
      <c r="AJ625" s="212"/>
      <c r="AK625" s="212"/>
      <c r="AL625" s="212"/>
      <c r="AM625" s="212"/>
      <c r="AN625" s="212"/>
      <c r="AO625" s="212"/>
      <c r="AP625" s="212"/>
      <c r="AQ625" s="212"/>
      <c r="AR625" s="212"/>
      <c r="AS625" s="212"/>
      <c r="AT625" s="212"/>
      <c r="AU625" s="212"/>
      <c r="AV625" s="212"/>
      <c r="AW625" s="212"/>
      <c r="AX625" s="212"/>
      <c r="AY625" s="212"/>
      <c r="AZ625" s="212"/>
      <c r="BA625" s="212"/>
      <c r="BB625" s="212"/>
      <c r="BC625" s="212"/>
      <c r="BD625" s="212"/>
      <c r="BE625" s="212"/>
      <c r="BF625" s="212"/>
      <c r="BG625" s="212"/>
      <c r="BH625" s="212"/>
      <c r="BI625" s="212"/>
    </row>
    <row r="626" spans="1:61" ht="24" customHeight="1">
      <c r="A626" s="215"/>
      <c r="B626" s="215"/>
      <c r="C626" s="229"/>
      <c r="D626" s="213"/>
      <c r="E626" s="213"/>
      <c r="F626" s="213"/>
      <c r="G626" s="213"/>
      <c r="H626" s="213"/>
      <c r="I626" s="213"/>
      <c r="J626" s="213"/>
      <c r="K626" s="213"/>
      <c r="L626" s="213"/>
      <c r="M626" s="215"/>
      <c r="N626" s="212"/>
      <c r="O626" s="212"/>
      <c r="P626" s="212"/>
      <c r="Q626" s="212"/>
      <c r="R626" s="212"/>
      <c r="S626" s="212"/>
      <c r="T626" s="212"/>
      <c r="U626" s="212"/>
      <c r="V626" s="212"/>
      <c r="W626" s="212"/>
      <c r="X626" s="212"/>
      <c r="Y626" s="212"/>
      <c r="Z626" s="212"/>
      <c r="AA626" s="212"/>
      <c r="AB626" s="212"/>
      <c r="AC626" s="212"/>
      <c r="AD626" s="212"/>
      <c r="AE626" s="212"/>
      <c r="AF626" s="212"/>
      <c r="AG626" s="212"/>
      <c r="AH626" s="212"/>
      <c r="AI626" s="212"/>
      <c r="AJ626" s="212"/>
      <c r="AK626" s="212"/>
      <c r="AL626" s="212"/>
      <c r="AM626" s="212"/>
      <c r="AN626" s="212"/>
      <c r="AO626" s="212"/>
      <c r="AP626" s="212"/>
      <c r="AQ626" s="212"/>
      <c r="AR626" s="212"/>
      <c r="AS626" s="212"/>
      <c r="AT626" s="212"/>
      <c r="AU626" s="212"/>
      <c r="AV626" s="212"/>
      <c r="AW626" s="212"/>
      <c r="AX626" s="212"/>
      <c r="AY626" s="212"/>
      <c r="AZ626" s="212"/>
      <c r="BA626" s="212"/>
      <c r="BB626" s="212"/>
      <c r="BC626" s="212"/>
      <c r="BD626" s="212"/>
      <c r="BE626" s="212"/>
      <c r="BF626" s="212"/>
      <c r="BG626" s="212"/>
      <c r="BH626" s="212"/>
      <c r="BI626" s="212"/>
    </row>
    <row r="627" spans="1:61" ht="24" customHeight="1">
      <c r="A627" s="218" t="s">
        <v>2332</v>
      </c>
      <c r="B627" s="218" t="s">
        <v>1386</v>
      </c>
      <c r="C627" s="228">
        <v>1</v>
      </c>
      <c r="D627" s="213" t="s">
        <v>378</v>
      </c>
      <c r="E627" s="212"/>
      <c r="F627" s="217">
        <f>TRUNC(F628+F629+F630+F631+F632+F633,0)</f>
        <v>0</v>
      </c>
      <c r="G627" s="212"/>
      <c r="H627" s="217">
        <f>TRUNC(H628+H629+H630+H631+H632+H633,0)</f>
        <v>0</v>
      </c>
      <c r="I627" s="212"/>
      <c r="J627" s="217">
        <f>TRUNC(J628+J629+J630+J631+J632+J633,0)</f>
        <v>0</v>
      </c>
      <c r="K627" s="212"/>
      <c r="L627" s="217">
        <f t="shared" ref="L627:L633" si="72">F627+H627+J627</f>
        <v>0</v>
      </c>
      <c r="M627" s="215" t="s">
        <v>68</v>
      </c>
      <c r="N627" s="212" t="s">
        <v>68</v>
      </c>
      <c r="O627" s="212" t="s">
        <v>1388</v>
      </c>
      <c r="P627" s="212"/>
      <c r="Q627" s="212"/>
      <c r="R627" s="212"/>
      <c r="S627" s="212"/>
      <c r="T627" s="212"/>
      <c r="U627" s="212"/>
      <c r="V627" s="212"/>
      <c r="W627" s="212"/>
      <c r="X627" s="212"/>
      <c r="Y627" s="212"/>
      <c r="Z627" s="212"/>
      <c r="AA627" s="212"/>
      <c r="AB627" s="212"/>
      <c r="AC627" s="212"/>
      <c r="AD627" s="212"/>
      <c r="AE627" s="212"/>
      <c r="AF627" s="212"/>
      <c r="AG627" s="212"/>
      <c r="AH627" s="212"/>
      <c r="AI627" s="212"/>
      <c r="AJ627" s="212"/>
      <c r="AK627" s="212"/>
      <c r="AL627" s="212"/>
      <c r="AM627" s="212"/>
      <c r="AN627" s="212"/>
      <c r="AO627" s="212"/>
      <c r="AP627" s="212"/>
      <c r="AQ627" s="212"/>
      <c r="AR627" s="212"/>
      <c r="AS627" s="212"/>
      <c r="AT627" s="212"/>
      <c r="AU627" s="212"/>
      <c r="AV627" s="212"/>
      <c r="AW627" s="212"/>
      <c r="AX627" s="212"/>
      <c r="AY627" s="212"/>
      <c r="AZ627" s="212"/>
      <c r="BA627" s="212"/>
      <c r="BB627" s="212"/>
      <c r="BC627" s="212"/>
      <c r="BD627" s="212"/>
      <c r="BE627" s="212"/>
      <c r="BF627" s="212"/>
      <c r="BG627" s="212"/>
      <c r="BH627" s="212"/>
      <c r="BI627" s="212"/>
    </row>
    <row r="628" spans="1:61" ht="24" customHeight="1">
      <c r="A628" s="218" t="s">
        <v>2071</v>
      </c>
      <c r="B628" s="218" t="s">
        <v>2333</v>
      </c>
      <c r="C628" s="229">
        <v>61.09</v>
      </c>
      <c r="D628" s="213" t="s">
        <v>1400</v>
      </c>
      <c r="E628" s="217">
        <f>자재조서!E6</f>
        <v>0</v>
      </c>
      <c r="F628" s="217">
        <f t="shared" ref="F628:F633" si="73">TRUNC(E628*C628,0)</f>
        <v>0</v>
      </c>
      <c r="G628" s="217">
        <v>0</v>
      </c>
      <c r="H628" s="217"/>
      <c r="I628" s="217">
        <v>0</v>
      </c>
      <c r="J628" s="217"/>
      <c r="K628" s="217">
        <f t="shared" ref="K628:K633" si="74">E628+G628+I628</f>
        <v>0</v>
      </c>
      <c r="L628" s="217">
        <f t="shared" si="72"/>
        <v>0</v>
      </c>
      <c r="M628" s="215" t="s">
        <v>68</v>
      </c>
      <c r="N628" s="212" t="s">
        <v>68</v>
      </c>
      <c r="O628" s="212"/>
      <c r="P628" s="212" t="s">
        <v>1095</v>
      </c>
      <c r="Q628" s="212" t="s">
        <v>68</v>
      </c>
      <c r="R628" s="212" t="s">
        <v>2334</v>
      </c>
      <c r="S628" s="212"/>
      <c r="T628" s="212"/>
      <c r="U628" s="212"/>
      <c r="V628" s="212"/>
      <c r="W628" s="212"/>
      <c r="X628" s="212"/>
      <c r="Y628" s="212"/>
      <c r="Z628" s="212"/>
      <c r="AA628" s="212"/>
      <c r="AB628" s="212"/>
      <c r="AC628" s="212"/>
      <c r="AD628" s="212"/>
      <c r="AE628" s="212"/>
      <c r="AF628" s="212"/>
      <c r="AG628" s="212"/>
      <c r="AH628" s="212"/>
      <c r="AI628" s="212"/>
      <c r="AJ628" s="212"/>
      <c r="AK628" s="212"/>
      <c r="AL628" s="212"/>
      <c r="AM628" s="212"/>
      <c r="AN628" s="212"/>
      <c r="AO628" s="212"/>
      <c r="AP628" s="212"/>
      <c r="AQ628" s="212"/>
      <c r="AR628" s="212"/>
      <c r="AS628" s="212"/>
      <c r="AT628" s="212"/>
      <c r="AU628" s="212"/>
      <c r="AV628" s="212"/>
      <c r="AW628" s="212"/>
      <c r="AX628" s="212"/>
      <c r="AY628" s="212"/>
      <c r="AZ628" s="212"/>
      <c r="BA628" s="212"/>
      <c r="BB628" s="212"/>
      <c r="BC628" s="212"/>
      <c r="BD628" s="212"/>
      <c r="BE628" s="212"/>
      <c r="BF628" s="212"/>
      <c r="BG628" s="212"/>
      <c r="BH628" s="212"/>
      <c r="BI628" s="231" t="str">
        <f>HYPERLINK("#자재조서!A6","M0131009 →")</f>
        <v>M0131009 →</v>
      </c>
    </row>
    <row r="629" spans="1:61" ht="24" customHeight="1">
      <c r="A629" s="218" t="s">
        <v>1935</v>
      </c>
      <c r="B629" s="218" t="s">
        <v>1754</v>
      </c>
      <c r="C629" s="229">
        <v>8.5999999999999993E-2</v>
      </c>
      <c r="D629" s="213" t="s">
        <v>16</v>
      </c>
      <c r="E629" s="217">
        <f>일위목록!E67</f>
        <v>0</v>
      </c>
      <c r="F629" s="217">
        <f t="shared" si="73"/>
        <v>0</v>
      </c>
      <c r="G629" s="217">
        <f>일위목록!F67</f>
        <v>0</v>
      </c>
      <c r="H629" s="217">
        <f>TRUNC(G629*C629,0)</f>
        <v>0</v>
      </c>
      <c r="I629" s="217">
        <f>일위목록!G67</f>
        <v>0</v>
      </c>
      <c r="J629" s="217">
        <f>TRUNC(I629*C629,0)</f>
        <v>0</v>
      </c>
      <c r="K629" s="217">
        <f t="shared" si="74"/>
        <v>0</v>
      </c>
      <c r="L629" s="217">
        <f t="shared" si="72"/>
        <v>0</v>
      </c>
      <c r="M629" s="215" t="s">
        <v>68</v>
      </c>
      <c r="N629" s="212" t="s">
        <v>68</v>
      </c>
      <c r="O629" s="212"/>
      <c r="P629" s="212" t="s">
        <v>1098</v>
      </c>
      <c r="Q629" s="212" t="s">
        <v>68</v>
      </c>
      <c r="R629" s="212" t="s">
        <v>1755</v>
      </c>
      <c r="S629" s="212"/>
      <c r="T629" s="212" t="s">
        <v>1129</v>
      </c>
      <c r="U629" s="212"/>
      <c r="V629" s="212"/>
      <c r="W629" s="212"/>
      <c r="X629" s="212"/>
      <c r="Y629" s="212"/>
      <c r="Z629" s="212"/>
      <c r="AA629" s="212"/>
      <c r="AB629" s="212"/>
      <c r="AC629" s="212"/>
      <c r="AD629" s="212"/>
      <c r="AE629" s="212"/>
      <c r="AF629" s="212"/>
      <c r="AG629" s="212"/>
      <c r="AH629" s="212"/>
      <c r="AI629" s="212"/>
      <c r="AJ629" s="212"/>
      <c r="AK629" s="212"/>
      <c r="AL629" s="212"/>
      <c r="AM629" s="212"/>
      <c r="AN629" s="212"/>
      <c r="AO629" s="212"/>
      <c r="AP629" s="212"/>
      <c r="AQ629" s="212"/>
      <c r="AR629" s="212"/>
      <c r="AS629" s="212"/>
      <c r="AT629" s="212"/>
      <c r="AU629" s="212"/>
      <c r="AV629" s="212"/>
      <c r="AW629" s="212"/>
      <c r="AX629" s="212"/>
      <c r="AY629" s="212"/>
      <c r="AZ629" s="212"/>
      <c r="BA629" s="212"/>
      <c r="BB629" s="212"/>
      <c r="BC629" s="212"/>
      <c r="BD629" s="212"/>
      <c r="BE629" s="212"/>
      <c r="BF629" s="212"/>
      <c r="BG629" s="212"/>
      <c r="BH629" s="212"/>
      <c r="BI629" s="231" t="str">
        <f>HYPERLINK("#일위대가목록!A67","P8-3-1/6 →")</f>
        <v>P8-3-1/6 →</v>
      </c>
    </row>
    <row r="630" spans="1:61" ht="24" customHeight="1">
      <c r="A630" s="218" t="s">
        <v>2303</v>
      </c>
      <c r="B630" s="218" t="s">
        <v>2335</v>
      </c>
      <c r="C630" s="228">
        <v>5</v>
      </c>
      <c r="D630" s="213" t="s">
        <v>9</v>
      </c>
      <c r="E630" s="217">
        <f>자재조서!E25</f>
        <v>0</v>
      </c>
      <c r="F630" s="217">
        <f t="shared" si="73"/>
        <v>0</v>
      </c>
      <c r="G630" s="217">
        <v>0</v>
      </c>
      <c r="H630" s="217"/>
      <c r="I630" s="217">
        <v>0</v>
      </c>
      <c r="J630" s="217"/>
      <c r="K630" s="217">
        <f t="shared" si="74"/>
        <v>0</v>
      </c>
      <c r="L630" s="217">
        <f t="shared" si="72"/>
        <v>0</v>
      </c>
      <c r="M630" s="215" t="s">
        <v>68</v>
      </c>
      <c r="N630" s="212" t="s">
        <v>68</v>
      </c>
      <c r="O630" s="212"/>
      <c r="P630" s="212" t="s">
        <v>1101</v>
      </c>
      <c r="Q630" s="212" t="s">
        <v>68</v>
      </c>
      <c r="R630" s="212" t="s">
        <v>2336</v>
      </c>
      <c r="S630" s="212"/>
      <c r="T630" s="212"/>
      <c r="U630" s="212"/>
      <c r="V630" s="212"/>
      <c r="W630" s="212"/>
      <c r="X630" s="212"/>
      <c r="Y630" s="212"/>
      <c r="Z630" s="212"/>
      <c r="AA630" s="212"/>
      <c r="AB630" s="212"/>
      <c r="AC630" s="212"/>
      <c r="AD630" s="212"/>
      <c r="AE630" s="212"/>
      <c r="AF630" s="212"/>
      <c r="AG630" s="212"/>
      <c r="AH630" s="212"/>
      <c r="AI630" s="212"/>
      <c r="AJ630" s="212"/>
      <c r="AK630" s="212"/>
      <c r="AL630" s="212"/>
      <c r="AM630" s="212"/>
      <c r="AN630" s="212"/>
      <c r="AO630" s="212"/>
      <c r="AP630" s="212"/>
      <c r="AQ630" s="212"/>
      <c r="AR630" s="212"/>
      <c r="AS630" s="212"/>
      <c r="AT630" s="212"/>
      <c r="AU630" s="212"/>
      <c r="AV630" s="212"/>
      <c r="AW630" s="212"/>
      <c r="AX630" s="212"/>
      <c r="AY630" s="212"/>
      <c r="AZ630" s="212"/>
      <c r="BA630" s="212"/>
      <c r="BB630" s="212"/>
      <c r="BC630" s="212"/>
      <c r="BD630" s="212"/>
      <c r="BE630" s="212"/>
      <c r="BF630" s="212"/>
      <c r="BG630" s="212"/>
      <c r="BH630" s="212"/>
      <c r="BI630" s="231" t="str">
        <f>HYPERLINK("#자재조서!A25","M4329015 →")</f>
        <v>M4329015 →</v>
      </c>
    </row>
    <row r="631" spans="1:61" ht="24" customHeight="1">
      <c r="A631" s="218" t="s">
        <v>1560</v>
      </c>
      <c r="B631" s="218" t="s">
        <v>2337</v>
      </c>
      <c r="C631" s="228">
        <v>5</v>
      </c>
      <c r="D631" s="213" t="s">
        <v>9</v>
      </c>
      <c r="E631" s="217">
        <f>일위목록!E145</f>
        <v>0</v>
      </c>
      <c r="F631" s="217">
        <f t="shared" si="73"/>
        <v>0</v>
      </c>
      <c r="G631" s="217">
        <f>일위목록!F145</f>
        <v>0</v>
      </c>
      <c r="H631" s="217">
        <f>TRUNC(G631*C631,0)</f>
        <v>0</v>
      </c>
      <c r="I631" s="217">
        <f>일위목록!G145</f>
        <v>0</v>
      </c>
      <c r="J631" s="217">
        <f>TRUNC(I631*C631,0)</f>
        <v>0</v>
      </c>
      <c r="K631" s="217">
        <f t="shared" si="74"/>
        <v>0</v>
      </c>
      <c r="L631" s="217">
        <f t="shared" si="72"/>
        <v>0</v>
      </c>
      <c r="M631" s="215" t="s">
        <v>1891</v>
      </c>
      <c r="N631" s="212" t="s">
        <v>68</v>
      </c>
      <c r="O631" s="212"/>
      <c r="P631" s="212" t="s">
        <v>1104</v>
      </c>
      <c r="Q631" s="212" t="s">
        <v>68</v>
      </c>
      <c r="R631" s="212" t="s">
        <v>1562</v>
      </c>
      <c r="S631" s="212"/>
      <c r="T631" s="212" t="s">
        <v>1129</v>
      </c>
      <c r="U631" s="212"/>
      <c r="V631" s="212"/>
      <c r="W631" s="212"/>
      <c r="X631" s="212"/>
      <c r="Y631" s="212"/>
      <c r="Z631" s="212"/>
      <c r="AA631" s="212"/>
      <c r="AB631" s="212"/>
      <c r="AC631" s="212"/>
      <c r="AD631" s="212"/>
      <c r="AE631" s="212"/>
      <c r="AF631" s="212"/>
      <c r="AG631" s="212"/>
      <c r="AH631" s="212"/>
      <c r="AI631" s="212"/>
      <c r="AJ631" s="212"/>
      <c r="AK631" s="212"/>
      <c r="AL631" s="212"/>
      <c r="AM631" s="212"/>
      <c r="AN631" s="212"/>
      <c r="AO631" s="212"/>
      <c r="AP631" s="212"/>
      <c r="AQ631" s="212"/>
      <c r="AR631" s="212"/>
      <c r="AS631" s="212"/>
      <c r="AT631" s="212"/>
      <c r="AU631" s="212"/>
      <c r="AV631" s="212"/>
      <c r="AW631" s="212"/>
      <c r="AX631" s="212"/>
      <c r="AY631" s="212"/>
      <c r="AZ631" s="212"/>
      <c r="BA631" s="212"/>
      <c r="BB631" s="212"/>
      <c r="BC631" s="212"/>
      <c r="BD631" s="212"/>
      <c r="BE631" s="212"/>
      <c r="BF631" s="212"/>
      <c r="BG631" s="212"/>
      <c r="BH631" s="212"/>
      <c r="BI631" s="231" t="str">
        <f>HYPERLINK("#일위대가목록!A145","P4-1-3/1 →")</f>
        <v>P4-1-3/1 →</v>
      </c>
    </row>
    <row r="632" spans="1:61" ht="24" customHeight="1">
      <c r="A632" s="218" t="s">
        <v>2338</v>
      </c>
      <c r="B632" s="218" t="s">
        <v>1913</v>
      </c>
      <c r="C632" s="228">
        <v>5</v>
      </c>
      <c r="D632" s="213" t="s">
        <v>9</v>
      </c>
      <c r="E632" s="217">
        <f>일위목록!E154</f>
        <v>0</v>
      </c>
      <c r="F632" s="217">
        <f t="shared" si="73"/>
        <v>0</v>
      </c>
      <c r="G632" s="217">
        <f>일위목록!F154</f>
        <v>0</v>
      </c>
      <c r="H632" s="217">
        <f>TRUNC(G632*C632,0)</f>
        <v>0</v>
      </c>
      <c r="I632" s="217">
        <f>일위목록!G154</f>
        <v>0</v>
      </c>
      <c r="J632" s="217">
        <f>TRUNC(I632*C632,0)</f>
        <v>0</v>
      </c>
      <c r="K632" s="217">
        <f t="shared" si="74"/>
        <v>0</v>
      </c>
      <c r="L632" s="217">
        <f t="shared" si="72"/>
        <v>0</v>
      </c>
      <c r="M632" s="215" t="s">
        <v>1828</v>
      </c>
      <c r="N632" s="212" t="s">
        <v>68</v>
      </c>
      <c r="O632" s="212"/>
      <c r="P632" s="212" t="s">
        <v>1107</v>
      </c>
      <c r="Q632" s="212" t="s">
        <v>68</v>
      </c>
      <c r="R632" s="212" t="s">
        <v>1914</v>
      </c>
      <c r="S632" s="212"/>
      <c r="T632" s="212" t="s">
        <v>1129</v>
      </c>
      <c r="U632" s="212"/>
      <c r="V632" s="212"/>
      <c r="W632" s="212"/>
      <c r="X632" s="212"/>
      <c r="Y632" s="212"/>
      <c r="Z632" s="212"/>
      <c r="AA632" s="212"/>
      <c r="AB632" s="212"/>
      <c r="AC632" s="212"/>
      <c r="AD632" s="212"/>
      <c r="AE632" s="212"/>
      <c r="AF632" s="212"/>
      <c r="AG632" s="212"/>
      <c r="AH632" s="212"/>
      <c r="AI632" s="212"/>
      <c r="AJ632" s="212"/>
      <c r="AK632" s="212"/>
      <c r="AL632" s="212"/>
      <c r="AM632" s="212"/>
      <c r="AN632" s="212"/>
      <c r="AO632" s="212"/>
      <c r="AP632" s="212"/>
      <c r="AQ632" s="212"/>
      <c r="AR632" s="212"/>
      <c r="AS632" s="212"/>
      <c r="AT632" s="212"/>
      <c r="AU632" s="212"/>
      <c r="AV632" s="212"/>
      <c r="AW632" s="212"/>
      <c r="AX632" s="212"/>
      <c r="AY632" s="212"/>
      <c r="AZ632" s="212"/>
      <c r="BA632" s="212"/>
      <c r="BB632" s="212"/>
      <c r="BC632" s="212"/>
      <c r="BD632" s="212"/>
      <c r="BE632" s="212"/>
      <c r="BF632" s="212"/>
      <c r="BG632" s="212"/>
      <c r="BH632" s="212"/>
      <c r="BI632" s="231" t="str">
        <f>HYPERLINK("#일위대가목록!A154","PP11-1-4/6 →")</f>
        <v>PP11-1-4/6 →</v>
      </c>
    </row>
    <row r="633" spans="1:61" ht="24" customHeight="1">
      <c r="A633" s="218" t="s">
        <v>1367</v>
      </c>
      <c r="B633" s="218" t="s">
        <v>1916</v>
      </c>
      <c r="C633" s="228">
        <v>5</v>
      </c>
      <c r="D633" s="213" t="s">
        <v>9</v>
      </c>
      <c r="E633" s="217">
        <f>일위목록!E155</f>
        <v>0</v>
      </c>
      <c r="F633" s="217">
        <f t="shared" si="73"/>
        <v>0</v>
      </c>
      <c r="G633" s="217">
        <f>일위목록!F155</f>
        <v>0</v>
      </c>
      <c r="H633" s="217">
        <f>TRUNC(G633*C633,0)</f>
        <v>0</v>
      </c>
      <c r="I633" s="217">
        <f>일위목록!G155</f>
        <v>0</v>
      </c>
      <c r="J633" s="217">
        <f>TRUNC(I633*C633,0)</f>
        <v>0</v>
      </c>
      <c r="K633" s="217">
        <f t="shared" si="74"/>
        <v>0</v>
      </c>
      <c r="L633" s="217">
        <f t="shared" si="72"/>
        <v>0</v>
      </c>
      <c r="M633" s="215" t="s">
        <v>1830</v>
      </c>
      <c r="N633" s="212" t="s">
        <v>68</v>
      </c>
      <c r="O633" s="212"/>
      <c r="P633" s="212" t="s">
        <v>1108</v>
      </c>
      <c r="Q633" s="212" t="s">
        <v>68</v>
      </c>
      <c r="R633" s="212" t="s">
        <v>1917</v>
      </c>
      <c r="S633" s="212"/>
      <c r="T633" s="212" t="s">
        <v>1129</v>
      </c>
      <c r="U633" s="212"/>
      <c r="V633" s="212"/>
      <c r="W633" s="212"/>
      <c r="X633" s="212"/>
      <c r="Y633" s="212"/>
      <c r="Z633" s="212"/>
      <c r="AA633" s="212"/>
      <c r="AB633" s="212"/>
      <c r="AC633" s="212"/>
      <c r="AD633" s="212"/>
      <c r="AE633" s="212"/>
      <c r="AF633" s="212"/>
      <c r="AG633" s="212"/>
      <c r="AH633" s="212"/>
      <c r="AI633" s="212"/>
      <c r="AJ633" s="212"/>
      <c r="AK633" s="212"/>
      <c r="AL633" s="212"/>
      <c r="AM633" s="212"/>
      <c r="AN633" s="212"/>
      <c r="AO633" s="212"/>
      <c r="AP633" s="212"/>
      <c r="AQ633" s="212"/>
      <c r="AR633" s="212"/>
      <c r="AS633" s="212"/>
      <c r="AT633" s="212"/>
      <c r="AU633" s="212"/>
      <c r="AV633" s="212"/>
      <c r="AW633" s="212"/>
      <c r="AX633" s="212"/>
      <c r="AY633" s="212"/>
      <c r="AZ633" s="212"/>
      <c r="BA633" s="212"/>
      <c r="BB633" s="212"/>
      <c r="BC633" s="212"/>
      <c r="BD633" s="212"/>
      <c r="BE633" s="212"/>
      <c r="BF633" s="212"/>
      <c r="BG633" s="212"/>
      <c r="BH633" s="212"/>
      <c r="BI633" s="231" t="str">
        <f>HYPERLINK("#일위대가목록!A155","PP11-2-7/1 →")</f>
        <v>PP11-2-7/1 →</v>
      </c>
    </row>
    <row r="634" spans="1:61" ht="24" customHeight="1">
      <c r="A634" s="215"/>
      <c r="B634" s="215"/>
      <c r="C634" s="229"/>
      <c r="D634" s="213"/>
      <c r="E634" s="213"/>
      <c r="F634" s="213"/>
      <c r="G634" s="213"/>
      <c r="H634" s="213"/>
      <c r="I634" s="213"/>
      <c r="J634" s="213"/>
      <c r="K634" s="213"/>
      <c r="L634" s="213"/>
      <c r="M634" s="215"/>
      <c r="N634" s="212"/>
      <c r="O634" s="212"/>
      <c r="P634" s="212"/>
      <c r="Q634" s="212"/>
      <c r="R634" s="212"/>
      <c r="S634" s="212"/>
      <c r="T634" s="212"/>
      <c r="U634" s="212"/>
      <c r="V634" s="212"/>
      <c r="W634" s="212"/>
      <c r="X634" s="212"/>
      <c r="Y634" s="212"/>
      <c r="Z634" s="212"/>
      <c r="AA634" s="212"/>
      <c r="AB634" s="212"/>
      <c r="AC634" s="212"/>
      <c r="AD634" s="212"/>
      <c r="AE634" s="212"/>
      <c r="AF634" s="212"/>
      <c r="AG634" s="212"/>
      <c r="AH634" s="212"/>
      <c r="AI634" s="212"/>
      <c r="AJ634" s="212"/>
      <c r="AK634" s="212"/>
      <c r="AL634" s="212"/>
      <c r="AM634" s="212"/>
      <c r="AN634" s="212"/>
      <c r="AO634" s="212"/>
      <c r="AP634" s="212"/>
      <c r="AQ634" s="212"/>
      <c r="AR634" s="212"/>
      <c r="AS634" s="212"/>
      <c r="AT634" s="212"/>
      <c r="AU634" s="212"/>
      <c r="AV634" s="212"/>
      <c r="AW634" s="212"/>
      <c r="AX634" s="212"/>
      <c r="AY634" s="212"/>
      <c r="AZ634" s="212"/>
      <c r="BA634" s="212"/>
      <c r="BB634" s="212"/>
      <c r="BC634" s="212"/>
      <c r="BD634" s="212"/>
      <c r="BE634" s="212"/>
      <c r="BF634" s="212"/>
      <c r="BG634" s="212"/>
      <c r="BH634" s="212"/>
      <c r="BI634" s="212"/>
    </row>
    <row r="635" spans="1:61" ht="24" customHeight="1">
      <c r="A635" s="218" t="s">
        <v>2339</v>
      </c>
      <c r="B635" s="218" t="s">
        <v>1391</v>
      </c>
      <c r="C635" s="228">
        <v>1</v>
      </c>
      <c r="D635" s="213" t="s">
        <v>149</v>
      </c>
      <c r="E635" s="212"/>
      <c r="F635" s="217">
        <f>TRUNC(F636+F638+F639+F642+F643+F644,0)</f>
        <v>0</v>
      </c>
      <c r="G635" s="212"/>
      <c r="H635" s="217">
        <f>TRUNC(H636+H638+H639+H642+H643+H644,0)</f>
        <v>0</v>
      </c>
      <c r="I635" s="212"/>
      <c r="J635" s="217">
        <f>TRUNC(J636+J638+J639+J642+J643+J644,0)</f>
        <v>0</v>
      </c>
      <c r="K635" s="212"/>
      <c r="L635" s="217">
        <f t="shared" ref="L635:L644" si="75">F635+H635+J635</f>
        <v>0</v>
      </c>
      <c r="M635" s="215" t="s">
        <v>1838</v>
      </c>
      <c r="N635" s="212" t="s">
        <v>68</v>
      </c>
      <c r="O635" s="212" t="s">
        <v>1392</v>
      </c>
      <c r="P635" s="212"/>
      <c r="Q635" s="212"/>
      <c r="R635" s="212"/>
      <c r="S635" s="212"/>
      <c r="T635" s="212"/>
      <c r="U635" s="212"/>
      <c r="V635" s="212"/>
      <c r="W635" s="212"/>
      <c r="X635" s="212"/>
      <c r="Y635" s="212"/>
      <c r="Z635" s="212"/>
      <c r="AA635" s="212"/>
      <c r="AB635" s="212"/>
      <c r="AC635" s="212"/>
      <c r="AD635" s="212"/>
      <c r="AE635" s="212"/>
      <c r="AF635" s="212"/>
      <c r="AG635" s="212"/>
      <c r="AH635" s="212"/>
      <c r="AI635" s="212"/>
      <c r="AJ635" s="212"/>
      <c r="AK635" s="212"/>
      <c r="AL635" s="212"/>
      <c r="AM635" s="212"/>
      <c r="AN635" s="212"/>
      <c r="AO635" s="212"/>
      <c r="AP635" s="212"/>
      <c r="AQ635" s="212"/>
      <c r="AR635" s="212"/>
      <c r="AS635" s="212"/>
      <c r="AT635" s="212"/>
      <c r="AU635" s="212"/>
      <c r="AV635" s="212"/>
      <c r="AW635" s="212"/>
      <c r="AX635" s="212"/>
      <c r="AY635" s="212"/>
      <c r="AZ635" s="212"/>
      <c r="BA635" s="212"/>
      <c r="BB635" s="212"/>
      <c r="BC635" s="212"/>
      <c r="BD635" s="212"/>
      <c r="BE635" s="212"/>
      <c r="BF635" s="212"/>
      <c r="BG635" s="212"/>
      <c r="BH635" s="212"/>
      <c r="BI635" s="212"/>
    </row>
    <row r="636" spans="1:61" ht="24" customHeight="1">
      <c r="A636" s="218" t="s">
        <v>2340</v>
      </c>
      <c r="B636" s="218" t="s">
        <v>2341</v>
      </c>
      <c r="C636" s="228">
        <v>1</v>
      </c>
      <c r="D636" s="213" t="s">
        <v>149</v>
      </c>
      <c r="E636" s="217">
        <f>자재조서!E91</f>
        <v>0</v>
      </c>
      <c r="F636" s="217">
        <f>TRUNC(E636*C636,0)</f>
        <v>0</v>
      </c>
      <c r="G636" s="217">
        <v>0</v>
      </c>
      <c r="H636" s="217"/>
      <c r="I636" s="217">
        <v>0</v>
      </c>
      <c r="J636" s="217"/>
      <c r="K636" s="217">
        <f t="shared" ref="K636:K644" si="76">E636+G636+I636</f>
        <v>0</v>
      </c>
      <c r="L636" s="217">
        <f t="shared" si="75"/>
        <v>0</v>
      </c>
      <c r="M636" s="215" t="s">
        <v>68</v>
      </c>
      <c r="N636" s="212" t="s">
        <v>68</v>
      </c>
      <c r="O636" s="212"/>
      <c r="P636" s="212" t="s">
        <v>1095</v>
      </c>
      <c r="Q636" s="212" t="s">
        <v>68</v>
      </c>
      <c r="R636" s="212" t="s">
        <v>2342</v>
      </c>
      <c r="S636" s="212"/>
      <c r="T636" s="212"/>
      <c r="U636" s="212"/>
      <c r="V636" s="212"/>
      <c r="W636" s="212"/>
      <c r="X636" s="212"/>
      <c r="Y636" s="212"/>
      <c r="Z636" s="212"/>
      <c r="AA636" s="212"/>
      <c r="AB636" s="212"/>
      <c r="AC636" s="212"/>
      <c r="AD636" s="212"/>
      <c r="AE636" s="212"/>
      <c r="AF636" s="212"/>
      <c r="AG636" s="212"/>
      <c r="AH636" s="212"/>
      <c r="AI636" s="212"/>
      <c r="AJ636" s="212"/>
      <c r="AK636" s="212"/>
      <c r="AL636" s="212"/>
      <c r="AM636" s="212"/>
      <c r="AN636" s="212"/>
      <c r="AO636" s="212"/>
      <c r="AP636" s="212"/>
      <c r="AQ636" s="212"/>
      <c r="AR636" s="212"/>
      <c r="AS636" s="212"/>
      <c r="AT636" s="212"/>
      <c r="AU636" s="212"/>
      <c r="AV636" s="212"/>
      <c r="AW636" s="212"/>
      <c r="AX636" s="212"/>
      <c r="AY636" s="212"/>
      <c r="AZ636" s="212"/>
      <c r="BA636" s="212"/>
      <c r="BB636" s="212"/>
      <c r="BC636" s="212"/>
      <c r="BD636" s="212"/>
      <c r="BE636" s="212"/>
      <c r="BF636" s="212"/>
      <c r="BG636" s="212"/>
      <c r="BH636" s="212"/>
      <c r="BI636" s="231" t="str">
        <f>HYPERLINK("#자재조서!A91","MZZ9000030 →")</f>
        <v>MZZ9000030 →</v>
      </c>
    </row>
    <row r="637" spans="1:61" ht="24" customHeight="1">
      <c r="A637" s="218" t="s">
        <v>2343</v>
      </c>
      <c r="B637" s="218" t="s">
        <v>68</v>
      </c>
      <c r="C637" s="229"/>
      <c r="D637" s="213" t="s">
        <v>68</v>
      </c>
      <c r="E637" s="213"/>
      <c r="F637" s="217">
        <v>0</v>
      </c>
      <c r="G637" s="213"/>
      <c r="H637" s="217">
        <v>0</v>
      </c>
      <c r="I637" s="213"/>
      <c r="J637" s="217">
        <v>0</v>
      </c>
      <c r="K637" s="217">
        <f t="shared" si="76"/>
        <v>0</v>
      </c>
      <c r="L637" s="217">
        <f t="shared" si="75"/>
        <v>0</v>
      </c>
      <c r="M637" s="215" t="s">
        <v>68</v>
      </c>
      <c r="N637" s="212" t="s">
        <v>68</v>
      </c>
      <c r="O637" s="212"/>
      <c r="P637" s="212" t="s">
        <v>1104</v>
      </c>
      <c r="Q637" s="212" t="s">
        <v>68</v>
      </c>
      <c r="R637" s="212" t="s">
        <v>68</v>
      </c>
      <c r="S637" s="212"/>
      <c r="T637" s="212"/>
      <c r="U637" s="212"/>
      <c r="V637" s="212"/>
      <c r="W637" s="212"/>
      <c r="X637" s="212"/>
      <c r="Y637" s="212"/>
      <c r="Z637" s="212"/>
      <c r="AA637" s="212"/>
      <c r="AB637" s="212"/>
      <c r="AC637" s="212"/>
      <c r="AD637" s="212"/>
      <c r="AE637" s="212"/>
      <c r="AF637" s="212"/>
      <c r="AG637" s="212"/>
      <c r="AH637" s="212"/>
      <c r="AI637" s="212"/>
      <c r="AJ637" s="212"/>
      <c r="AK637" s="212"/>
      <c r="AL637" s="212"/>
      <c r="AM637" s="212"/>
      <c r="AN637" s="212"/>
      <c r="AO637" s="212"/>
      <c r="AP637" s="212"/>
      <c r="AQ637" s="212"/>
      <c r="AR637" s="212"/>
      <c r="AS637" s="212"/>
      <c r="AT637" s="212"/>
      <c r="AU637" s="212"/>
      <c r="AV637" s="212"/>
      <c r="AW637" s="212"/>
      <c r="AX637" s="212"/>
      <c r="AY637" s="212"/>
      <c r="AZ637" s="212"/>
      <c r="BA637" s="212"/>
      <c r="BB637" s="212"/>
      <c r="BC637" s="212"/>
      <c r="BD637" s="212"/>
      <c r="BE637" s="212"/>
      <c r="BF637" s="212"/>
      <c r="BG637" s="212"/>
      <c r="BH637" s="212"/>
      <c r="BI637" s="212"/>
    </row>
    <row r="638" spans="1:61" ht="24" customHeight="1">
      <c r="A638" s="218" t="s">
        <v>2344</v>
      </c>
      <c r="B638" s="218" t="s">
        <v>1946</v>
      </c>
      <c r="C638" s="229">
        <v>0.45</v>
      </c>
      <c r="D638" s="213" t="s">
        <v>1286</v>
      </c>
      <c r="E638" s="217">
        <v>0</v>
      </c>
      <c r="F638" s="217"/>
      <c r="G638" s="217">
        <f>노임!D24</f>
        <v>0</v>
      </c>
      <c r="H638" s="217">
        <f>TRUNC(G638*C638,0)</f>
        <v>0</v>
      </c>
      <c r="I638" s="217">
        <v>0</v>
      </c>
      <c r="J638" s="217"/>
      <c r="K638" s="217">
        <f t="shared" si="76"/>
        <v>0</v>
      </c>
      <c r="L638" s="217">
        <f t="shared" si="75"/>
        <v>0</v>
      </c>
      <c r="M638" s="215" t="s">
        <v>68</v>
      </c>
      <c r="N638" s="212" t="s">
        <v>68</v>
      </c>
      <c r="O638" s="212"/>
      <c r="P638" s="212" t="s">
        <v>1107</v>
      </c>
      <c r="Q638" s="212" t="s">
        <v>68</v>
      </c>
      <c r="R638" s="212" t="s">
        <v>2345</v>
      </c>
      <c r="S638" s="212"/>
      <c r="T638" s="212"/>
      <c r="U638" s="212"/>
      <c r="V638" s="212"/>
      <c r="W638" s="212"/>
      <c r="X638" s="212"/>
      <c r="Y638" s="212"/>
      <c r="Z638" s="212"/>
      <c r="AA638" s="212"/>
      <c r="AB638" s="212"/>
      <c r="AC638" s="212"/>
      <c r="AD638" s="212"/>
      <c r="AE638" s="212"/>
      <c r="AF638" s="212"/>
      <c r="AG638" s="212"/>
      <c r="AH638" s="212"/>
      <c r="AI638" s="212"/>
      <c r="AJ638" s="212"/>
      <c r="AK638" s="212"/>
      <c r="AL638" s="212"/>
      <c r="AM638" s="212"/>
      <c r="AN638" s="212"/>
      <c r="AO638" s="212"/>
      <c r="AP638" s="212"/>
      <c r="AQ638" s="212"/>
      <c r="AR638" s="212"/>
      <c r="AS638" s="212"/>
      <c r="AT638" s="212"/>
      <c r="AU638" s="212"/>
      <c r="AV638" s="212"/>
      <c r="AW638" s="212"/>
      <c r="AX638" s="212"/>
      <c r="AY638" s="212"/>
      <c r="AZ638" s="212"/>
      <c r="BA638" s="212"/>
      <c r="BB638" s="212"/>
      <c r="BC638" s="212"/>
      <c r="BD638" s="212"/>
      <c r="BE638" s="212"/>
      <c r="BF638" s="212"/>
      <c r="BG638" s="212"/>
      <c r="BH638" s="212"/>
      <c r="BI638" s="231" t="str">
        <f>HYPERLINK("#노임!A24","L001010101000051 →")</f>
        <v>L001010101000051 →</v>
      </c>
    </row>
    <row r="639" spans="1:61" ht="24" customHeight="1">
      <c r="A639" s="218" t="s">
        <v>1967</v>
      </c>
      <c r="B639" s="218" t="s">
        <v>1946</v>
      </c>
      <c r="C639" s="229">
        <v>0.22</v>
      </c>
      <c r="D639" s="213" t="s">
        <v>1286</v>
      </c>
      <c r="E639" s="217">
        <v>0</v>
      </c>
      <c r="F639" s="217"/>
      <c r="G639" s="217">
        <f>노임!D3</f>
        <v>0</v>
      </c>
      <c r="H639" s="217">
        <f>TRUNC(G639*C639,0)</f>
        <v>0</v>
      </c>
      <c r="I639" s="217">
        <v>0</v>
      </c>
      <c r="J639" s="217"/>
      <c r="K639" s="217">
        <f t="shared" si="76"/>
        <v>0</v>
      </c>
      <c r="L639" s="217">
        <f t="shared" si="75"/>
        <v>0</v>
      </c>
      <c r="M639" s="215" t="s">
        <v>68</v>
      </c>
      <c r="N639" s="212" t="s">
        <v>68</v>
      </c>
      <c r="O639" s="212"/>
      <c r="P639" s="212" t="s">
        <v>1108</v>
      </c>
      <c r="Q639" s="212" t="s">
        <v>68</v>
      </c>
      <c r="R639" s="212" t="s">
        <v>1968</v>
      </c>
      <c r="S639" s="212"/>
      <c r="T639" s="212"/>
      <c r="U639" s="212"/>
      <c r="V639" s="212"/>
      <c r="W639" s="212"/>
      <c r="X639" s="212"/>
      <c r="Y639" s="212"/>
      <c r="Z639" s="212"/>
      <c r="AA639" s="212"/>
      <c r="AB639" s="212"/>
      <c r="AC639" s="212"/>
      <c r="AD639" s="212"/>
      <c r="AE639" s="212"/>
      <c r="AF639" s="212"/>
      <c r="AG639" s="212"/>
      <c r="AH639" s="212"/>
      <c r="AI639" s="212"/>
      <c r="AJ639" s="212"/>
      <c r="AK639" s="212"/>
      <c r="AL639" s="212"/>
      <c r="AM639" s="212"/>
      <c r="AN639" s="212"/>
      <c r="AO639" s="212"/>
      <c r="AP639" s="212"/>
      <c r="AQ639" s="212"/>
      <c r="AR639" s="212"/>
      <c r="AS639" s="212"/>
      <c r="AT639" s="212"/>
      <c r="AU639" s="212"/>
      <c r="AV639" s="212"/>
      <c r="AW639" s="212"/>
      <c r="AX639" s="212"/>
      <c r="AY639" s="212"/>
      <c r="AZ639" s="212"/>
      <c r="BA639" s="212"/>
      <c r="BB639" s="212"/>
      <c r="BC639" s="212"/>
      <c r="BD639" s="212"/>
      <c r="BE639" s="212"/>
      <c r="BF639" s="212"/>
      <c r="BG639" s="212"/>
      <c r="BH639" s="212"/>
      <c r="BI639" s="231" t="str">
        <f>HYPERLINK("#노임!A3","L001010101000002 →")</f>
        <v>L001010101000002 →</v>
      </c>
    </row>
    <row r="640" spans="1:61" ht="24" customHeight="1">
      <c r="A640" s="218" t="s">
        <v>68</v>
      </c>
      <c r="B640" s="218" t="s">
        <v>68</v>
      </c>
      <c r="C640" s="229"/>
      <c r="D640" s="213" t="s">
        <v>68</v>
      </c>
      <c r="E640" s="213"/>
      <c r="F640" s="217">
        <v>0</v>
      </c>
      <c r="G640" s="213"/>
      <c r="H640" s="217">
        <v>0</v>
      </c>
      <c r="I640" s="213"/>
      <c r="J640" s="217">
        <v>0</v>
      </c>
      <c r="K640" s="217">
        <f t="shared" si="76"/>
        <v>0</v>
      </c>
      <c r="L640" s="217">
        <f t="shared" si="75"/>
        <v>0</v>
      </c>
      <c r="M640" s="215" t="s">
        <v>68</v>
      </c>
      <c r="N640" s="212" t="s">
        <v>68</v>
      </c>
      <c r="O640" s="212"/>
      <c r="P640" s="212" t="s">
        <v>1109</v>
      </c>
      <c r="Q640" s="212" t="s">
        <v>68</v>
      </c>
      <c r="R640" s="212" t="s">
        <v>68</v>
      </c>
      <c r="S640" s="212"/>
      <c r="T640" s="212"/>
      <c r="U640" s="212"/>
      <c r="V640" s="212"/>
      <c r="W640" s="212"/>
      <c r="X640" s="212"/>
      <c r="Y640" s="212"/>
      <c r="Z640" s="212"/>
      <c r="AA640" s="212"/>
      <c r="AB640" s="212"/>
      <c r="AC640" s="212"/>
      <c r="AD640" s="212"/>
      <c r="AE640" s="212"/>
      <c r="AF640" s="212"/>
      <c r="AG640" s="212"/>
      <c r="AH640" s="212"/>
      <c r="AI640" s="212"/>
      <c r="AJ640" s="212"/>
      <c r="AK640" s="212"/>
      <c r="AL640" s="212"/>
      <c r="AM640" s="212"/>
      <c r="AN640" s="212"/>
      <c r="AO640" s="212"/>
      <c r="AP640" s="212"/>
      <c r="AQ640" s="212"/>
      <c r="AR640" s="212"/>
      <c r="AS640" s="212"/>
      <c r="AT640" s="212"/>
      <c r="AU640" s="212"/>
      <c r="AV640" s="212"/>
      <c r="AW640" s="212"/>
      <c r="AX640" s="212"/>
      <c r="AY640" s="212"/>
      <c r="AZ640" s="212"/>
      <c r="BA640" s="212"/>
      <c r="BB640" s="212"/>
      <c r="BC640" s="212"/>
      <c r="BD640" s="212"/>
      <c r="BE640" s="212"/>
      <c r="BF640" s="212"/>
      <c r="BG640" s="212"/>
      <c r="BH640" s="212"/>
      <c r="BI640" s="212"/>
    </row>
    <row r="641" spans="1:61" ht="24" customHeight="1">
      <c r="A641" s="218" t="s">
        <v>2346</v>
      </c>
      <c r="B641" s="218" t="s">
        <v>68</v>
      </c>
      <c r="C641" s="229"/>
      <c r="D641" s="213" t="s">
        <v>68</v>
      </c>
      <c r="E641" s="213"/>
      <c r="F641" s="217">
        <v>0</v>
      </c>
      <c r="G641" s="213"/>
      <c r="H641" s="217">
        <v>0</v>
      </c>
      <c r="I641" s="213"/>
      <c r="J641" s="217">
        <v>0</v>
      </c>
      <c r="K641" s="217">
        <f t="shared" si="76"/>
        <v>0</v>
      </c>
      <c r="L641" s="217">
        <f t="shared" si="75"/>
        <v>0</v>
      </c>
      <c r="M641" s="215" t="s">
        <v>68</v>
      </c>
      <c r="N641" s="212" t="s">
        <v>68</v>
      </c>
      <c r="O641" s="212"/>
      <c r="P641" s="212" t="s">
        <v>1110</v>
      </c>
      <c r="Q641" s="212" t="s">
        <v>68</v>
      </c>
      <c r="R641" s="212" t="s">
        <v>68</v>
      </c>
      <c r="S641" s="212"/>
      <c r="T641" s="212"/>
      <c r="U641" s="212"/>
      <c r="V641" s="212"/>
      <c r="W641" s="212"/>
      <c r="X641" s="212"/>
      <c r="Y641" s="212"/>
      <c r="Z641" s="212"/>
      <c r="AA641" s="212"/>
      <c r="AB641" s="212"/>
      <c r="AC641" s="212"/>
      <c r="AD641" s="212"/>
      <c r="AE641" s="212"/>
      <c r="AF641" s="212"/>
      <c r="AG641" s="212"/>
      <c r="AH641" s="212"/>
      <c r="AI641" s="212"/>
      <c r="AJ641" s="212"/>
      <c r="AK641" s="212"/>
      <c r="AL641" s="212"/>
      <c r="AM641" s="212"/>
      <c r="AN641" s="212"/>
      <c r="AO641" s="212"/>
      <c r="AP641" s="212"/>
      <c r="AQ641" s="212"/>
      <c r="AR641" s="212"/>
      <c r="AS641" s="212"/>
      <c r="AT641" s="212"/>
      <c r="AU641" s="212"/>
      <c r="AV641" s="212"/>
      <c r="AW641" s="212"/>
      <c r="AX641" s="212"/>
      <c r="AY641" s="212"/>
      <c r="AZ641" s="212"/>
      <c r="BA641" s="212"/>
      <c r="BB641" s="212"/>
      <c r="BC641" s="212"/>
      <c r="BD641" s="212"/>
      <c r="BE641" s="212"/>
      <c r="BF641" s="212"/>
      <c r="BG641" s="212"/>
      <c r="BH641" s="212"/>
      <c r="BI641" s="212"/>
    </row>
    <row r="642" spans="1:61" ht="24" customHeight="1">
      <c r="A642" s="218" t="s">
        <v>2344</v>
      </c>
      <c r="B642" s="218" t="s">
        <v>1946</v>
      </c>
      <c r="C642" s="229">
        <v>1.33</v>
      </c>
      <c r="D642" s="213" t="s">
        <v>1286</v>
      </c>
      <c r="E642" s="217">
        <v>0</v>
      </c>
      <c r="F642" s="217"/>
      <c r="G642" s="217">
        <f>노임!D24</f>
        <v>0</v>
      </c>
      <c r="H642" s="217">
        <f>TRUNC(G642*C642,0)</f>
        <v>0</v>
      </c>
      <c r="I642" s="217">
        <v>0</v>
      </c>
      <c r="J642" s="217"/>
      <c r="K642" s="217">
        <f t="shared" si="76"/>
        <v>0</v>
      </c>
      <c r="L642" s="217">
        <f t="shared" si="75"/>
        <v>0</v>
      </c>
      <c r="M642" s="215" t="s">
        <v>68</v>
      </c>
      <c r="N642" s="212" t="s">
        <v>68</v>
      </c>
      <c r="O642" s="212"/>
      <c r="P642" s="212" t="s">
        <v>1111</v>
      </c>
      <c r="Q642" s="212" t="s">
        <v>68</v>
      </c>
      <c r="R642" s="212" t="s">
        <v>2345</v>
      </c>
      <c r="S642" s="212"/>
      <c r="T642" s="212"/>
      <c r="U642" s="212"/>
      <c r="V642" s="212"/>
      <c r="W642" s="212"/>
      <c r="X642" s="212"/>
      <c r="Y642" s="212"/>
      <c r="Z642" s="212"/>
      <c r="AA642" s="212"/>
      <c r="AB642" s="212"/>
      <c r="AC642" s="212"/>
      <c r="AD642" s="212"/>
      <c r="AE642" s="212"/>
      <c r="AF642" s="212"/>
      <c r="AG642" s="212"/>
      <c r="AH642" s="212"/>
      <c r="AI642" s="212"/>
      <c r="AJ642" s="212"/>
      <c r="AK642" s="212"/>
      <c r="AL642" s="212"/>
      <c r="AM642" s="212"/>
      <c r="AN642" s="212"/>
      <c r="AO642" s="212"/>
      <c r="AP642" s="212"/>
      <c r="AQ642" s="212"/>
      <c r="AR642" s="212"/>
      <c r="AS642" s="212"/>
      <c r="AT642" s="212"/>
      <c r="AU642" s="212"/>
      <c r="AV642" s="212"/>
      <c r="AW642" s="212"/>
      <c r="AX642" s="212"/>
      <c r="AY642" s="212"/>
      <c r="AZ642" s="212"/>
      <c r="BA642" s="212"/>
      <c r="BB642" s="212"/>
      <c r="BC642" s="212"/>
      <c r="BD642" s="212"/>
      <c r="BE642" s="212"/>
      <c r="BF642" s="212"/>
      <c r="BG642" s="212"/>
      <c r="BH642" s="212"/>
      <c r="BI642" s="231" t="str">
        <f>HYPERLINK("#노임!A24","L001010101000051 →")</f>
        <v>L001010101000051 →</v>
      </c>
    </row>
    <row r="643" spans="1:61" ht="24" customHeight="1">
      <c r="A643" s="218" t="s">
        <v>1967</v>
      </c>
      <c r="B643" s="218" t="s">
        <v>1946</v>
      </c>
      <c r="C643" s="229">
        <v>0.67</v>
      </c>
      <c r="D643" s="213" t="s">
        <v>1286</v>
      </c>
      <c r="E643" s="217">
        <v>0</v>
      </c>
      <c r="F643" s="217"/>
      <c r="G643" s="217">
        <f>노임!D3</f>
        <v>0</v>
      </c>
      <c r="H643" s="217">
        <f>TRUNC(G643*C643,0)</f>
        <v>0</v>
      </c>
      <c r="I643" s="217">
        <v>0</v>
      </c>
      <c r="J643" s="217"/>
      <c r="K643" s="217">
        <f t="shared" si="76"/>
        <v>0</v>
      </c>
      <c r="L643" s="217">
        <f t="shared" si="75"/>
        <v>0</v>
      </c>
      <c r="M643" s="215" t="s">
        <v>68</v>
      </c>
      <c r="N643" s="212" t="s">
        <v>68</v>
      </c>
      <c r="O643" s="212"/>
      <c r="P643" s="212" t="s">
        <v>1112</v>
      </c>
      <c r="Q643" s="212" t="s">
        <v>68</v>
      </c>
      <c r="R643" s="212" t="s">
        <v>1968</v>
      </c>
      <c r="S643" s="212"/>
      <c r="T643" s="212"/>
      <c r="U643" s="212"/>
      <c r="V643" s="212"/>
      <c r="W643" s="212"/>
      <c r="X643" s="212"/>
      <c r="Y643" s="212"/>
      <c r="Z643" s="212"/>
      <c r="AA643" s="220" t="s">
        <v>1955</v>
      </c>
      <c r="AB643" s="212">
        <f>(호표!H638+호표!H639+호표!H642+호표!H643)*0.02</f>
        <v>0</v>
      </c>
      <c r="AC643" s="220" t="s">
        <v>1956</v>
      </c>
      <c r="AD643" s="212">
        <f>$AB643</f>
        <v>0</v>
      </c>
      <c r="AE643" s="212"/>
      <c r="AF643" s="212"/>
      <c r="AG643" s="212"/>
      <c r="AH643" s="212"/>
      <c r="AI643" s="212"/>
      <c r="AJ643" s="212"/>
      <c r="AK643" s="212"/>
      <c r="AL643" s="212"/>
      <c r="AM643" s="212"/>
      <c r="AN643" s="212"/>
      <c r="AO643" s="212"/>
      <c r="AP643" s="212"/>
      <c r="AQ643" s="212"/>
      <c r="AR643" s="212"/>
      <c r="AS643" s="212"/>
      <c r="AT643" s="212"/>
      <c r="AU643" s="212"/>
      <c r="AV643" s="212"/>
      <c r="AW643" s="212"/>
      <c r="AX643" s="212"/>
      <c r="AY643" s="212"/>
      <c r="AZ643" s="212"/>
      <c r="BA643" s="212"/>
      <c r="BB643" s="212"/>
      <c r="BC643" s="212"/>
      <c r="BD643" s="212"/>
      <c r="BE643" s="212"/>
      <c r="BF643" s="212"/>
      <c r="BG643" s="212"/>
      <c r="BH643" s="212"/>
      <c r="BI643" s="231" t="str">
        <f>HYPERLINK("#노임!A3","L001010101000002 →")</f>
        <v>L001010101000002 →</v>
      </c>
    </row>
    <row r="644" spans="1:61" ht="24" customHeight="1">
      <c r="A644" s="218" t="s">
        <v>1974</v>
      </c>
      <c r="B644" s="218" t="s">
        <v>1958</v>
      </c>
      <c r="C644" s="228">
        <v>2</v>
      </c>
      <c r="D644" s="213" t="s">
        <v>1950</v>
      </c>
      <c r="E644" s="213"/>
      <c r="F644" s="217">
        <v>0</v>
      </c>
      <c r="G644" s="213"/>
      <c r="H644" s="217">
        <v>0</v>
      </c>
      <c r="I644" s="213"/>
      <c r="J644" s="217">
        <f>TRUNC(((H638+H639+H642+H643)*0.02),0)</f>
        <v>0</v>
      </c>
      <c r="K644" s="217">
        <f t="shared" si="76"/>
        <v>0</v>
      </c>
      <c r="L644" s="217">
        <f t="shared" si="75"/>
        <v>0</v>
      </c>
      <c r="M644" s="215" t="s">
        <v>68</v>
      </c>
      <c r="N644" s="212" t="s">
        <v>68</v>
      </c>
      <c r="O644" s="212"/>
      <c r="P644" s="212" t="s">
        <v>1113</v>
      </c>
      <c r="Q644" s="212" t="s">
        <v>68</v>
      </c>
      <c r="R644" s="212" t="s">
        <v>1121</v>
      </c>
      <c r="S644" s="212"/>
      <c r="T644" s="212"/>
      <c r="U644" s="212"/>
      <c r="V644" s="212"/>
      <c r="W644" s="212"/>
      <c r="X644" s="212" t="s">
        <v>2347</v>
      </c>
      <c r="Y644" s="212"/>
      <c r="Z644" s="212"/>
      <c r="AA644" s="212"/>
      <c r="AB644" s="212"/>
      <c r="AC644" s="212"/>
      <c r="AD644" s="212"/>
      <c r="AE644" s="212"/>
      <c r="AF644" s="212"/>
      <c r="AG644" s="212"/>
      <c r="AH644" s="212"/>
      <c r="AI644" s="212"/>
      <c r="AJ644" s="212"/>
      <c r="AK644" s="212"/>
      <c r="AL644" s="212"/>
      <c r="AM644" s="212"/>
      <c r="AN644" s="212"/>
      <c r="AO644" s="212"/>
      <c r="AP644" s="212"/>
      <c r="AQ644" s="212"/>
      <c r="AR644" s="212"/>
      <c r="AS644" s="212"/>
      <c r="AT644" s="212"/>
      <c r="AU644" s="212"/>
      <c r="AV644" s="212"/>
      <c r="AW644" s="212"/>
      <c r="AX644" s="212"/>
      <c r="AY644" s="212"/>
      <c r="AZ644" s="212"/>
      <c r="BA644" s="212"/>
      <c r="BB644" s="212"/>
      <c r="BC644" s="212"/>
      <c r="BD644" s="212"/>
      <c r="BE644" s="212"/>
      <c r="BF644" s="212"/>
      <c r="BG644" s="212"/>
      <c r="BH644" s="212"/>
      <c r="BI644" s="212"/>
    </row>
    <row r="645" spans="1:61" ht="24" customHeight="1">
      <c r="A645" s="215"/>
      <c r="B645" s="215"/>
      <c r="C645" s="229"/>
      <c r="D645" s="213"/>
      <c r="E645" s="213"/>
      <c r="F645" s="213"/>
      <c r="G645" s="213"/>
      <c r="H645" s="213"/>
      <c r="I645" s="213"/>
      <c r="J645" s="213"/>
      <c r="K645" s="213"/>
      <c r="L645" s="213"/>
      <c r="M645" s="215"/>
      <c r="N645" s="212"/>
      <c r="O645" s="212"/>
      <c r="P645" s="212"/>
      <c r="Q645" s="212"/>
      <c r="R645" s="212"/>
      <c r="S645" s="212"/>
      <c r="T645" s="212"/>
      <c r="U645" s="212"/>
      <c r="V645" s="212"/>
      <c r="W645" s="212"/>
      <c r="X645" s="212"/>
      <c r="Y645" s="212"/>
      <c r="Z645" s="212"/>
      <c r="AA645" s="212"/>
      <c r="AB645" s="212"/>
      <c r="AC645" s="212"/>
      <c r="AD645" s="212"/>
      <c r="AE645" s="212"/>
      <c r="AF645" s="212"/>
      <c r="AG645" s="212"/>
      <c r="AH645" s="212"/>
      <c r="AI645" s="212"/>
      <c r="AJ645" s="212"/>
      <c r="AK645" s="212"/>
      <c r="AL645" s="212"/>
      <c r="AM645" s="212"/>
      <c r="AN645" s="212"/>
      <c r="AO645" s="212"/>
      <c r="AP645" s="212"/>
      <c r="AQ645" s="212"/>
      <c r="AR645" s="212"/>
      <c r="AS645" s="212"/>
      <c r="AT645" s="212"/>
      <c r="AU645" s="212"/>
      <c r="AV645" s="212"/>
      <c r="AW645" s="212"/>
      <c r="AX645" s="212"/>
      <c r="AY645" s="212"/>
      <c r="AZ645" s="212"/>
      <c r="BA645" s="212"/>
      <c r="BB645" s="212"/>
      <c r="BC645" s="212"/>
      <c r="BD645" s="212"/>
      <c r="BE645" s="212"/>
      <c r="BF645" s="212"/>
      <c r="BG645" s="212"/>
      <c r="BH645" s="212"/>
      <c r="BI645" s="212"/>
    </row>
    <row r="646" spans="1:61" ht="24" customHeight="1">
      <c r="A646" s="218" t="s">
        <v>2348</v>
      </c>
      <c r="B646" s="218" t="s">
        <v>1393</v>
      </c>
      <c r="C646" s="228">
        <v>1</v>
      </c>
      <c r="D646" s="213" t="s">
        <v>149</v>
      </c>
      <c r="E646" s="212"/>
      <c r="F646" s="217">
        <f>TRUNC(F647+F649+F650+F653+F654+F655,0)</f>
        <v>0</v>
      </c>
      <c r="G646" s="212"/>
      <c r="H646" s="217">
        <f>TRUNC(H647+H649+H650+H653+H654+H655,0)</f>
        <v>0</v>
      </c>
      <c r="I646" s="212"/>
      <c r="J646" s="217">
        <f>TRUNC(J647+J649+J650+J653+J654+J655,0)</f>
        <v>0</v>
      </c>
      <c r="K646" s="212"/>
      <c r="L646" s="217">
        <f t="shared" ref="L646:L655" si="77">F646+H646+J646</f>
        <v>0</v>
      </c>
      <c r="M646" s="215" t="s">
        <v>1838</v>
      </c>
      <c r="N646" s="212" t="s">
        <v>68</v>
      </c>
      <c r="O646" s="212" t="s">
        <v>1394</v>
      </c>
      <c r="P646" s="212"/>
      <c r="Q646" s="212"/>
      <c r="R646" s="212"/>
      <c r="S646" s="212"/>
      <c r="T646" s="212"/>
      <c r="U646" s="212"/>
      <c r="V646" s="212"/>
      <c r="W646" s="212"/>
      <c r="X646" s="212"/>
      <c r="Y646" s="212"/>
      <c r="Z646" s="212"/>
      <c r="AA646" s="212"/>
      <c r="AB646" s="212"/>
      <c r="AC646" s="212"/>
      <c r="AD646" s="212"/>
      <c r="AE646" s="212"/>
      <c r="AF646" s="212"/>
      <c r="AG646" s="212"/>
      <c r="AH646" s="212"/>
      <c r="AI646" s="212"/>
      <c r="AJ646" s="212"/>
      <c r="AK646" s="212"/>
      <c r="AL646" s="212"/>
      <c r="AM646" s="212"/>
      <c r="AN646" s="212"/>
      <c r="AO646" s="212"/>
      <c r="AP646" s="212"/>
      <c r="AQ646" s="212"/>
      <c r="AR646" s="212"/>
      <c r="AS646" s="212"/>
      <c r="AT646" s="212"/>
      <c r="AU646" s="212"/>
      <c r="AV646" s="212"/>
      <c r="AW646" s="212"/>
      <c r="AX646" s="212"/>
      <c r="AY646" s="212"/>
      <c r="AZ646" s="212"/>
      <c r="BA646" s="212"/>
      <c r="BB646" s="212"/>
      <c r="BC646" s="212"/>
      <c r="BD646" s="212"/>
      <c r="BE646" s="212"/>
      <c r="BF646" s="212"/>
      <c r="BG646" s="212"/>
      <c r="BH646" s="212"/>
      <c r="BI646" s="212"/>
    </row>
    <row r="647" spans="1:61" ht="24" customHeight="1">
      <c r="A647" s="218" t="s">
        <v>2340</v>
      </c>
      <c r="B647" s="218" t="s">
        <v>2349</v>
      </c>
      <c r="C647" s="228">
        <v>1</v>
      </c>
      <c r="D647" s="213" t="s">
        <v>149</v>
      </c>
      <c r="E647" s="217">
        <f>자재조서!E92</f>
        <v>0</v>
      </c>
      <c r="F647" s="217">
        <f>TRUNC(E647*C647,0)</f>
        <v>0</v>
      </c>
      <c r="G647" s="217">
        <v>0</v>
      </c>
      <c r="H647" s="217"/>
      <c r="I647" s="217">
        <v>0</v>
      </c>
      <c r="J647" s="217"/>
      <c r="K647" s="217">
        <f t="shared" ref="K647:K655" si="78">E647+G647+I647</f>
        <v>0</v>
      </c>
      <c r="L647" s="217">
        <f t="shared" si="77"/>
        <v>0</v>
      </c>
      <c r="M647" s="215" t="s">
        <v>68</v>
      </c>
      <c r="N647" s="212" t="s">
        <v>68</v>
      </c>
      <c r="O647" s="212"/>
      <c r="P647" s="212" t="s">
        <v>1095</v>
      </c>
      <c r="Q647" s="212" t="s">
        <v>68</v>
      </c>
      <c r="R647" s="212" t="s">
        <v>2350</v>
      </c>
      <c r="S647" s="212"/>
      <c r="T647" s="212"/>
      <c r="U647" s="212"/>
      <c r="V647" s="212"/>
      <c r="W647" s="212"/>
      <c r="X647" s="212"/>
      <c r="Y647" s="212"/>
      <c r="Z647" s="212"/>
      <c r="AA647" s="212"/>
      <c r="AB647" s="212"/>
      <c r="AC647" s="212"/>
      <c r="AD647" s="212"/>
      <c r="AE647" s="212"/>
      <c r="AF647" s="212"/>
      <c r="AG647" s="212"/>
      <c r="AH647" s="212"/>
      <c r="AI647" s="212"/>
      <c r="AJ647" s="212"/>
      <c r="AK647" s="212"/>
      <c r="AL647" s="212"/>
      <c r="AM647" s="212"/>
      <c r="AN647" s="212"/>
      <c r="AO647" s="212"/>
      <c r="AP647" s="212"/>
      <c r="AQ647" s="212"/>
      <c r="AR647" s="212"/>
      <c r="AS647" s="212"/>
      <c r="AT647" s="212"/>
      <c r="AU647" s="212"/>
      <c r="AV647" s="212"/>
      <c r="AW647" s="212"/>
      <c r="AX647" s="212"/>
      <c r="AY647" s="212"/>
      <c r="AZ647" s="212"/>
      <c r="BA647" s="212"/>
      <c r="BB647" s="212"/>
      <c r="BC647" s="212"/>
      <c r="BD647" s="212"/>
      <c r="BE647" s="212"/>
      <c r="BF647" s="212"/>
      <c r="BG647" s="212"/>
      <c r="BH647" s="212"/>
      <c r="BI647" s="231" t="str">
        <f>HYPERLINK("#자재조서!A92","MZZ9000031 →")</f>
        <v>MZZ9000031 →</v>
      </c>
    </row>
    <row r="648" spans="1:61" ht="24" customHeight="1">
      <c r="A648" s="218" t="s">
        <v>2343</v>
      </c>
      <c r="B648" s="218" t="s">
        <v>68</v>
      </c>
      <c r="C648" s="229"/>
      <c r="D648" s="213" t="s">
        <v>68</v>
      </c>
      <c r="E648" s="213"/>
      <c r="F648" s="217">
        <v>0</v>
      </c>
      <c r="G648" s="213"/>
      <c r="H648" s="217">
        <v>0</v>
      </c>
      <c r="I648" s="213"/>
      <c r="J648" s="217">
        <v>0</v>
      </c>
      <c r="K648" s="217">
        <f t="shared" si="78"/>
        <v>0</v>
      </c>
      <c r="L648" s="217">
        <f t="shared" si="77"/>
        <v>0</v>
      </c>
      <c r="M648" s="215" t="s">
        <v>68</v>
      </c>
      <c r="N648" s="212" t="s">
        <v>68</v>
      </c>
      <c r="O648" s="212"/>
      <c r="P648" s="212" t="s">
        <v>1101</v>
      </c>
      <c r="Q648" s="212" t="s">
        <v>68</v>
      </c>
      <c r="R648" s="212" t="s">
        <v>68</v>
      </c>
      <c r="S648" s="212"/>
      <c r="T648" s="212"/>
      <c r="U648" s="212"/>
      <c r="V648" s="212"/>
      <c r="W648" s="212"/>
      <c r="X648" s="212"/>
      <c r="Y648" s="212"/>
      <c r="Z648" s="212"/>
      <c r="AA648" s="212"/>
      <c r="AB648" s="212"/>
      <c r="AC648" s="212"/>
      <c r="AD648" s="212"/>
      <c r="AE648" s="212"/>
      <c r="AF648" s="212"/>
      <c r="AG648" s="212"/>
      <c r="AH648" s="212"/>
      <c r="AI648" s="212"/>
      <c r="AJ648" s="212"/>
      <c r="AK648" s="212"/>
      <c r="AL648" s="212"/>
      <c r="AM648" s="212"/>
      <c r="AN648" s="212"/>
      <c r="AO648" s="212"/>
      <c r="AP648" s="212"/>
      <c r="AQ648" s="212"/>
      <c r="AR648" s="212"/>
      <c r="AS648" s="212"/>
      <c r="AT648" s="212"/>
      <c r="AU648" s="212"/>
      <c r="AV648" s="212"/>
      <c r="AW648" s="212"/>
      <c r="AX648" s="212"/>
      <c r="AY648" s="212"/>
      <c r="AZ648" s="212"/>
      <c r="BA648" s="212"/>
      <c r="BB648" s="212"/>
      <c r="BC648" s="212"/>
      <c r="BD648" s="212"/>
      <c r="BE648" s="212"/>
      <c r="BF648" s="212"/>
      <c r="BG648" s="212"/>
      <c r="BH648" s="212"/>
      <c r="BI648" s="212"/>
    </row>
    <row r="649" spans="1:61" ht="24" customHeight="1">
      <c r="A649" s="218" t="s">
        <v>2344</v>
      </c>
      <c r="B649" s="218" t="s">
        <v>1946</v>
      </c>
      <c r="C649" s="229">
        <v>0.45</v>
      </c>
      <c r="D649" s="213" t="s">
        <v>1286</v>
      </c>
      <c r="E649" s="217">
        <v>0</v>
      </c>
      <c r="F649" s="217"/>
      <c r="G649" s="217">
        <f>노임!D24</f>
        <v>0</v>
      </c>
      <c r="H649" s="217">
        <f>TRUNC(G649*C649,0)</f>
        <v>0</v>
      </c>
      <c r="I649" s="217">
        <v>0</v>
      </c>
      <c r="J649" s="217"/>
      <c r="K649" s="217">
        <f t="shared" si="78"/>
        <v>0</v>
      </c>
      <c r="L649" s="217">
        <f t="shared" si="77"/>
        <v>0</v>
      </c>
      <c r="M649" s="215" t="s">
        <v>68</v>
      </c>
      <c r="N649" s="212" t="s">
        <v>68</v>
      </c>
      <c r="O649" s="212"/>
      <c r="P649" s="212" t="s">
        <v>1104</v>
      </c>
      <c r="Q649" s="212" t="s">
        <v>68</v>
      </c>
      <c r="R649" s="212" t="s">
        <v>2345</v>
      </c>
      <c r="S649" s="212"/>
      <c r="T649" s="212"/>
      <c r="U649" s="212"/>
      <c r="V649" s="212"/>
      <c r="W649" s="212"/>
      <c r="X649" s="212"/>
      <c r="Y649" s="212"/>
      <c r="Z649" s="212"/>
      <c r="AA649" s="212"/>
      <c r="AB649" s="212"/>
      <c r="AC649" s="212"/>
      <c r="AD649" s="212"/>
      <c r="AE649" s="212"/>
      <c r="AF649" s="212"/>
      <c r="AG649" s="212"/>
      <c r="AH649" s="212"/>
      <c r="AI649" s="212"/>
      <c r="AJ649" s="212"/>
      <c r="AK649" s="212"/>
      <c r="AL649" s="212"/>
      <c r="AM649" s="212"/>
      <c r="AN649" s="212"/>
      <c r="AO649" s="212"/>
      <c r="AP649" s="212"/>
      <c r="AQ649" s="212"/>
      <c r="AR649" s="212"/>
      <c r="AS649" s="212"/>
      <c r="AT649" s="212"/>
      <c r="AU649" s="212"/>
      <c r="AV649" s="212"/>
      <c r="AW649" s="212"/>
      <c r="AX649" s="212"/>
      <c r="AY649" s="212"/>
      <c r="AZ649" s="212"/>
      <c r="BA649" s="212"/>
      <c r="BB649" s="212"/>
      <c r="BC649" s="212"/>
      <c r="BD649" s="212"/>
      <c r="BE649" s="212"/>
      <c r="BF649" s="212"/>
      <c r="BG649" s="212"/>
      <c r="BH649" s="212"/>
      <c r="BI649" s="231" t="str">
        <f>HYPERLINK("#노임!A24","L001010101000051 →")</f>
        <v>L001010101000051 →</v>
      </c>
    </row>
    <row r="650" spans="1:61" ht="24" customHeight="1">
      <c r="A650" s="218" t="s">
        <v>1967</v>
      </c>
      <c r="B650" s="218" t="s">
        <v>1946</v>
      </c>
      <c r="C650" s="229">
        <v>0.22</v>
      </c>
      <c r="D650" s="213" t="s">
        <v>1286</v>
      </c>
      <c r="E650" s="217">
        <v>0</v>
      </c>
      <c r="F650" s="217"/>
      <c r="G650" s="217">
        <f>노임!D3</f>
        <v>0</v>
      </c>
      <c r="H650" s="217">
        <f>TRUNC(G650*C650,0)</f>
        <v>0</v>
      </c>
      <c r="I650" s="217">
        <v>0</v>
      </c>
      <c r="J650" s="217"/>
      <c r="K650" s="217">
        <f t="shared" si="78"/>
        <v>0</v>
      </c>
      <c r="L650" s="217">
        <f t="shared" si="77"/>
        <v>0</v>
      </c>
      <c r="M650" s="215" t="s">
        <v>68</v>
      </c>
      <c r="N650" s="212" t="s">
        <v>68</v>
      </c>
      <c r="O650" s="212"/>
      <c r="P650" s="212" t="s">
        <v>1107</v>
      </c>
      <c r="Q650" s="212" t="s">
        <v>68</v>
      </c>
      <c r="R650" s="212" t="s">
        <v>1968</v>
      </c>
      <c r="S650" s="212"/>
      <c r="T650" s="212"/>
      <c r="U650" s="212"/>
      <c r="V650" s="212"/>
      <c r="W650" s="212"/>
      <c r="X650" s="212"/>
      <c r="Y650" s="212"/>
      <c r="Z650" s="212"/>
      <c r="AA650" s="212"/>
      <c r="AB650" s="212"/>
      <c r="AC650" s="212"/>
      <c r="AD650" s="212"/>
      <c r="AE650" s="212"/>
      <c r="AF650" s="212"/>
      <c r="AG650" s="212"/>
      <c r="AH650" s="212"/>
      <c r="AI650" s="212"/>
      <c r="AJ650" s="212"/>
      <c r="AK650" s="212"/>
      <c r="AL650" s="212"/>
      <c r="AM650" s="212"/>
      <c r="AN650" s="212"/>
      <c r="AO650" s="212"/>
      <c r="AP650" s="212"/>
      <c r="AQ650" s="212"/>
      <c r="AR650" s="212"/>
      <c r="AS650" s="212"/>
      <c r="AT650" s="212"/>
      <c r="AU650" s="212"/>
      <c r="AV650" s="212"/>
      <c r="AW650" s="212"/>
      <c r="AX650" s="212"/>
      <c r="AY650" s="212"/>
      <c r="AZ650" s="212"/>
      <c r="BA650" s="212"/>
      <c r="BB650" s="212"/>
      <c r="BC650" s="212"/>
      <c r="BD650" s="212"/>
      <c r="BE650" s="212"/>
      <c r="BF650" s="212"/>
      <c r="BG650" s="212"/>
      <c r="BH650" s="212"/>
      <c r="BI650" s="231" t="str">
        <f>HYPERLINK("#노임!A3","L001010101000002 →")</f>
        <v>L001010101000002 →</v>
      </c>
    </row>
    <row r="651" spans="1:61" ht="24" customHeight="1">
      <c r="A651" s="218" t="s">
        <v>68</v>
      </c>
      <c r="B651" s="218" t="s">
        <v>68</v>
      </c>
      <c r="C651" s="229"/>
      <c r="D651" s="213" t="s">
        <v>68</v>
      </c>
      <c r="E651" s="213"/>
      <c r="F651" s="217">
        <v>0</v>
      </c>
      <c r="G651" s="213"/>
      <c r="H651" s="217">
        <v>0</v>
      </c>
      <c r="I651" s="213"/>
      <c r="J651" s="217">
        <v>0</v>
      </c>
      <c r="K651" s="217">
        <f t="shared" si="78"/>
        <v>0</v>
      </c>
      <c r="L651" s="217">
        <f t="shared" si="77"/>
        <v>0</v>
      </c>
      <c r="M651" s="215" t="s">
        <v>68</v>
      </c>
      <c r="N651" s="212" t="s">
        <v>68</v>
      </c>
      <c r="O651" s="212"/>
      <c r="P651" s="212" t="s">
        <v>1108</v>
      </c>
      <c r="Q651" s="212" t="s">
        <v>68</v>
      </c>
      <c r="R651" s="212" t="s">
        <v>68</v>
      </c>
      <c r="S651" s="212"/>
      <c r="T651" s="212"/>
      <c r="U651" s="212"/>
      <c r="V651" s="212"/>
      <c r="W651" s="212"/>
      <c r="X651" s="212"/>
      <c r="Y651" s="212"/>
      <c r="Z651" s="212"/>
      <c r="AA651" s="212"/>
      <c r="AB651" s="212"/>
      <c r="AC651" s="212"/>
      <c r="AD651" s="212"/>
      <c r="AE651" s="212"/>
      <c r="AF651" s="212"/>
      <c r="AG651" s="212"/>
      <c r="AH651" s="212"/>
      <c r="AI651" s="212"/>
      <c r="AJ651" s="212"/>
      <c r="AK651" s="212"/>
      <c r="AL651" s="212"/>
      <c r="AM651" s="212"/>
      <c r="AN651" s="212"/>
      <c r="AO651" s="212"/>
      <c r="AP651" s="212"/>
      <c r="AQ651" s="212"/>
      <c r="AR651" s="212"/>
      <c r="AS651" s="212"/>
      <c r="AT651" s="212"/>
      <c r="AU651" s="212"/>
      <c r="AV651" s="212"/>
      <c r="AW651" s="212"/>
      <c r="AX651" s="212"/>
      <c r="AY651" s="212"/>
      <c r="AZ651" s="212"/>
      <c r="BA651" s="212"/>
      <c r="BB651" s="212"/>
      <c r="BC651" s="212"/>
      <c r="BD651" s="212"/>
      <c r="BE651" s="212"/>
      <c r="BF651" s="212"/>
      <c r="BG651" s="212"/>
      <c r="BH651" s="212"/>
      <c r="BI651" s="212"/>
    </row>
    <row r="652" spans="1:61" ht="24" customHeight="1">
      <c r="A652" s="218" t="s">
        <v>2346</v>
      </c>
      <c r="B652" s="218" t="s">
        <v>68</v>
      </c>
      <c r="C652" s="229"/>
      <c r="D652" s="213" t="s">
        <v>68</v>
      </c>
      <c r="E652" s="213"/>
      <c r="F652" s="217">
        <v>0</v>
      </c>
      <c r="G652" s="213"/>
      <c r="H652" s="217">
        <v>0</v>
      </c>
      <c r="I652" s="213"/>
      <c r="J652" s="217">
        <v>0</v>
      </c>
      <c r="K652" s="217">
        <f t="shared" si="78"/>
        <v>0</v>
      </c>
      <c r="L652" s="217">
        <f t="shared" si="77"/>
        <v>0</v>
      </c>
      <c r="M652" s="215" t="s">
        <v>68</v>
      </c>
      <c r="N652" s="212" t="s">
        <v>68</v>
      </c>
      <c r="O652" s="212"/>
      <c r="P652" s="212" t="s">
        <v>1109</v>
      </c>
      <c r="Q652" s="212" t="s">
        <v>68</v>
      </c>
      <c r="R652" s="212" t="s">
        <v>68</v>
      </c>
      <c r="S652" s="212"/>
      <c r="T652" s="212"/>
      <c r="U652" s="212"/>
      <c r="V652" s="212"/>
      <c r="W652" s="212"/>
      <c r="X652" s="212"/>
      <c r="Y652" s="212"/>
      <c r="Z652" s="212"/>
      <c r="AA652" s="212"/>
      <c r="AB652" s="212"/>
      <c r="AC652" s="212"/>
      <c r="AD652" s="212"/>
      <c r="AE652" s="212"/>
      <c r="AF652" s="212"/>
      <c r="AG652" s="212"/>
      <c r="AH652" s="212"/>
      <c r="AI652" s="212"/>
      <c r="AJ652" s="212"/>
      <c r="AK652" s="212"/>
      <c r="AL652" s="212"/>
      <c r="AM652" s="212"/>
      <c r="AN652" s="212"/>
      <c r="AO652" s="212"/>
      <c r="AP652" s="212"/>
      <c r="AQ652" s="212"/>
      <c r="AR652" s="212"/>
      <c r="AS652" s="212"/>
      <c r="AT652" s="212"/>
      <c r="AU652" s="212"/>
      <c r="AV652" s="212"/>
      <c r="AW652" s="212"/>
      <c r="AX652" s="212"/>
      <c r="AY652" s="212"/>
      <c r="AZ652" s="212"/>
      <c r="BA652" s="212"/>
      <c r="BB652" s="212"/>
      <c r="BC652" s="212"/>
      <c r="BD652" s="212"/>
      <c r="BE652" s="212"/>
      <c r="BF652" s="212"/>
      <c r="BG652" s="212"/>
      <c r="BH652" s="212"/>
      <c r="BI652" s="212"/>
    </row>
    <row r="653" spans="1:61" ht="24" customHeight="1">
      <c r="A653" s="218" t="s">
        <v>2344</v>
      </c>
      <c r="B653" s="218" t="s">
        <v>1946</v>
      </c>
      <c r="C653" s="229">
        <v>1.33</v>
      </c>
      <c r="D653" s="213" t="s">
        <v>1286</v>
      </c>
      <c r="E653" s="217">
        <v>0</v>
      </c>
      <c r="F653" s="217"/>
      <c r="G653" s="217">
        <f>노임!D24</f>
        <v>0</v>
      </c>
      <c r="H653" s="217">
        <f>TRUNC(G653*C653,0)</f>
        <v>0</v>
      </c>
      <c r="I653" s="217">
        <v>0</v>
      </c>
      <c r="J653" s="217"/>
      <c r="K653" s="217">
        <f t="shared" si="78"/>
        <v>0</v>
      </c>
      <c r="L653" s="217">
        <f t="shared" si="77"/>
        <v>0</v>
      </c>
      <c r="M653" s="215" t="s">
        <v>68</v>
      </c>
      <c r="N653" s="212" t="s">
        <v>68</v>
      </c>
      <c r="O653" s="212"/>
      <c r="P653" s="212" t="s">
        <v>1110</v>
      </c>
      <c r="Q653" s="212" t="s">
        <v>68</v>
      </c>
      <c r="R653" s="212" t="s">
        <v>2345</v>
      </c>
      <c r="S653" s="212"/>
      <c r="T653" s="212"/>
      <c r="U653" s="212"/>
      <c r="V653" s="212"/>
      <c r="W653" s="212"/>
      <c r="X653" s="212"/>
      <c r="Y653" s="212"/>
      <c r="Z653" s="212"/>
      <c r="AA653" s="212"/>
      <c r="AB653" s="212"/>
      <c r="AC653" s="212"/>
      <c r="AD653" s="212"/>
      <c r="AE653" s="212"/>
      <c r="AF653" s="212"/>
      <c r="AG653" s="212"/>
      <c r="AH653" s="212"/>
      <c r="AI653" s="212"/>
      <c r="AJ653" s="212"/>
      <c r="AK653" s="212"/>
      <c r="AL653" s="212"/>
      <c r="AM653" s="212"/>
      <c r="AN653" s="212"/>
      <c r="AO653" s="212"/>
      <c r="AP653" s="212"/>
      <c r="AQ653" s="212"/>
      <c r="AR653" s="212"/>
      <c r="AS653" s="212"/>
      <c r="AT653" s="212"/>
      <c r="AU653" s="212"/>
      <c r="AV653" s="212"/>
      <c r="AW653" s="212"/>
      <c r="AX653" s="212"/>
      <c r="AY653" s="212"/>
      <c r="AZ653" s="212"/>
      <c r="BA653" s="212"/>
      <c r="BB653" s="212"/>
      <c r="BC653" s="212"/>
      <c r="BD653" s="212"/>
      <c r="BE653" s="212"/>
      <c r="BF653" s="212"/>
      <c r="BG653" s="212"/>
      <c r="BH653" s="212"/>
      <c r="BI653" s="231" t="str">
        <f>HYPERLINK("#노임!A24","L001010101000051 →")</f>
        <v>L001010101000051 →</v>
      </c>
    </row>
    <row r="654" spans="1:61" ht="24" customHeight="1">
      <c r="A654" s="218" t="s">
        <v>1967</v>
      </c>
      <c r="B654" s="218" t="s">
        <v>1946</v>
      </c>
      <c r="C654" s="229">
        <v>0.67</v>
      </c>
      <c r="D654" s="213" t="s">
        <v>1286</v>
      </c>
      <c r="E654" s="217">
        <v>0</v>
      </c>
      <c r="F654" s="217"/>
      <c r="G654" s="217">
        <f>노임!D3</f>
        <v>0</v>
      </c>
      <c r="H654" s="217">
        <f>TRUNC(G654*C654,0)</f>
        <v>0</v>
      </c>
      <c r="I654" s="217">
        <v>0</v>
      </c>
      <c r="J654" s="217"/>
      <c r="K654" s="217">
        <f t="shared" si="78"/>
        <v>0</v>
      </c>
      <c r="L654" s="217">
        <f t="shared" si="77"/>
        <v>0</v>
      </c>
      <c r="M654" s="215" t="s">
        <v>68</v>
      </c>
      <c r="N654" s="212" t="s">
        <v>68</v>
      </c>
      <c r="O654" s="212"/>
      <c r="P654" s="212" t="s">
        <v>1111</v>
      </c>
      <c r="Q654" s="212" t="s">
        <v>68</v>
      </c>
      <c r="R654" s="212" t="s">
        <v>1968</v>
      </c>
      <c r="S654" s="212"/>
      <c r="T654" s="212"/>
      <c r="U654" s="212"/>
      <c r="V654" s="212"/>
      <c r="W654" s="212"/>
      <c r="X654" s="212"/>
      <c r="Y654" s="212"/>
      <c r="Z654" s="212"/>
      <c r="AA654" s="220" t="s">
        <v>1955</v>
      </c>
      <c r="AB654" s="212">
        <f>(호표!H649+호표!H650+호표!H653+호표!H654)*0.02</f>
        <v>0</v>
      </c>
      <c r="AC654" s="220" t="s">
        <v>1956</v>
      </c>
      <c r="AD654" s="212">
        <f>$AB654</f>
        <v>0</v>
      </c>
      <c r="AE654" s="212"/>
      <c r="AF654" s="212"/>
      <c r="AG654" s="212"/>
      <c r="AH654" s="212"/>
      <c r="AI654" s="212"/>
      <c r="AJ654" s="212"/>
      <c r="AK654" s="212"/>
      <c r="AL654" s="212"/>
      <c r="AM654" s="212"/>
      <c r="AN654" s="212"/>
      <c r="AO654" s="212"/>
      <c r="AP654" s="212"/>
      <c r="AQ654" s="212"/>
      <c r="AR654" s="212"/>
      <c r="AS654" s="212"/>
      <c r="AT654" s="212"/>
      <c r="AU654" s="212"/>
      <c r="AV654" s="212"/>
      <c r="AW654" s="212"/>
      <c r="AX654" s="212"/>
      <c r="AY654" s="212"/>
      <c r="AZ654" s="212"/>
      <c r="BA654" s="212"/>
      <c r="BB654" s="212"/>
      <c r="BC654" s="212"/>
      <c r="BD654" s="212"/>
      <c r="BE654" s="212"/>
      <c r="BF654" s="212"/>
      <c r="BG654" s="212"/>
      <c r="BH654" s="212"/>
      <c r="BI654" s="231" t="str">
        <f>HYPERLINK("#노임!A3","L001010101000002 →")</f>
        <v>L001010101000002 →</v>
      </c>
    </row>
    <row r="655" spans="1:61" ht="24" customHeight="1">
      <c r="A655" s="218" t="s">
        <v>1974</v>
      </c>
      <c r="B655" s="218" t="s">
        <v>1958</v>
      </c>
      <c r="C655" s="228">
        <v>2</v>
      </c>
      <c r="D655" s="213" t="s">
        <v>1950</v>
      </c>
      <c r="E655" s="213"/>
      <c r="F655" s="217">
        <v>0</v>
      </c>
      <c r="G655" s="213"/>
      <c r="H655" s="217">
        <v>0</v>
      </c>
      <c r="I655" s="213"/>
      <c r="J655" s="217">
        <f>TRUNC(((H649+H650+H653+H654)*0.02),0)</f>
        <v>0</v>
      </c>
      <c r="K655" s="217">
        <f t="shared" si="78"/>
        <v>0</v>
      </c>
      <c r="L655" s="217">
        <f t="shared" si="77"/>
        <v>0</v>
      </c>
      <c r="M655" s="215" t="s">
        <v>68</v>
      </c>
      <c r="N655" s="212" t="s">
        <v>68</v>
      </c>
      <c r="O655" s="212"/>
      <c r="P655" s="212" t="s">
        <v>1112</v>
      </c>
      <c r="Q655" s="212" t="s">
        <v>68</v>
      </c>
      <c r="R655" s="212" t="s">
        <v>1121</v>
      </c>
      <c r="S655" s="212"/>
      <c r="T655" s="212"/>
      <c r="U655" s="212"/>
      <c r="V655" s="212"/>
      <c r="W655" s="212"/>
      <c r="X655" s="212" t="s">
        <v>2351</v>
      </c>
      <c r="Y655" s="212"/>
      <c r="Z655" s="212"/>
      <c r="AA655" s="212"/>
      <c r="AB655" s="212"/>
      <c r="AC655" s="212"/>
      <c r="AD655" s="212"/>
      <c r="AE655" s="212"/>
      <c r="AF655" s="212"/>
      <c r="AG655" s="212"/>
      <c r="AH655" s="212"/>
      <c r="AI655" s="212"/>
      <c r="AJ655" s="212"/>
      <c r="AK655" s="212"/>
      <c r="AL655" s="212"/>
      <c r="AM655" s="212"/>
      <c r="AN655" s="212"/>
      <c r="AO655" s="212"/>
      <c r="AP655" s="212"/>
      <c r="AQ655" s="212"/>
      <c r="AR655" s="212"/>
      <c r="AS655" s="212"/>
      <c r="AT655" s="212"/>
      <c r="AU655" s="212"/>
      <c r="AV655" s="212"/>
      <c r="AW655" s="212"/>
      <c r="AX655" s="212"/>
      <c r="AY655" s="212"/>
      <c r="AZ655" s="212"/>
      <c r="BA655" s="212"/>
      <c r="BB655" s="212"/>
      <c r="BC655" s="212"/>
      <c r="BD655" s="212"/>
      <c r="BE655" s="212"/>
      <c r="BF655" s="212"/>
      <c r="BG655" s="212"/>
      <c r="BH655" s="212"/>
      <c r="BI655" s="212"/>
    </row>
    <row r="656" spans="1:61" ht="24" customHeight="1">
      <c r="A656" s="215"/>
      <c r="B656" s="215"/>
      <c r="C656" s="229"/>
      <c r="D656" s="213"/>
      <c r="E656" s="213"/>
      <c r="F656" s="213"/>
      <c r="G656" s="213"/>
      <c r="H656" s="213"/>
      <c r="I656" s="213"/>
      <c r="J656" s="213"/>
      <c r="K656" s="213"/>
      <c r="L656" s="213"/>
      <c r="M656" s="215"/>
      <c r="N656" s="212"/>
      <c r="O656" s="212"/>
      <c r="P656" s="212"/>
      <c r="Q656" s="212"/>
      <c r="R656" s="212"/>
      <c r="S656" s="212"/>
      <c r="T656" s="212"/>
      <c r="U656" s="212"/>
      <c r="V656" s="212"/>
      <c r="W656" s="212"/>
      <c r="X656" s="212"/>
      <c r="Y656" s="212"/>
      <c r="Z656" s="212"/>
      <c r="AA656" s="212"/>
      <c r="AB656" s="212"/>
      <c r="AC656" s="212"/>
      <c r="AD656" s="212"/>
      <c r="AE656" s="212"/>
      <c r="AF656" s="212"/>
      <c r="AG656" s="212"/>
      <c r="AH656" s="212"/>
      <c r="AI656" s="212"/>
      <c r="AJ656" s="212"/>
      <c r="AK656" s="212"/>
      <c r="AL656" s="212"/>
      <c r="AM656" s="212"/>
      <c r="AN656" s="212"/>
      <c r="AO656" s="212"/>
      <c r="AP656" s="212"/>
      <c r="AQ656" s="212"/>
      <c r="AR656" s="212"/>
      <c r="AS656" s="212"/>
      <c r="AT656" s="212"/>
      <c r="AU656" s="212"/>
      <c r="AV656" s="212"/>
      <c r="AW656" s="212"/>
      <c r="AX656" s="212"/>
      <c r="AY656" s="212"/>
      <c r="AZ656" s="212"/>
      <c r="BA656" s="212"/>
      <c r="BB656" s="212"/>
      <c r="BC656" s="212"/>
      <c r="BD656" s="212"/>
      <c r="BE656" s="212"/>
      <c r="BF656" s="212"/>
      <c r="BG656" s="212"/>
      <c r="BH656" s="212"/>
      <c r="BI656" s="212"/>
    </row>
    <row r="657" spans="1:61" ht="24" customHeight="1">
      <c r="A657" s="218" t="s">
        <v>2352</v>
      </c>
      <c r="B657" s="218" t="s">
        <v>1396</v>
      </c>
      <c r="C657" s="228">
        <v>1</v>
      </c>
      <c r="D657" s="213" t="s">
        <v>149</v>
      </c>
      <c r="E657" s="212"/>
      <c r="F657" s="217">
        <f>TRUNC(F658+F660+F661+F664+F665+F666,0)</f>
        <v>0</v>
      </c>
      <c r="G657" s="212"/>
      <c r="H657" s="217">
        <f>TRUNC(H658+H660+H661+H664+H665+H666,0)</f>
        <v>0</v>
      </c>
      <c r="I657" s="212"/>
      <c r="J657" s="217">
        <f>TRUNC(J658+J660+J661+J664+J665+J666,0)</f>
        <v>0</v>
      </c>
      <c r="K657" s="212"/>
      <c r="L657" s="217">
        <f t="shared" ref="L657:L666" si="79">F657+H657+J657</f>
        <v>0</v>
      </c>
      <c r="M657" s="215" t="s">
        <v>1838</v>
      </c>
      <c r="N657" s="212" t="s">
        <v>68</v>
      </c>
      <c r="O657" s="212" t="s">
        <v>1397</v>
      </c>
      <c r="P657" s="212"/>
      <c r="Q657" s="212"/>
      <c r="R657" s="212"/>
      <c r="S657" s="212"/>
      <c r="T657" s="212"/>
      <c r="U657" s="212"/>
      <c r="V657" s="212"/>
      <c r="W657" s="212"/>
      <c r="X657" s="212"/>
      <c r="Y657" s="212"/>
      <c r="Z657" s="212"/>
      <c r="AA657" s="212"/>
      <c r="AB657" s="212"/>
      <c r="AC657" s="212"/>
      <c r="AD657" s="212"/>
      <c r="AE657" s="212"/>
      <c r="AF657" s="212"/>
      <c r="AG657" s="212"/>
      <c r="AH657" s="212"/>
      <c r="AI657" s="212"/>
      <c r="AJ657" s="212"/>
      <c r="AK657" s="212"/>
      <c r="AL657" s="212"/>
      <c r="AM657" s="212"/>
      <c r="AN657" s="212"/>
      <c r="AO657" s="212"/>
      <c r="AP657" s="212"/>
      <c r="AQ657" s="212"/>
      <c r="AR657" s="212"/>
      <c r="AS657" s="212"/>
      <c r="AT657" s="212"/>
      <c r="AU657" s="212"/>
      <c r="AV657" s="212"/>
      <c r="AW657" s="212"/>
      <c r="AX657" s="212"/>
      <c r="AY657" s="212"/>
      <c r="AZ657" s="212"/>
      <c r="BA657" s="212"/>
      <c r="BB657" s="212"/>
      <c r="BC657" s="212"/>
      <c r="BD657" s="212"/>
      <c r="BE657" s="212"/>
      <c r="BF657" s="212"/>
      <c r="BG657" s="212"/>
      <c r="BH657" s="212"/>
      <c r="BI657" s="212"/>
    </row>
    <row r="658" spans="1:61" ht="24" customHeight="1">
      <c r="A658" s="218" t="s">
        <v>2353</v>
      </c>
      <c r="B658" s="218" t="s">
        <v>2354</v>
      </c>
      <c r="C658" s="228">
        <v>1</v>
      </c>
      <c r="D658" s="213" t="s">
        <v>149</v>
      </c>
      <c r="E658" s="217">
        <f>자재조서!E93</f>
        <v>0</v>
      </c>
      <c r="F658" s="217">
        <f>TRUNC(E658*C658,0)</f>
        <v>0</v>
      </c>
      <c r="G658" s="217">
        <v>0</v>
      </c>
      <c r="H658" s="217"/>
      <c r="I658" s="217">
        <v>0</v>
      </c>
      <c r="J658" s="217"/>
      <c r="K658" s="217">
        <f t="shared" ref="K658:K666" si="80">E658+G658+I658</f>
        <v>0</v>
      </c>
      <c r="L658" s="217">
        <f t="shared" si="79"/>
        <v>0</v>
      </c>
      <c r="M658" s="215" t="s">
        <v>68</v>
      </c>
      <c r="N658" s="212" t="s">
        <v>68</v>
      </c>
      <c r="O658" s="212"/>
      <c r="P658" s="212" t="s">
        <v>1095</v>
      </c>
      <c r="Q658" s="212" t="s">
        <v>68</v>
      </c>
      <c r="R658" s="212" t="s">
        <v>2355</v>
      </c>
      <c r="S658" s="212"/>
      <c r="T658" s="212"/>
      <c r="U658" s="212"/>
      <c r="V658" s="212"/>
      <c r="W658" s="212"/>
      <c r="X658" s="212"/>
      <c r="Y658" s="212"/>
      <c r="Z658" s="212"/>
      <c r="AA658" s="212"/>
      <c r="AB658" s="212"/>
      <c r="AC658" s="212"/>
      <c r="AD658" s="212"/>
      <c r="AE658" s="212"/>
      <c r="AF658" s="212"/>
      <c r="AG658" s="212"/>
      <c r="AH658" s="212"/>
      <c r="AI658" s="212"/>
      <c r="AJ658" s="212"/>
      <c r="AK658" s="212"/>
      <c r="AL658" s="212"/>
      <c r="AM658" s="212"/>
      <c r="AN658" s="212"/>
      <c r="AO658" s="212"/>
      <c r="AP658" s="212"/>
      <c r="AQ658" s="212"/>
      <c r="AR658" s="212"/>
      <c r="AS658" s="212"/>
      <c r="AT658" s="212"/>
      <c r="AU658" s="212"/>
      <c r="AV658" s="212"/>
      <c r="AW658" s="212"/>
      <c r="AX658" s="212"/>
      <c r="AY658" s="212"/>
      <c r="AZ658" s="212"/>
      <c r="BA658" s="212"/>
      <c r="BB658" s="212"/>
      <c r="BC658" s="212"/>
      <c r="BD658" s="212"/>
      <c r="BE658" s="212"/>
      <c r="BF658" s="212"/>
      <c r="BG658" s="212"/>
      <c r="BH658" s="212"/>
      <c r="BI658" s="231" t="str">
        <f>HYPERLINK("#자재조서!A93","MZZ9000032 →")</f>
        <v>MZZ9000032 →</v>
      </c>
    </row>
    <row r="659" spans="1:61" ht="24" customHeight="1">
      <c r="A659" s="218" t="s">
        <v>2343</v>
      </c>
      <c r="B659" s="218" t="s">
        <v>68</v>
      </c>
      <c r="C659" s="229"/>
      <c r="D659" s="213" t="s">
        <v>68</v>
      </c>
      <c r="E659" s="213"/>
      <c r="F659" s="217">
        <v>0</v>
      </c>
      <c r="G659" s="213"/>
      <c r="H659" s="217">
        <v>0</v>
      </c>
      <c r="I659" s="213"/>
      <c r="J659" s="217">
        <v>0</v>
      </c>
      <c r="K659" s="217">
        <f t="shared" si="80"/>
        <v>0</v>
      </c>
      <c r="L659" s="217">
        <f t="shared" si="79"/>
        <v>0</v>
      </c>
      <c r="M659" s="215" t="s">
        <v>68</v>
      </c>
      <c r="N659" s="212" t="s">
        <v>68</v>
      </c>
      <c r="O659" s="212"/>
      <c r="P659" s="212" t="s">
        <v>1098</v>
      </c>
      <c r="Q659" s="212" t="s">
        <v>68</v>
      </c>
      <c r="R659" s="212" t="s">
        <v>68</v>
      </c>
      <c r="S659" s="212"/>
      <c r="T659" s="212"/>
      <c r="U659" s="212"/>
      <c r="V659" s="212"/>
      <c r="W659" s="212"/>
      <c r="X659" s="212"/>
      <c r="Y659" s="212"/>
      <c r="Z659" s="212"/>
      <c r="AA659" s="212"/>
      <c r="AB659" s="212"/>
      <c r="AC659" s="212"/>
      <c r="AD659" s="212"/>
      <c r="AE659" s="212"/>
      <c r="AF659" s="212"/>
      <c r="AG659" s="212"/>
      <c r="AH659" s="212"/>
      <c r="AI659" s="212"/>
      <c r="AJ659" s="212"/>
      <c r="AK659" s="212"/>
      <c r="AL659" s="212"/>
      <c r="AM659" s="212"/>
      <c r="AN659" s="212"/>
      <c r="AO659" s="212"/>
      <c r="AP659" s="212"/>
      <c r="AQ659" s="212"/>
      <c r="AR659" s="212"/>
      <c r="AS659" s="212"/>
      <c r="AT659" s="212"/>
      <c r="AU659" s="212"/>
      <c r="AV659" s="212"/>
      <c r="AW659" s="212"/>
      <c r="AX659" s="212"/>
      <c r="AY659" s="212"/>
      <c r="AZ659" s="212"/>
      <c r="BA659" s="212"/>
      <c r="BB659" s="212"/>
      <c r="BC659" s="212"/>
      <c r="BD659" s="212"/>
      <c r="BE659" s="212"/>
      <c r="BF659" s="212"/>
      <c r="BG659" s="212"/>
      <c r="BH659" s="212"/>
      <c r="BI659" s="212"/>
    </row>
    <row r="660" spans="1:61" ht="24" customHeight="1">
      <c r="A660" s="218" t="s">
        <v>2344</v>
      </c>
      <c r="B660" s="218" t="s">
        <v>1946</v>
      </c>
      <c r="C660" s="229">
        <v>0.45</v>
      </c>
      <c r="D660" s="213" t="s">
        <v>1286</v>
      </c>
      <c r="E660" s="217">
        <v>0</v>
      </c>
      <c r="F660" s="217"/>
      <c r="G660" s="217">
        <f>노임!D24</f>
        <v>0</v>
      </c>
      <c r="H660" s="217">
        <f>TRUNC(G660*C660,0)</f>
        <v>0</v>
      </c>
      <c r="I660" s="217">
        <v>0</v>
      </c>
      <c r="J660" s="217"/>
      <c r="K660" s="217">
        <f t="shared" si="80"/>
        <v>0</v>
      </c>
      <c r="L660" s="217">
        <f t="shared" si="79"/>
        <v>0</v>
      </c>
      <c r="M660" s="215" t="s">
        <v>68</v>
      </c>
      <c r="N660" s="212" t="s">
        <v>68</v>
      </c>
      <c r="O660" s="212"/>
      <c r="P660" s="212" t="s">
        <v>1101</v>
      </c>
      <c r="Q660" s="212" t="s">
        <v>68</v>
      </c>
      <c r="R660" s="212" t="s">
        <v>2345</v>
      </c>
      <c r="S660" s="212"/>
      <c r="T660" s="212"/>
      <c r="U660" s="212"/>
      <c r="V660" s="212"/>
      <c r="W660" s="212"/>
      <c r="X660" s="212"/>
      <c r="Y660" s="212"/>
      <c r="Z660" s="212"/>
      <c r="AA660" s="212"/>
      <c r="AB660" s="212"/>
      <c r="AC660" s="212"/>
      <c r="AD660" s="212"/>
      <c r="AE660" s="212"/>
      <c r="AF660" s="212"/>
      <c r="AG660" s="212"/>
      <c r="AH660" s="212"/>
      <c r="AI660" s="212"/>
      <c r="AJ660" s="212"/>
      <c r="AK660" s="212"/>
      <c r="AL660" s="212"/>
      <c r="AM660" s="212"/>
      <c r="AN660" s="212"/>
      <c r="AO660" s="212"/>
      <c r="AP660" s="212"/>
      <c r="AQ660" s="212"/>
      <c r="AR660" s="212"/>
      <c r="AS660" s="212"/>
      <c r="AT660" s="212"/>
      <c r="AU660" s="212"/>
      <c r="AV660" s="212"/>
      <c r="AW660" s="212"/>
      <c r="AX660" s="212"/>
      <c r="AY660" s="212"/>
      <c r="AZ660" s="212"/>
      <c r="BA660" s="212"/>
      <c r="BB660" s="212"/>
      <c r="BC660" s="212"/>
      <c r="BD660" s="212"/>
      <c r="BE660" s="212"/>
      <c r="BF660" s="212"/>
      <c r="BG660" s="212"/>
      <c r="BH660" s="212"/>
      <c r="BI660" s="231" t="str">
        <f>HYPERLINK("#노임!A24","L001010101000051 →")</f>
        <v>L001010101000051 →</v>
      </c>
    </row>
    <row r="661" spans="1:61" ht="24" customHeight="1">
      <c r="A661" s="218" t="s">
        <v>1967</v>
      </c>
      <c r="B661" s="218" t="s">
        <v>1946</v>
      </c>
      <c r="C661" s="229">
        <v>0.22</v>
      </c>
      <c r="D661" s="213" t="s">
        <v>1286</v>
      </c>
      <c r="E661" s="217">
        <v>0</v>
      </c>
      <c r="F661" s="217"/>
      <c r="G661" s="217">
        <f>노임!D3</f>
        <v>0</v>
      </c>
      <c r="H661" s="217">
        <f>TRUNC(G661*C661,0)</f>
        <v>0</v>
      </c>
      <c r="I661" s="217">
        <v>0</v>
      </c>
      <c r="J661" s="217"/>
      <c r="K661" s="217">
        <f t="shared" si="80"/>
        <v>0</v>
      </c>
      <c r="L661" s="217">
        <f t="shared" si="79"/>
        <v>0</v>
      </c>
      <c r="M661" s="215" t="s">
        <v>68</v>
      </c>
      <c r="N661" s="212" t="s">
        <v>68</v>
      </c>
      <c r="O661" s="212"/>
      <c r="P661" s="212" t="s">
        <v>1104</v>
      </c>
      <c r="Q661" s="212" t="s">
        <v>68</v>
      </c>
      <c r="R661" s="212" t="s">
        <v>1968</v>
      </c>
      <c r="S661" s="212"/>
      <c r="T661" s="212"/>
      <c r="U661" s="212"/>
      <c r="V661" s="212"/>
      <c r="W661" s="212"/>
      <c r="X661" s="212"/>
      <c r="Y661" s="212"/>
      <c r="Z661" s="212"/>
      <c r="AA661" s="212"/>
      <c r="AB661" s="212"/>
      <c r="AC661" s="212"/>
      <c r="AD661" s="212"/>
      <c r="AE661" s="212"/>
      <c r="AF661" s="212"/>
      <c r="AG661" s="212"/>
      <c r="AH661" s="212"/>
      <c r="AI661" s="212"/>
      <c r="AJ661" s="212"/>
      <c r="AK661" s="212"/>
      <c r="AL661" s="212"/>
      <c r="AM661" s="212"/>
      <c r="AN661" s="212"/>
      <c r="AO661" s="212"/>
      <c r="AP661" s="212"/>
      <c r="AQ661" s="212"/>
      <c r="AR661" s="212"/>
      <c r="AS661" s="212"/>
      <c r="AT661" s="212"/>
      <c r="AU661" s="212"/>
      <c r="AV661" s="212"/>
      <c r="AW661" s="212"/>
      <c r="AX661" s="212"/>
      <c r="AY661" s="212"/>
      <c r="AZ661" s="212"/>
      <c r="BA661" s="212"/>
      <c r="BB661" s="212"/>
      <c r="BC661" s="212"/>
      <c r="BD661" s="212"/>
      <c r="BE661" s="212"/>
      <c r="BF661" s="212"/>
      <c r="BG661" s="212"/>
      <c r="BH661" s="212"/>
      <c r="BI661" s="231" t="str">
        <f>HYPERLINK("#노임!A3","L001010101000002 →")</f>
        <v>L001010101000002 →</v>
      </c>
    </row>
    <row r="662" spans="1:61" ht="24" customHeight="1">
      <c r="A662" s="218" t="s">
        <v>68</v>
      </c>
      <c r="B662" s="218" t="s">
        <v>68</v>
      </c>
      <c r="C662" s="229"/>
      <c r="D662" s="213" t="s">
        <v>68</v>
      </c>
      <c r="E662" s="213"/>
      <c r="F662" s="217">
        <v>0</v>
      </c>
      <c r="G662" s="213"/>
      <c r="H662" s="217">
        <v>0</v>
      </c>
      <c r="I662" s="213"/>
      <c r="J662" s="217">
        <v>0</v>
      </c>
      <c r="K662" s="217">
        <f t="shared" si="80"/>
        <v>0</v>
      </c>
      <c r="L662" s="217">
        <f t="shared" si="79"/>
        <v>0</v>
      </c>
      <c r="M662" s="215" t="s">
        <v>68</v>
      </c>
      <c r="N662" s="212" t="s">
        <v>68</v>
      </c>
      <c r="O662" s="212"/>
      <c r="P662" s="212" t="s">
        <v>1107</v>
      </c>
      <c r="Q662" s="212" t="s">
        <v>68</v>
      </c>
      <c r="R662" s="212" t="s">
        <v>68</v>
      </c>
      <c r="S662" s="212"/>
      <c r="T662" s="212"/>
      <c r="U662" s="212"/>
      <c r="V662" s="212"/>
      <c r="W662" s="212"/>
      <c r="X662" s="212"/>
      <c r="Y662" s="212"/>
      <c r="Z662" s="212"/>
      <c r="AA662" s="212"/>
      <c r="AB662" s="212"/>
      <c r="AC662" s="212"/>
      <c r="AD662" s="212"/>
      <c r="AE662" s="212"/>
      <c r="AF662" s="212"/>
      <c r="AG662" s="212"/>
      <c r="AH662" s="212"/>
      <c r="AI662" s="212"/>
      <c r="AJ662" s="212"/>
      <c r="AK662" s="212"/>
      <c r="AL662" s="212"/>
      <c r="AM662" s="212"/>
      <c r="AN662" s="212"/>
      <c r="AO662" s="212"/>
      <c r="AP662" s="212"/>
      <c r="AQ662" s="212"/>
      <c r="AR662" s="212"/>
      <c r="AS662" s="212"/>
      <c r="AT662" s="212"/>
      <c r="AU662" s="212"/>
      <c r="AV662" s="212"/>
      <c r="AW662" s="212"/>
      <c r="AX662" s="212"/>
      <c r="AY662" s="212"/>
      <c r="AZ662" s="212"/>
      <c r="BA662" s="212"/>
      <c r="BB662" s="212"/>
      <c r="BC662" s="212"/>
      <c r="BD662" s="212"/>
      <c r="BE662" s="212"/>
      <c r="BF662" s="212"/>
      <c r="BG662" s="212"/>
      <c r="BH662" s="212"/>
      <c r="BI662" s="212"/>
    </row>
    <row r="663" spans="1:61" ht="24" customHeight="1">
      <c r="A663" s="218" t="s">
        <v>2346</v>
      </c>
      <c r="B663" s="218" t="s">
        <v>68</v>
      </c>
      <c r="C663" s="229"/>
      <c r="D663" s="213" t="s">
        <v>68</v>
      </c>
      <c r="E663" s="213"/>
      <c r="F663" s="217">
        <v>0</v>
      </c>
      <c r="G663" s="213"/>
      <c r="H663" s="217">
        <v>0</v>
      </c>
      <c r="I663" s="213"/>
      <c r="J663" s="217">
        <v>0</v>
      </c>
      <c r="K663" s="217">
        <f t="shared" si="80"/>
        <v>0</v>
      </c>
      <c r="L663" s="217">
        <f t="shared" si="79"/>
        <v>0</v>
      </c>
      <c r="M663" s="215" t="s">
        <v>68</v>
      </c>
      <c r="N663" s="212" t="s">
        <v>68</v>
      </c>
      <c r="O663" s="212"/>
      <c r="P663" s="212" t="s">
        <v>1108</v>
      </c>
      <c r="Q663" s="212" t="s">
        <v>68</v>
      </c>
      <c r="R663" s="212" t="s">
        <v>68</v>
      </c>
      <c r="S663" s="212"/>
      <c r="T663" s="212"/>
      <c r="U663" s="212"/>
      <c r="V663" s="212"/>
      <c r="W663" s="212"/>
      <c r="X663" s="212"/>
      <c r="Y663" s="212"/>
      <c r="Z663" s="212"/>
      <c r="AA663" s="212"/>
      <c r="AB663" s="212"/>
      <c r="AC663" s="212"/>
      <c r="AD663" s="212"/>
      <c r="AE663" s="212"/>
      <c r="AF663" s="212"/>
      <c r="AG663" s="212"/>
      <c r="AH663" s="212"/>
      <c r="AI663" s="212"/>
      <c r="AJ663" s="212"/>
      <c r="AK663" s="212"/>
      <c r="AL663" s="212"/>
      <c r="AM663" s="212"/>
      <c r="AN663" s="212"/>
      <c r="AO663" s="212"/>
      <c r="AP663" s="212"/>
      <c r="AQ663" s="212"/>
      <c r="AR663" s="212"/>
      <c r="AS663" s="212"/>
      <c r="AT663" s="212"/>
      <c r="AU663" s="212"/>
      <c r="AV663" s="212"/>
      <c r="AW663" s="212"/>
      <c r="AX663" s="212"/>
      <c r="AY663" s="212"/>
      <c r="AZ663" s="212"/>
      <c r="BA663" s="212"/>
      <c r="BB663" s="212"/>
      <c r="BC663" s="212"/>
      <c r="BD663" s="212"/>
      <c r="BE663" s="212"/>
      <c r="BF663" s="212"/>
      <c r="BG663" s="212"/>
      <c r="BH663" s="212"/>
      <c r="BI663" s="212"/>
    </row>
    <row r="664" spans="1:61" ht="24" customHeight="1">
      <c r="A664" s="218" t="s">
        <v>2344</v>
      </c>
      <c r="B664" s="218" t="s">
        <v>1946</v>
      </c>
      <c r="C664" s="229">
        <v>1.33</v>
      </c>
      <c r="D664" s="213" t="s">
        <v>1286</v>
      </c>
      <c r="E664" s="217">
        <v>0</v>
      </c>
      <c r="F664" s="217"/>
      <c r="G664" s="217">
        <f>노임!D24</f>
        <v>0</v>
      </c>
      <c r="H664" s="217">
        <f>TRUNC(G664*C664,0)</f>
        <v>0</v>
      </c>
      <c r="I664" s="217">
        <v>0</v>
      </c>
      <c r="J664" s="217"/>
      <c r="K664" s="217">
        <f t="shared" si="80"/>
        <v>0</v>
      </c>
      <c r="L664" s="217">
        <f t="shared" si="79"/>
        <v>0</v>
      </c>
      <c r="M664" s="215" t="s">
        <v>68</v>
      </c>
      <c r="N664" s="212" t="s">
        <v>68</v>
      </c>
      <c r="O664" s="212"/>
      <c r="P664" s="212" t="s">
        <v>1109</v>
      </c>
      <c r="Q664" s="212" t="s">
        <v>68</v>
      </c>
      <c r="R664" s="212" t="s">
        <v>2345</v>
      </c>
      <c r="S664" s="212"/>
      <c r="T664" s="212"/>
      <c r="U664" s="212"/>
      <c r="V664" s="212"/>
      <c r="W664" s="212"/>
      <c r="X664" s="212"/>
      <c r="Y664" s="212"/>
      <c r="Z664" s="212"/>
      <c r="AA664" s="212"/>
      <c r="AB664" s="212"/>
      <c r="AC664" s="212"/>
      <c r="AD664" s="212"/>
      <c r="AE664" s="212"/>
      <c r="AF664" s="212"/>
      <c r="AG664" s="212"/>
      <c r="AH664" s="212"/>
      <c r="AI664" s="212"/>
      <c r="AJ664" s="212"/>
      <c r="AK664" s="212"/>
      <c r="AL664" s="212"/>
      <c r="AM664" s="212"/>
      <c r="AN664" s="212"/>
      <c r="AO664" s="212"/>
      <c r="AP664" s="212"/>
      <c r="AQ664" s="212"/>
      <c r="AR664" s="212"/>
      <c r="AS664" s="212"/>
      <c r="AT664" s="212"/>
      <c r="AU664" s="212"/>
      <c r="AV664" s="212"/>
      <c r="AW664" s="212"/>
      <c r="AX664" s="212"/>
      <c r="AY664" s="212"/>
      <c r="AZ664" s="212"/>
      <c r="BA664" s="212"/>
      <c r="BB664" s="212"/>
      <c r="BC664" s="212"/>
      <c r="BD664" s="212"/>
      <c r="BE664" s="212"/>
      <c r="BF664" s="212"/>
      <c r="BG664" s="212"/>
      <c r="BH664" s="212"/>
      <c r="BI664" s="231" t="str">
        <f>HYPERLINK("#노임!A24","L001010101000051 →")</f>
        <v>L001010101000051 →</v>
      </c>
    </row>
    <row r="665" spans="1:61" ht="24" customHeight="1">
      <c r="A665" s="218" t="s">
        <v>1967</v>
      </c>
      <c r="B665" s="218" t="s">
        <v>1946</v>
      </c>
      <c r="C665" s="229">
        <v>0.67</v>
      </c>
      <c r="D665" s="213" t="s">
        <v>1286</v>
      </c>
      <c r="E665" s="217">
        <v>0</v>
      </c>
      <c r="F665" s="217"/>
      <c r="G665" s="217">
        <f>노임!D3</f>
        <v>0</v>
      </c>
      <c r="H665" s="217">
        <f>TRUNC(G665*C665,0)</f>
        <v>0</v>
      </c>
      <c r="I665" s="217">
        <v>0</v>
      </c>
      <c r="J665" s="217"/>
      <c r="K665" s="217">
        <f t="shared" si="80"/>
        <v>0</v>
      </c>
      <c r="L665" s="217">
        <f t="shared" si="79"/>
        <v>0</v>
      </c>
      <c r="M665" s="215" t="s">
        <v>68</v>
      </c>
      <c r="N665" s="212" t="s">
        <v>68</v>
      </c>
      <c r="O665" s="212"/>
      <c r="P665" s="212" t="s">
        <v>1110</v>
      </c>
      <c r="Q665" s="212" t="s">
        <v>68</v>
      </c>
      <c r="R665" s="212" t="s">
        <v>1968</v>
      </c>
      <c r="S665" s="212"/>
      <c r="T665" s="212"/>
      <c r="U665" s="212"/>
      <c r="V665" s="212"/>
      <c r="W665" s="212"/>
      <c r="X665" s="212"/>
      <c r="Y665" s="212"/>
      <c r="Z665" s="212"/>
      <c r="AA665" s="220" t="s">
        <v>1955</v>
      </c>
      <c r="AB665" s="212">
        <f>(호표!H660+호표!H661+호표!H664+호표!H665)*0.02</f>
        <v>0</v>
      </c>
      <c r="AC665" s="220" t="s">
        <v>1956</v>
      </c>
      <c r="AD665" s="212">
        <f>$AB665</f>
        <v>0</v>
      </c>
      <c r="AE665" s="212"/>
      <c r="AF665" s="212"/>
      <c r="AG665" s="212"/>
      <c r="AH665" s="212"/>
      <c r="AI665" s="212"/>
      <c r="AJ665" s="212"/>
      <c r="AK665" s="212"/>
      <c r="AL665" s="212"/>
      <c r="AM665" s="212"/>
      <c r="AN665" s="212"/>
      <c r="AO665" s="212"/>
      <c r="AP665" s="212"/>
      <c r="AQ665" s="212"/>
      <c r="AR665" s="212"/>
      <c r="AS665" s="212"/>
      <c r="AT665" s="212"/>
      <c r="AU665" s="212"/>
      <c r="AV665" s="212"/>
      <c r="AW665" s="212"/>
      <c r="AX665" s="212"/>
      <c r="AY665" s="212"/>
      <c r="AZ665" s="212"/>
      <c r="BA665" s="212"/>
      <c r="BB665" s="212"/>
      <c r="BC665" s="212"/>
      <c r="BD665" s="212"/>
      <c r="BE665" s="212"/>
      <c r="BF665" s="212"/>
      <c r="BG665" s="212"/>
      <c r="BH665" s="212"/>
      <c r="BI665" s="231" t="str">
        <f>HYPERLINK("#노임!A3","L001010101000002 →")</f>
        <v>L001010101000002 →</v>
      </c>
    </row>
    <row r="666" spans="1:61" ht="24" customHeight="1">
      <c r="A666" s="218" t="s">
        <v>1974</v>
      </c>
      <c r="B666" s="218" t="s">
        <v>1958</v>
      </c>
      <c r="C666" s="228">
        <v>2</v>
      </c>
      <c r="D666" s="213" t="s">
        <v>1950</v>
      </c>
      <c r="E666" s="213"/>
      <c r="F666" s="217">
        <v>0</v>
      </c>
      <c r="G666" s="213"/>
      <c r="H666" s="217">
        <v>0</v>
      </c>
      <c r="I666" s="213"/>
      <c r="J666" s="217">
        <f>TRUNC(((H660+H661+H664+H665)*0.02),0)</f>
        <v>0</v>
      </c>
      <c r="K666" s="217">
        <f t="shared" si="80"/>
        <v>0</v>
      </c>
      <c r="L666" s="217">
        <f t="shared" si="79"/>
        <v>0</v>
      </c>
      <c r="M666" s="215" t="s">
        <v>68</v>
      </c>
      <c r="N666" s="212" t="s">
        <v>68</v>
      </c>
      <c r="O666" s="212"/>
      <c r="P666" s="212" t="s">
        <v>1111</v>
      </c>
      <c r="Q666" s="212" t="s">
        <v>68</v>
      </c>
      <c r="R666" s="212" t="s">
        <v>1121</v>
      </c>
      <c r="S666" s="212"/>
      <c r="T666" s="212"/>
      <c r="U666" s="212"/>
      <c r="V666" s="212"/>
      <c r="W666" s="212"/>
      <c r="X666" s="212" t="s">
        <v>2356</v>
      </c>
      <c r="Y666" s="212"/>
      <c r="Z666" s="212"/>
      <c r="AA666" s="212"/>
      <c r="AB666" s="212"/>
      <c r="AC666" s="212"/>
      <c r="AD666" s="212"/>
      <c r="AE666" s="212"/>
      <c r="AF666" s="212"/>
      <c r="AG666" s="212"/>
      <c r="AH666" s="212"/>
      <c r="AI666" s="212"/>
      <c r="AJ666" s="212"/>
      <c r="AK666" s="212"/>
      <c r="AL666" s="212"/>
      <c r="AM666" s="212"/>
      <c r="AN666" s="212"/>
      <c r="AO666" s="212"/>
      <c r="AP666" s="212"/>
      <c r="AQ666" s="212"/>
      <c r="AR666" s="212"/>
      <c r="AS666" s="212"/>
      <c r="AT666" s="212"/>
      <c r="AU666" s="212"/>
      <c r="AV666" s="212"/>
      <c r="AW666" s="212"/>
      <c r="AX666" s="212"/>
      <c r="AY666" s="212"/>
      <c r="AZ666" s="212"/>
      <c r="BA666" s="212"/>
      <c r="BB666" s="212"/>
      <c r="BC666" s="212"/>
      <c r="BD666" s="212"/>
      <c r="BE666" s="212"/>
      <c r="BF666" s="212"/>
      <c r="BG666" s="212"/>
      <c r="BH666" s="212"/>
      <c r="BI666" s="212"/>
    </row>
    <row r="667" spans="1:61" ht="24" customHeight="1">
      <c r="A667" s="215"/>
      <c r="B667" s="215"/>
      <c r="C667" s="229"/>
      <c r="D667" s="213"/>
      <c r="E667" s="213"/>
      <c r="F667" s="213"/>
      <c r="G667" s="213"/>
      <c r="H667" s="213"/>
      <c r="I667" s="213"/>
      <c r="J667" s="213"/>
      <c r="K667" s="213"/>
      <c r="L667" s="213"/>
      <c r="M667" s="215"/>
      <c r="N667" s="212"/>
      <c r="O667" s="212"/>
      <c r="P667" s="212"/>
      <c r="Q667" s="212"/>
      <c r="R667" s="212"/>
      <c r="S667" s="212"/>
      <c r="T667" s="212"/>
      <c r="U667" s="212"/>
      <c r="V667" s="212"/>
      <c r="W667" s="212"/>
      <c r="X667" s="212"/>
      <c r="Y667" s="212"/>
      <c r="Z667" s="212"/>
      <c r="AA667" s="212"/>
      <c r="AB667" s="212"/>
      <c r="AC667" s="212"/>
      <c r="AD667" s="212"/>
      <c r="AE667" s="212"/>
      <c r="AF667" s="212"/>
      <c r="AG667" s="212"/>
      <c r="AH667" s="212"/>
      <c r="AI667" s="212"/>
      <c r="AJ667" s="212"/>
      <c r="AK667" s="212"/>
      <c r="AL667" s="212"/>
      <c r="AM667" s="212"/>
      <c r="AN667" s="212"/>
      <c r="AO667" s="212"/>
      <c r="AP667" s="212"/>
      <c r="AQ667" s="212"/>
      <c r="AR667" s="212"/>
      <c r="AS667" s="212"/>
      <c r="AT667" s="212"/>
      <c r="AU667" s="212"/>
      <c r="AV667" s="212"/>
      <c r="AW667" s="212"/>
      <c r="AX667" s="212"/>
      <c r="AY667" s="212"/>
      <c r="AZ667" s="212"/>
      <c r="BA667" s="212"/>
      <c r="BB667" s="212"/>
      <c r="BC667" s="212"/>
      <c r="BD667" s="212"/>
      <c r="BE667" s="212"/>
      <c r="BF667" s="212"/>
      <c r="BG667" s="212"/>
      <c r="BH667" s="212"/>
      <c r="BI667" s="212"/>
    </row>
    <row r="668" spans="1:61" ht="24" customHeight="1">
      <c r="A668" s="218" t="s">
        <v>2357</v>
      </c>
      <c r="B668" s="218" t="s">
        <v>1408</v>
      </c>
      <c r="C668" s="228">
        <v>1</v>
      </c>
      <c r="D668" s="213" t="s">
        <v>378</v>
      </c>
      <c r="E668" s="212"/>
      <c r="F668" s="217">
        <f>TRUNC(F669+F670,0)</f>
        <v>0</v>
      </c>
      <c r="G668" s="212"/>
      <c r="H668" s="217">
        <f>TRUNC(H669+H670,0)</f>
        <v>0</v>
      </c>
      <c r="I668" s="212"/>
      <c r="J668" s="217">
        <f>TRUNC(J669+J670,0)</f>
        <v>0</v>
      </c>
      <c r="K668" s="212"/>
      <c r="L668" s="217">
        <f>F668+H668+J668</f>
        <v>0</v>
      </c>
      <c r="M668" s="215" t="s">
        <v>1842</v>
      </c>
      <c r="N668" s="212" t="s">
        <v>68</v>
      </c>
      <c r="O668" s="212" t="s">
        <v>1409</v>
      </c>
      <c r="P668" s="212"/>
      <c r="Q668" s="212"/>
      <c r="R668" s="212"/>
      <c r="S668" s="212"/>
      <c r="T668" s="212"/>
      <c r="U668" s="212"/>
      <c r="V668" s="212"/>
      <c r="W668" s="212"/>
      <c r="X668" s="212"/>
      <c r="Y668" s="212"/>
      <c r="Z668" s="212"/>
      <c r="AA668" s="212"/>
      <c r="AB668" s="212"/>
      <c r="AC668" s="212"/>
      <c r="AD668" s="212"/>
      <c r="AE668" s="212"/>
      <c r="AF668" s="212"/>
      <c r="AG668" s="212"/>
      <c r="AH668" s="212"/>
      <c r="AI668" s="212"/>
      <c r="AJ668" s="212"/>
      <c r="AK668" s="212"/>
      <c r="AL668" s="212"/>
      <c r="AM668" s="212"/>
      <c r="AN668" s="212"/>
      <c r="AO668" s="212"/>
      <c r="AP668" s="212"/>
      <c r="AQ668" s="212"/>
      <c r="AR668" s="212"/>
      <c r="AS668" s="212"/>
      <c r="AT668" s="212"/>
      <c r="AU668" s="212"/>
      <c r="AV668" s="212"/>
      <c r="AW668" s="212"/>
      <c r="AX668" s="212"/>
      <c r="AY668" s="212"/>
      <c r="AZ668" s="212"/>
      <c r="BA668" s="212"/>
      <c r="BB668" s="212"/>
      <c r="BC668" s="212"/>
      <c r="BD668" s="212"/>
      <c r="BE668" s="212"/>
      <c r="BF668" s="212"/>
      <c r="BG668" s="212"/>
      <c r="BH668" s="212"/>
      <c r="BI668" s="212"/>
    </row>
    <row r="669" spans="1:61" ht="24" customHeight="1">
      <c r="A669" s="218" t="s">
        <v>1963</v>
      </c>
      <c r="B669" s="218" t="s">
        <v>1946</v>
      </c>
      <c r="C669" s="229">
        <v>0.03</v>
      </c>
      <c r="D669" s="213" t="s">
        <v>1286</v>
      </c>
      <c r="E669" s="217">
        <v>0</v>
      </c>
      <c r="F669" s="217"/>
      <c r="G669" s="217">
        <f>노임!D8</f>
        <v>0</v>
      </c>
      <c r="H669" s="217">
        <f>TRUNC(G669*C669,0)</f>
        <v>0</v>
      </c>
      <c r="I669" s="217">
        <v>0</v>
      </c>
      <c r="J669" s="217"/>
      <c r="K669" s="217">
        <f>E669+G669+I669</f>
        <v>0</v>
      </c>
      <c r="L669" s="217">
        <f>F669+H669+J669</f>
        <v>0</v>
      </c>
      <c r="M669" s="215" t="s">
        <v>68</v>
      </c>
      <c r="N669" s="212" t="s">
        <v>68</v>
      </c>
      <c r="O669" s="212"/>
      <c r="P669" s="212" t="s">
        <v>1095</v>
      </c>
      <c r="Q669" s="212" t="s">
        <v>68</v>
      </c>
      <c r="R669" s="212" t="s">
        <v>1964</v>
      </c>
      <c r="S669" s="212"/>
      <c r="T669" s="212"/>
      <c r="U669" s="212"/>
      <c r="V669" s="212"/>
      <c r="W669" s="212"/>
      <c r="X669" s="212"/>
      <c r="Y669" s="212"/>
      <c r="Z669" s="212"/>
      <c r="AA669" s="220" t="s">
        <v>1955</v>
      </c>
      <c r="AB669" s="212">
        <f>호표!H669*0.02</f>
        <v>0</v>
      </c>
      <c r="AC669" s="220" t="s">
        <v>1956</v>
      </c>
      <c r="AD669" s="212">
        <f>$AB669</f>
        <v>0</v>
      </c>
      <c r="AE669" s="212"/>
      <c r="AF669" s="212"/>
      <c r="AG669" s="212"/>
      <c r="AH669" s="212"/>
      <c r="AI669" s="212"/>
      <c r="AJ669" s="212"/>
      <c r="AK669" s="212"/>
      <c r="AL669" s="212"/>
      <c r="AM669" s="212"/>
      <c r="AN669" s="212"/>
      <c r="AO669" s="212"/>
      <c r="AP669" s="212"/>
      <c r="AQ669" s="212"/>
      <c r="AR669" s="212"/>
      <c r="AS669" s="212"/>
      <c r="AT669" s="212"/>
      <c r="AU669" s="212"/>
      <c r="AV669" s="212"/>
      <c r="AW669" s="212"/>
      <c r="AX669" s="212"/>
      <c r="AY669" s="212"/>
      <c r="AZ669" s="212"/>
      <c r="BA669" s="212"/>
      <c r="BB669" s="212"/>
      <c r="BC669" s="212"/>
      <c r="BD669" s="212"/>
      <c r="BE669" s="212"/>
      <c r="BF669" s="212"/>
      <c r="BG669" s="212"/>
      <c r="BH669" s="212"/>
      <c r="BI669" s="231" t="str">
        <f>HYPERLINK("#노임!A8","L001010101000012 →")</f>
        <v>L001010101000012 →</v>
      </c>
    </row>
    <row r="670" spans="1:61" ht="24" customHeight="1">
      <c r="A670" s="218" t="s">
        <v>1974</v>
      </c>
      <c r="B670" s="218" t="s">
        <v>1949</v>
      </c>
      <c r="C670" s="228">
        <v>3</v>
      </c>
      <c r="D670" s="213" t="s">
        <v>1950</v>
      </c>
      <c r="E670" s="213"/>
      <c r="F670" s="217">
        <v>0</v>
      </c>
      <c r="G670" s="213"/>
      <c r="H670" s="217">
        <v>0</v>
      </c>
      <c r="I670" s="213"/>
      <c r="J670" s="217">
        <f>TRUNC((H669*0.02),0)</f>
        <v>0</v>
      </c>
      <c r="K670" s="217">
        <f>E670+G670+I670</f>
        <v>0</v>
      </c>
      <c r="L670" s="217">
        <f>F670+H670+J670</f>
        <v>0</v>
      </c>
      <c r="M670" s="215" t="s">
        <v>68</v>
      </c>
      <c r="N670" s="212" t="s">
        <v>68</v>
      </c>
      <c r="O670" s="212"/>
      <c r="P670" s="212" t="s">
        <v>1098</v>
      </c>
      <c r="Q670" s="212" t="s">
        <v>68</v>
      </c>
      <c r="R670" s="212" t="s">
        <v>1121</v>
      </c>
      <c r="S670" s="212"/>
      <c r="T670" s="212"/>
      <c r="U670" s="212"/>
      <c r="V670" s="212"/>
      <c r="W670" s="212"/>
      <c r="X670" s="212" t="s">
        <v>1959</v>
      </c>
      <c r="Y670" s="212"/>
      <c r="Z670" s="212"/>
      <c r="AA670" s="212"/>
      <c r="AB670" s="212"/>
      <c r="AC670" s="212"/>
      <c r="AD670" s="212"/>
      <c r="AE670" s="212"/>
      <c r="AF670" s="212"/>
      <c r="AG670" s="212"/>
      <c r="AH670" s="212"/>
      <c r="AI670" s="212"/>
      <c r="AJ670" s="212"/>
      <c r="AK670" s="212"/>
      <c r="AL670" s="212"/>
      <c r="AM670" s="212"/>
      <c r="AN670" s="212"/>
      <c r="AO670" s="212"/>
      <c r="AP670" s="212"/>
      <c r="AQ670" s="212"/>
      <c r="AR670" s="212"/>
      <c r="AS670" s="212"/>
      <c r="AT670" s="212"/>
      <c r="AU670" s="212"/>
      <c r="AV670" s="212"/>
      <c r="AW670" s="212"/>
      <c r="AX670" s="212"/>
      <c r="AY670" s="212"/>
      <c r="AZ670" s="212"/>
      <c r="BA670" s="212"/>
      <c r="BB670" s="212"/>
      <c r="BC670" s="212"/>
      <c r="BD670" s="212"/>
      <c r="BE670" s="212"/>
      <c r="BF670" s="212"/>
      <c r="BG670" s="212"/>
      <c r="BH670" s="212"/>
      <c r="BI670" s="212"/>
    </row>
    <row r="671" spans="1:61" ht="24" customHeight="1">
      <c r="A671" s="215"/>
      <c r="B671" s="215"/>
      <c r="C671" s="229"/>
      <c r="D671" s="213"/>
      <c r="E671" s="213"/>
      <c r="F671" s="213"/>
      <c r="G671" s="213"/>
      <c r="H671" s="213"/>
      <c r="I671" s="213"/>
      <c r="J671" s="213"/>
      <c r="K671" s="213"/>
      <c r="L671" s="213"/>
      <c r="M671" s="215"/>
      <c r="N671" s="212"/>
      <c r="O671" s="212"/>
      <c r="P671" s="212"/>
      <c r="Q671" s="212"/>
      <c r="R671" s="212"/>
      <c r="S671" s="212"/>
      <c r="T671" s="212"/>
      <c r="U671" s="212"/>
      <c r="V671" s="212"/>
      <c r="W671" s="212"/>
      <c r="X671" s="212"/>
      <c r="Y671" s="212"/>
      <c r="Z671" s="212"/>
      <c r="AA671" s="212"/>
      <c r="AB671" s="212"/>
      <c r="AC671" s="212"/>
      <c r="AD671" s="212"/>
      <c r="AE671" s="212"/>
      <c r="AF671" s="212"/>
      <c r="AG671" s="212"/>
      <c r="AH671" s="212"/>
      <c r="AI671" s="212"/>
      <c r="AJ671" s="212"/>
      <c r="AK671" s="212"/>
      <c r="AL671" s="212"/>
      <c r="AM671" s="212"/>
      <c r="AN671" s="212"/>
      <c r="AO671" s="212"/>
      <c r="AP671" s="212"/>
      <c r="AQ671" s="212"/>
      <c r="AR671" s="212"/>
      <c r="AS671" s="212"/>
      <c r="AT671" s="212"/>
      <c r="AU671" s="212"/>
      <c r="AV671" s="212"/>
      <c r="AW671" s="212"/>
      <c r="AX671" s="212"/>
      <c r="AY671" s="212"/>
      <c r="AZ671" s="212"/>
      <c r="BA671" s="212"/>
      <c r="BB671" s="212"/>
      <c r="BC671" s="212"/>
      <c r="BD671" s="212"/>
      <c r="BE671" s="212"/>
      <c r="BF671" s="212"/>
      <c r="BG671" s="212"/>
      <c r="BH671" s="212"/>
      <c r="BI671" s="212"/>
    </row>
    <row r="672" spans="1:61" ht="24" customHeight="1">
      <c r="A672" s="218" t="s">
        <v>2358</v>
      </c>
      <c r="B672" s="218" t="s">
        <v>1411</v>
      </c>
      <c r="C672" s="228">
        <v>1</v>
      </c>
      <c r="D672" s="213" t="s">
        <v>1412</v>
      </c>
      <c r="E672" s="212"/>
      <c r="F672" s="217">
        <f>TRUNC(F673+F674,0)</f>
        <v>0</v>
      </c>
      <c r="G672" s="212"/>
      <c r="H672" s="217">
        <f>TRUNC(H673+H674,0)</f>
        <v>0</v>
      </c>
      <c r="I672" s="212"/>
      <c r="J672" s="217">
        <f>TRUNC(J673+J674,0)</f>
        <v>0</v>
      </c>
      <c r="K672" s="212"/>
      <c r="L672" s="217">
        <f>F672+H672+J672</f>
        <v>0</v>
      </c>
      <c r="M672" s="215" t="s">
        <v>1844</v>
      </c>
      <c r="N672" s="212" t="s">
        <v>68</v>
      </c>
      <c r="O672" s="212" t="s">
        <v>1413</v>
      </c>
      <c r="P672" s="212"/>
      <c r="Q672" s="212"/>
      <c r="R672" s="212"/>
      <c r="S672" s="212"/>
      <c r="T672" s="212"/>
      <c r="U672" s="212"/>
      <c r="V672" s="212"/>
      <c r="W672" s="212"/>
      <c r="X672" s="212"/>
      <c r="Y672" s="212"/>
      <c r="Z672" s="212"/>
      <c r="AA672" s="212"/>
      <c r="AB672" s="212"/>
      <c r="AC672" s="212"/>
      <c r="AD672" s="212"/>
      <c r="AE672" s="212"/>
      <c r="AF672" s="212"/>
      <c r="AG672" s="212"/>
      <c r="AH672" s="212"/>
      <c r="AI672" s="212"/>
      <c r="AJ672" s="212"/>
      <c r="AK672" s="212"/>
      <c r="AL672" s="212"/>
      <c r="AM672" s="212"/>
      <c r="AN672" s="212"/>
      <c r="AO672" s="212"/>
      <c r="AP672" s="212"/>
      <c r="AQ672" s="212"/>
      <c r="AR672" s="212"/>
      <c r="AS672" s="212"/>
      <c r="AT672" s="212"/>
      <c r="AU672" s="212"/>
      <c r="AV672" s="212"/>
      <c r="AW672" s="212"/>
      <c r="AX672" s="212"/>
      <c r="AY672" s="212"/>
      <c r="AZ672" s="212"/>
      <c r="BA672" s="212"/>
      <c r="BB672" s="212"/>
      <c r="BC672" s="212"/>
      <c r="BD672" s="212"/>
      <c r="BE672" s="212"/>
      <c r="BF672" s="212"/>
      <c r="BG672" s="212"/>
      <c r="BH672" s="212"/>
      <c r="BI672" s="212"/>
    </row>
    <row r="673" spans="1:61" ht="24" customHeight="1">
      <c r="A673" s="218" t="s">
        <v>2359</v>
      </c>
      <c r="B673" s="218" t="s">
        <v>2360</v>
      </c>
      <c r="C673" s="228">
        <v>1</v>
      </c>
      <c r="D673" s="213" t="s">
        <v>437</v>
      </c>
      <c r="E673" s="217">
        <f>자재조서!E117</f>
        <v>0</v>
      </c>
      <c r="F673" s="217">
        <f>TRUNC(E673*C673,0)</f>
        <v>0</v>
      </c>
      <c r="G673" s="217">
        <v>0</v>
      </c>
      <c r="H673" s="217"/>
      <c r="I673" s="217">
        <v>0</v>
      </c>
      <c r="J673" s="217"/>
      <c r="K673" s="217">
        <f>E673+G673+I673</f>
        <v>0</v>
      </c>
      <c r="L673" s="217">
        <f>F673+H673+J673</f>
        <v>0</v>
      </c>
      <c r="M673" s="215" t="s">
        <v>68</v>
      </c>
      <c r="N673" s="212" t="s">
        <v>68</v>
      </c>
      <c r="O673" s="212"/>
      <c r="P673" s="212" t="s">
        <v>1095</v>
      </c>
      <c r="Q673" s="212" t="s">
        <v>68</v>
      </c>
      <c r="R673" s="212" t="s">
        <v>2361</v>
      </c>
      <c r="S673" s="212"/>
      <c r="T673" s="212"/>
      <c r="U673" s="212"/>
      <c r="V673" s="212"/>
      <c r="W673" s="212"/>
      <c r="X673" s="212"/>
      <c r="Y673" s="212"/>
      <c r="Z673" s="212"/>
      <c r="AA673" s="212"/>
      <c r="AB673" s="212"/>
      <c r="AC673" s="212"/>
      <c r="AD673" s="212"/>
      <c r="AE673" s="212"/>
      <c r="AF673" s="212"/>
      <c r="AG673" s="212"/>
      <c r="AH673" s="212"/>
      <c r="AI673" s="212"/>
      <c r="AJ673" s="212"/>
      <c r="AK673" s="212"/>
      <c r="AL673" s="212"/>
      <c r="AM673" s="212"/>
      <c r="AN673" s="212"/>
      <c r="AO673" s="212"/>
      <c r="AP673" s="212"/>
      <c r="AQ673" s="212"/>
      <c r="AR673" s="212"/>
      <c r="AS673" s="212"/>
      <c r="AT673" s="212"/>
      <c r="AU673" s="212"/>
      <c r="AV673" s="212"/>
      <c r="AW673" s="212"/>
      <c r="AX673" s="212"/>
      <c r="AY673" s="212"/>
      <c r="AZ673" s="212"/>
      <c r="BA673" s="212"/>
      <c r="BB673" s="212"/>
      <c r="BC673" s="212"/>
      <c r="BD673" s="212"/>
      <c r="BE673" s="212"/>
      <c r="BF673" s="212"/>
      <c r="BG673" s="212"/>
      <c r="BH673" s="212"/>
      <c r="BI673" s="231" t="str">
        <f>HYPERLINK("#자재조서!A117","MZZ9000074 →")</f>
        <v>MZZ9000074 →</v>
      </c>
    </row>
    <row r="674" spans="1:61" ht="24" customHeight="1">
      <c r="A674" s="218" t="s">
        <v>2344</v>
      </c>
      <c r="B674" s="218" t="s">
        <v>1946</v>
      </c>
      <c r="C674" s="229">
        <v>0.3</v>
      </c>
      <c r="D674" s="213" t="s">
        <v>1286</v>
      </c>
      <c r="E674" s="217">
        <v>0</v>
      </c>
      <c r="F674" s="217"/>
      <c r="G674" s="217">
        <f>노임!D24</f>
        <v>0</v>
      </c>
      <c r="H674" s="217">
        <f>TRUNC(G674*C674,0)</f>
        <v>0</v>
      </c>
      <c r="I674" s="217">
        <v>0</v>
      </c>
      <c r="J674" s="217"/>
      <c r="K674" s="217">
        <f>E674+G674+I674</f>
        <v>0</v>
      </c>
      <c r="L674" s="217">
        <f>F674+H674+J674</f>
        <v>0</v>
      </c>
      <c r="M674" s="215" t="s">
        <v>68</v>
      </c>
      <c r="N674" s="212" t="s">
        <v>68</v>
      </c>
      <c r="O674" s="212"/>
      <c r="P674" s="212" t="s">
        <v>1098</v>
      </c>
      <c r="Q674" s="212" t="s">
        <v>68</v>
      </c>
      <c r="R674" s="212" t="s">
        <v>2345</v>
      </c>
      <c r="S674" s="212"/>
      <c r="T674" s="212"/>
      <c r="U674" s="212"/>
      <c r="V674" s="212"/>
      <c r="W674" s="212"/>
      <c r="X674" s="212"/>
      <c r="Y674" s="212"/>
      <c r="Z674" s="212"/>
      <c r="AA674" s="212"/>
      <c r="AB674" s="212"/>
      <c r="AC674" s="212"/>
      <c r="AD674" s="212"/>
      <c r="AE674" s="212"/>
      <c r="AF674" s="212"/>
      <c r="AG674" s="212"/>
      <c r="AH674" s="212"/>
      <c r="AI674" s="212"/>
      <c r="AJ674" s="212"/>
      <c r="AK674" s="212"/>
      <c r="AL674" s="212"/>
      <c r="AM674" s="212"/>
      <c r="AN674" s="212"/>
      <c r="AO674" s="212"/>
      <c r="AP674" s="212"/>
      <c r="AQ674" s="212"/>
      <c r="AR674" s="212"/>
      <c r="AS674" s="212"/>
      <c r="AT674" s="212"/>
      <c r="AU674" s="212"/>
      <c r="AV674" s="212"/>
      <c r="AW674" s="212"/>
      <c r="AX674" s="212"/>
      <c r="AY674" s="212"/>
      <c r="AZ674" s="212"/>
      <c r="BA674" s="212"/>
      <c r="BB674" s="212"/>
      <c r="BC674" s="212"/>
      <c r="BD674" s="212"/>
      <c r="BE674" s="212"/>
      <c r="BF674" s="212"/>
      <c r="BG674" s="212"/>
      <c r="BH674" s="212"/>
      <c r="BI674" s="231" t="str">
        <f>HYPERLINK("#노임!A24","L001010101000051 →")</f>
        <v>L001010101000051 →</v>
      </c>
    </row>
    <row r="675" spans="1:61" ht="24" customHeight="1">
      <c r="A675" s="215"/>
      <c r="B675" s="215"/>
      <c r="C675" s="229"/>
      <c r="D675" s="213"/>
      <c r="E675" s="213"/>
      <c r="F675" s="213"/>
      <c r="G675" s="213"/>
      <c r="H675" s="213"/>
      <c r="I675" s="213"/>
      <c r="J675" s="213"/>
      <c r="K675" s="213"/>
      <c r="L675" s="213"/>
      <c r="M675" s="215"/>
      <c r="N675" s="212"/>
      <c r="O675" s="212"/>
      <c r="P675" s="212"/>
      <c r="Q675" s="212"/>
      <c r="R675" s="212"/>
      <c r="S675" s="212"/>
      <c r="T675" s="212"/>
      <c r="U675" s="212"/>
      <c r="V675" s="212"/>
      <c r="W675" s="212"/>
      <c r="X675" s="212"/>
      <c r="Y675" s="212"/>
      <c r="Z675" s="212"/>
      <c r="AA675" s="212"/>
      <c r="AB675" s="212"/>
      <c r="AC675" s="212"/>
      <c r="AD675" s="212"/>
      <c r="AE675" s="212"/>
      <c r="AF675" s="212"/>
      <c r="AG675" s="212"/>
      <c r="AH675" s="212"/>
      <c r="AI675" s="212"/>
      <c r="AJ675" s="212"/>
      <c r="AK675" s="212"/>
      <c r="AL675" s="212"/>
      <c r="AM675" s="212"/>
      <c r="AN675" s="212"/>
      <c r="AO675" s="212"/>
      <c r="AP675" s="212"/>
      <c r="AQ675" s="212"/>
      <c r="AR675" s="212"/>
      <c r="AS675" s="212"/>
      <c r="AT675" s="212"/>
      <c r="AU675" s="212"/>
      <c r="AV675" s="212"/>
      <c r="AW675" s="212"/>
      <c r="AX675" s="212"/>
      <c r="AY675" s="212"/>
      <c r="AZ675" s="212"/>
      <c r="BA675" s="212"/>
      <c r="BB675" s="212"/>
      <c r="BC675" s="212"/>
      <c r="BD675" s="212"/>
      <c r="BE675" s="212"/>
      <c r="BF675" s="212"/>
      <c r="BG675" s="212"/>
      <c r="BH675" s="212"/>
      <c r="BI675" s="212"/>
    </row>
    <row r="676" spans="1:61" ht="24" customHeight="1">
      <c r="A676" s="218" t="s">
        <v>2362</v>
      </c>
      <c r="B676" s="218" t="s">
        <v>1414</v>
      </c>
      <c r="C676" s="228">
        <v>1</v>
      </c>
      <c r="D676" s="213" t="s">
        <v>1412</v>
      </c>
      <c r="E676" s="212"/>
      <c r="F676" s="217">
        <f>TRUNC(F677+F678,0)</f>
        <v>0</v>
      </c>
      <c r="G676" s="212"/>
      <c r="H676" s="217">
        <f>TRUNC(H677+H678,0)</f>
        <v>0</v>
      </c>
      <c r="I676" s="212"/>
      <c r="J676" s="217">
        <f>TRUNC(J677+J678,0)</f>
        <v>0</v>
      </c>
      <c r="K676" s="212"/>
      <c r="L676" s="217">
        <f>F676+H676+J676</f>
        <v>0</v>
      </c>
      <c r="M676" s="215" t="s">
        <v>1844</v>
      </c>
      <c r="N676" s="212" t="s">
        <v>68</v>
      </c>
      <c r="O676" s="212" t="s">
        <v>1415</v>
      </c>
      <c r="P676" s="212"/>
      <c r="Q676" s="212"/>
      <c r="R676" s="212"/>
      <c r="S676" s="212"/>
      <c r="T676" s="212"/>
      <c r="U676" s="212"/>
      <c r="V676" s="212"/>
      <c r="W676" s="212"/>
      <c r="X676" s="212"/>
      <c r="Y676" s="212"/>
      <c r="Z676" s="212"/>
      <c r="AA676" s="212"/>
      <c r="AB676" s="212"/>
      <c r="AC676" s="212"/>
      <c r="AD676" s="212"/>
      <c r="AE676" s="212"/>
      <c r="AF676" s="212"/>
      <c r="AG676" s="212"/>
      <c r="AH676" s="212"/>
      <c r="AI676" s="212"/>
      <c r="AJ676" s="212"/>
      <c r="AK676" s="212"/>
      <c r="AL676" s="212"/>
      <c r="AM676" s="212"/>
      <c r="AN676" s="212"/>
      <c r="AO676" s="212"/>
      <c r="AP676" s="212"/>
      <c r="AQ676" s="212"/>
      <c r="AR676" s="212"/>
      <c r="AS676" s="212"/>
      <c r="AT676" s="212"/>
      <c r="AU676" s="212"/>
      <c r="AV676" s="212"/>
      <c r="AW676" s="212"/>
      <c r="AX676" s="212"/>
      <c r="AY676" s="212"/>
      <c r="AZ676" s="212"/>
      <c r="BA676" s="212"/>
      <c r="BB676" s="212"/>
      <c r="BC676" s="212"/>
      <c r="BD676" s="212"/>
      <c r="BE676" s="212"/>
      <c r="BF676" s="212"/>
      <c r="BG676" s="212"/>
      <c r="BH676" s="212"/>
      <c r="BI676" s="212"/>
    </row>
    <row r="677" spans="1:61" ht="24" customHeight="1">
      <c r="A677" s="218" t="s">
        <v>2359</v>
      </c>
      <c r="B677" s="218" t="s">
        <v>2363</v>
      </c>
      <c r="C677" s="228">
        <v>1</v>
      </c>
      <c r="D677" s="213" t="s">
        <v>437</v>
      </c>
      <c r="E677" s="217">
        <f>자재조서!E116</f>
        <v>0</v>
      </c>
      <c r="F677" s="217">
        <f>TRUNC(E677*C677,0)</f>
        <v>0</v>
      </c>
      <c r="G677" s="217">
        <v>0</v>
      </c>
      <c r="H677" s="217"/>
      <c r="I677" s="217">
        <v>0</v>
      </c>
      <c r="J677" s="217"/>
      <c r="K677" s="217">
        <f>E677+G677+I677</f>
        <v>0</v>
      </c>
      <c r="L677" s="217">
        <f>F677+H677+J677</f>
        <v>0</v>
      </c>
      <c r="M677" s="215" t="s">
        <v>68</v>
      </c>
      <c r="N677" s="212" t="s">
        <v>68</v>
      </c>
      <c r="O677" s="212"/>
      <c r="P677" s="212" t="s">
        <v>1095</v>
      </c>
      <c r="Q677" s="212" t="s">
        <v>68</v>
      </c>
      <c r="R677" s="212" t="s">
        <v>2364</v>
      </c>
      <c r="S677" s="212"/>
      <c r="T677" s="212"/>
      <c r="U677" s="212"/>
      <c r="V677" s="212"/>
      <c r="W677" s="212"/>
      <c r="X677" s="212"/>
      <c r="Y677" s="212"/>
      <c r="Z677" s="212"/>
      <c r="AA677" s="212"/>
      <c r="AB677" s="212"/>
      <c r="AC677" s="212"/>
      <c r="AD677" s="212"/>
      <c r="AE677" s="212"/>
      <c r="AF677" s="212"/>
      <c r="AG677" s="212"/>
      <c r="AH677" s="212"/>
      <c r="AI677" s="212"/>
      <c r="AJ677" s="212"/>
      <c r="AK677" s="212"/>
      <c r="AL677" s="212"/>
      <c r="AM677" s="212"/>
      <c r="AN677" s="212"/>
      <c r="AO677" s="212"/>
      <c r="AP677" s="212"/>
      <c r="AQ677" s="212"/>
      <c r="AR677" s="212"/>
      <c r="AS677" s="212"/>
      <c r="AT677" s="212"/>
      <c r="AU677" s="212"/>
      <c r="AV677" s="212"/>
      <c r="AW677" s="212"/>
      <c r="AX677" s="212"/>
      <c r="AY677" s="212"/>
      <c r="AZ677" s="212"/>
      <c r="BA677" s="212"/>
      <c r="BB677" s="212"/>
      <c r="BC677" s="212"/>
      <c r="BD677" s="212"/>
      <c r="BE677" s="212"/>
      <c r="BF677" s="212"/>
      <c r="BG677" s="212"/>
      <c r="BH677" s="212"/>
      <c r="BI677" s="231" t="str">
        <f>HYPERLINK("#자재조서!A116","MZZ9000073 →")</f>
        <v>MZZ9000073 →</v>
      </c>
    </row>
    <row r="678" spans="1:61" ht="24" customHeight="1">
      <c r="A678" s="218" t="s">
        <v>2344</v>
      </c>
      <c r="B678" s="218" t="s">
        <v>1946</v>
      </c>
      <c r="C678" s="229">
        <v>0.5</v>
      </c>
      <c r="D678" s="213" t="s">
        <v>1286</v>
      </c>
      <c r="E678" s="217">
        <v>0</v>
      </c>
      <c r="F678" s="217"/>
      <c r="G678" s="217">
        <f>노임!D24</f>
        <v>0</v>
      </c>
      <c r="H678" s="217">
        <f>TRUNC(G678*C678,0)</f>
        <v>0</v>
      </c>
      <c r="I678" s="217">
        <v>0</v>
      </c>
      <c r="J678" s="217"/>
      <c r="K678" s="217">
        <f>E678+G678+I678</f>
        <v>0</v>
      </c>
      <c r="L678" s="217">
        <f>F678+H678+J678</f>
        <v>0</v>
      </c>
      <c r="M678" s="215" t="s">
        <v>68</v>
      </c>
      <c r="N678" s="212" t="s">
        <v>68</v>
      </c>
      <c r="O678" s="212"/>
      <c r="P678" s="212" t="s">
        <v>1098</v>
      </c>
      <c r="Q678" s="212" t="s">
        <v>68</v>
      </c>
      <c r="R678" s="212" t="s">
        <v>2345</v>
      </c>
      <c r="S678" s="212"/>
      <c r="T678" s="212"/>
      <c r="U678" s="212"/>
      <c r="V678" s="212"/>
      <c r="W678" s="212"/>
      <c r="X678" s="212"/>
      <c r="Y678" s="212"/>
      <c r="Z678" s="212"/>
      <c r="AA678" s="212"/>
      <c r="AB678" s="212"/>
      <c r="AC678" s="212"/>
      <c r="AD678" s="212"/>
      <c r="AE678" s="212"/>
      <c r="AF678" s="212"/>
      <c r="AG678" s="212"/>
      <c r="AH678" s="212"/>
      <c r="AI678" s="212"/>
      <c r="AJ678" s="212"/>
      <c r="AK678" s="212"/>
      <c r="AL678" s="212"/>
      <c r="AM678" s="212"/>
      <c r="AN678" s="212"/>
      <c r="AO678" s="212"/>
      <c r="AP678" s="212"/>
      <c r="AQ678" s="212"/>
      <c r="AR678" s="212"/>
      <c r="AS678" s="212"/>
      <c r="AT678" s="212"/>
      <c r="AU678" s="212"/>
      <c r="AV678" s="212"/>
      <c r="AW678" s="212"/>
      <c r="AX678" s="212"/>
      <c r="AY678" s="212"/>
      <c r="AZ678" s="212"/>
      <c r="BA678" s="212"/>
      <c r="BB678" s="212"/>
      <c r="BC678" s="212"/>
      <c r="BD678" s="212"/>
      <c r="BE678" s="212"/>
      <c r="BF678" s="212"/>
      <c r="BG678" s="212"/>
      <c r="BH678" s="212"/>
      <c r="BI678" s="231" t="str">
        <f>HYPERLINK("#노임!A24","L001010101000051 →")</f>
        <v>L001010101000051 →</v>
      </c>
    </row>
    <row r="679" spans="1:61" ht="24" customHeight="1">
      <c r="A679" s="215"/>
      <c r="B679" s="215"/>
      <c r="C679" s="229"/>
      <c r="D679" s="213"/>
      <c r="E679" s="213"/>
      <c r="F679" s="213"/>
      <c r="G679" s="213"/>
      <c r="H679" s="213"/>
      <c r="I679" s="213"/>
      <c r="J679" s="213"/>
      <c r="K679" s="213"/>
      <c r="L679" s="213"/>
      <c r="M679" s="215"/>
      <c r="N679" s="212"/>
      <c r="O679" s="212"/>
      <c r="P679" s="212"/>
      <c r="Q679" s="212"/>
      <c r="R679" s="212"/>
      <c r="S679" s="212"/>
      <c r="T679" s="212"/>
      <c r="U679" s="212"/>
      <c r="V679" s="212"/>
      <c r="W679" s="212"/>
      <c r="X679" s="212"/>
      <c r="Y679" s="212"/>
      <c r="Z679" s="212"/>
      <c r="AA679" s="212"/>
      <c r="AB679" s="212"/>
      <c r="AC679" s="212"/>
      <c r="AD679" s="212"/>
      <c r="AE679" s="212"/>
      <c r="AF679" s="212"/>
      <c r="AG679" s="212"/>
      <c r="AH679" s="212"/>
      <c r="AI679" s="212"/>
      <c r="AJ679" s="212"/>
      <c r="AK679" s="212"/>
      <c r="AL679" s="212"/>
      <c r="AM679" s="212"/>
      <c r="AN679" s="212"/>
      <c r="AO679" s="212"/>
      <c r="AP679" s="212"/>
      <c r="AQ679" s="212"/>
      <c r="AR679" s="212"/>
      <c r="AS679" s="212"/>
      <c r="AT679" s="212"/>
      <c r="AU679" s="212"/>
      <c r="AV679" s="212"/>
      <c r="AW679" s="212"/>
      <c r="AX679" s="212"/>
      <c r="AY679" s="212"/>
      <c r="AZ679" s="212"/>
      <c r="BA679" s="212"/>
      <c r="BB679" s="212"/>
      <c r="BC679" s="212"/>
      <c r="BD679" s="212"/>
      <c r="BE679" s="212"/>
      <c r="BF679" s="212"/>
      <c r="BG679" s="212"/>
      <c r="BH679" s="212"/>
      <c r="BI679" s="212"/>
    </row>
    <row r="680" spans="1:61" ht="24" customHeight="1">
      <c r="A680" s="218" t="s">
        <v>2365</v>
      </c>
      <c r="B680" s="218" t="s">
        <v>1426</v>
      </c>
      <c r="C680" s="228">
        <v>1</v>
      </c>
      <c r="D680" s="213" t="s">
        <v>1033</v>
      </c>
      <c r="E680" s="212"/>
      <c r="F680" s="217">
        <f>TRUNC(F681+F682+F683,0)</f>
        <v>0</v>
      </c>
      <c r="G680" s="212"/>
      <c r="H680" s="217">
        <f>TRUNC(H681+H682+H683,0)</f>
        <v>0</v>
      </c>
      <c r="I680" s="212"/>
      <c r="J680" s="217">
        <f>TRUNC(J681+J682+J683,0)</f>
        <v>0</v>
      </c>
      <c r="K680" s="212"/>
      <c r="L680" s="217">
        <f>F680+H680+J680</f>
        <v>0</v>
      </c>
      <c r="M680" s="215" t="s">
        <v>1847</v>
      </c>
      <c r="N680" s="212" t="s">
        <v>68</v>
      </c>
      <c r="O680" s="212" t="s">
        <v>1427</v>
      </c>
      <c r="P680" s="212"/>
      <c r="Q680" s="212"/>
      <c r="R680" s="212"/>
      <c r="S680" s="212"/>
      <c r="T680" s="212"/>
      <c r="U680" s="212"/>
      <c r="V680" s="212"/>
      <c r="W680" s="212"/>
      <c r="X680" s="212"/>
      <c r="Y680" s="212"/>
      <c r="Z680" s="212"/>
      <c r="AA680" s="212"/>
      <c r="AB680" s="212"/>
      <c r="AC680" s="212"/>
      <c r="AD680" s="212"/>
      <c r="AE680" s="212"/>
      <c r="AF680" s="212"/>
      <c r="AG680" s="212"/>
      <c r="AH680" s="212"/>
      <c r="AI680" s="212"/>
      <c r="AJ680" s="212"/>
      <c r="AK680" s="212"/>
      <c r="AL680" s="212"/>
      <c r="AM680" s="212"/>
      <c r="AN680" s="212"/>
      <c r="AO680" s="212"/>
      <c r="AP680" s="212"/>
      <c r="AQ680" s="212"/>
      <c r="AR680" s="212"/>
      <c r="AS680" s="212"/>
      <c r="AT680" s="212"/>
      <c r="AU680" s="212"/>
      <c r="AV680" s="212"/>
      <c r="AW680" s="212"/>
      <c r="AX680" s="212"/>
      <c r="AY680" s="212"/>
      <c r="AZ680" s="212"/>
      <c r="BA680" s="212"/>
      <c r="BB680" s="212"/>
      <c r="BC680" s="212"/>
      <c r="BD680" s="212"/>
      <c r="BE680" s="212"/>
      <c r="BF680" s="212"/>
      <c r="BG680" s="212"/>
      <c r="BH680" s="212"/>
      <c r="BI680" s="212"/>
    </row>
    <row r="681" spans="1:61" ht="24" customHeight="1">
      <c r="A681" s="218" t="s">
        <v>2366</v>
      </c>
      <c r="B681" s="218" t="s">
        <v>1946</v>
      </c>
      <c r="C681" s="229">
        <v>2.5000000000000001E-2</v>
      </c>
      <c r="D681" s="213" t="s">
        <v>1286</v>
      </c>
      <c r="E681" s="217">
        <v>0</v>
      </c>
      <c r="F681" s="217"/>
      <c r="G681" s="217">
        <f>노임!D20</f>
        <v>0</v>
      </c>
      <c r="H681" s="217">
        <f>TRUNC(G681*C681,0)</f>
        <v>0</v>
      </c>
      <c r="I681" s="217">
        <v>0</v>
      </c>
      <c r="J681" s="217"/>
      <c r="K681" s="217">
        <f>E681+G681+I681</f>
        <v>0</v>
      </c>
      <c r="L681" s="217">
        <f>F681+H681+J681</f>
        <v>0</v>
      </c>
      <c r="M681" s="215" t="s">
        <v>68</v>
      </c>
      <c r="N681" s="212" t="s">
        <v>68</v>
      </c>
      <c r="O681" s="212"/>
      <c r="P681" s="212" t="s">
        <v>1095</v>
      </c>
      <c r="Q681" s="212" t="s">
        <v>68</v>
      </c>
      <c r="R681" s="212" t="s">
        <v>2367</v>
      </c>
      <c r="S681" s="212"/>
      <c r="T681" s="212"/>
      <c r="U681" s="212"/>
      <c r="V681" s="212"/>
      <c r="W681" s="212"/>
      <c r="X681" s="212"/>
      <c r="Y681" s="212"/>
      <c r="Z681" s="212"/>
      <c r="AA681" s="212"/>
      <c r="AB681" s="212"/>
      <c r="AC681" s="212"/>
      <c r="AD681" s="212"/>
      <c r="AE681" s="212"/>
      <c r="AF681" s="212"/>
      <c r="AG681" s="212"/>
      <c r="AH681" s="212"/>
      <c r="AI681" s="212"/>
      <c r="AJ681" s="212"/>
      <c r="AK681" s="212"/>
      <c r="AL681" s="212"/>
      <c r="AM681" s="212"/>
      <c r="AN681" s="212"/>
      <c r="AO681" s="212"/>
      <c r="AP681" s="212"/>
      <c r="AQ681" s="212"/>
      <c r="AR681" s="212"/>
      <c r="AS681" s="212"/>
      <c r="AT681" s="212"/>
      <c r="AU681" s="212"/>
      <c r="AV681" s="212"/>
      <c r="AW681" s="212"/>
      <c r="AX681" s="212"/>
      <c r="AY681" s="212"/>
      <c r="AZ681" s="212"/>
      <c r="BA681" s="212"/>
      <c r="BB681" s="212"/>
      <c r="BC681" s="212"/>
      <c r="BD681" s="212"/>
      <c r="BE681" s="212"/>
      <c r="BF681" s="212"/>
      <c r="BG681" s="212"/>
      <c r="BH681" s="212"/>
      <c r="BI681" s="231" t="str">
        <f>HYPERLINK("#노임!A20","L001010101000039 →")</f>
        <v>L001010101000039 →</v>
      </c>
    </row>
    <row r="682" spans="1:61" ht="24" customHeight="1">
      <c r="A682" s="218" t="s">
        <v>1967</v>
      </c>
      <c r="B682" s="218" t="s">
        <v>1946</v>
      </c>
      <c r="C682" s="229">
        <v>1.4E-2</v>
      </c>
      <c r="D682" s="213" t="s">
        <v>1286</v>
      </c>
      <c r="E682" s="217">
        <v>0</v>
      </c>
      <c r="F682" s="217"/>
      <c r="G682" s="217">
        <f>노임!D3</f>
        <v>0</v>
      </c>
      <c r="H682" s="217">
        <f>TRUNC(G682*C682,0)</f>
        <v>0</v>
      </c>
      <c r="I682" s="217">
        <v>0</v>
      </c>
      <c r="J682" s="217"/>
      <c r="K682" s="217">
        <f>E682+G682+I682</f>
        <v>0</v>
      </c>
      <c r="L682" s="217">
        <f>F682+H682+J682</f>
        <v>0</v>
      </c>
      <c r="M682" s="215" t="s">
        <v>68</v>
      </c>
      <c r="N682" s="212" t="s">
        <v>68</v>
      </c>
      <c r="O682" s="212"/>
      <c r="P682" s="212" t="s">
        <v>1098</v>
      </c>
      <c r="Q682" s="212" t="s">
        <v>68</v>
      </c>
      <c r="R682" s="212" t="s">
        <v>1968</v>
      </c>
      <c r="S682" s="212"/>
      <c r="T682" s="212"/>
      <c r="U682" s="212"/>
      <c r="V682" s="212"/>
      <c r="W682" s="212"/>
      <c r="X682" s="212"/>
      <c r="Y682" s="212"/>
      <c r="Z682" s="212"/>
      <c r="AA682" s="220" t="s">
        <v>1955</v>
      </c>
      <c r="AB682" s="212">
        <f>(호표!H681+호표!H682)*0.02</f>
        <v>0</v>
      </c>
      <c r="AC682" s="220" t="s">
        <v>1956</v>
      </c>
      <c r="AD682" s="212">
        <f>$AB682</f>
        <v>0</v>
      </c>
      <c r="AE682" s="212"/>
      <c r="AF682" s="212"/>
      <c r="AG682" s="212"/>
      <c r="AH682" s="212"/>
      <c r="AI682" s="212"/>
      <c r="AJ682" s="212"/>
      <c r="AK682" s="212"/>
      <c r="AL682" s="212"/>
      <c r="AM682" s="212"/>
      <c r="AN682" s="212"/>
      <c r="AO682" s="212"/>
      <c r="AP682" s="212"/>
      <c r="AQ682" s="212"/>
      <c r="AR682" s="212"/>
      <c r="AS682" s="212"/>
      <c r="AT682" s="212"/>
      <c r="AU682" s="212"/>
      <c r="AV682" s="212"/>
      <c r="AW682" s="212"/>
      <c r="AX682" s="212"/>
      <c r="AY682" s="212"/>
      <c r="AZ682" s="212"/>
      <c r="BA682" s="212"/>
      <c r="BB682" s="212"/>
      <c r="BC682" s="212"/>
      <c r="BD682" s="212"/>
      <c r="BE682" s="212"/>
      <c r="BF682" s="212"/>
      <c r="BG682" s="212"/>
      <c r="BH682" s="212"/>
      <c r="BI682" s="231" t="str">
        <f>HYPERLINK("#노임!A3","L001010101000002 →")</f>
        <v>L001010101000002 →</v>
      </c>
    </row>
    <row r="683" spans="1:61" ht="24" customHeight="1">
      <c r="A683" s="218" t="s">
        <v>1974</v>
      </c>
      <c r="B683" s="218" t="s">
        <v>1958</v>
      </c>
      <c r="C683" s="228">
        <v>2</v>
      </c>
      <c r="D683" s="213" t="s">
        <v>1950</v>
      </c>
      <c r="E683" s="213"/>
      <c r="F683" s="217">
        <v>0</v>
      </c>
      <c r="G683" s="213"/>
      <c r="H683" s="217">
        <v>0</v>
      </c>
      <c r="I683" s="213"/>
      <c r="J683" s="217">
        <f>TRUNC(((H681+H682)*0.02),0)</f>
        <v>0</v>
      </c>
      <c r="K683" s="217">
        <f>E683+G683+I683</f>
        <v>0</v>
      </c>
      <c r="L683" s="217">
        <f>F683+H683+J683</f>
        <v>0</v>
      </c>
      <c r="M683" s="215" t="s">
        <v>68</v>
      </c>
      <c r="N683" s="212" t="s">
        <v>68</v>
      </c>
      <c r="O683" s="212"/>
      <c r="P683" s="212" t="s">
        <v>1101</v>
      </c>
      <c r="Q683" s="212" t="s">
        <v>68</v>
      </c>
      <c r="R683" s="212" t="s">
        <v>1121</v>
      </c>
      <c r="S683" s="212"/>
      <c r="T683" s="212"/>
      <c r="U683" s="212"/>
      <c r="V683" s="212"/>
      <c r="W683" s="212"/>
      <c r="X683" s="212" t="s">
        <v>1975</v>
      </c>
      <c r="Y683" s="212"/>
      <c r="Z683" s="212"/>
      <c r="AA683" s="212"/>
      <c r="AB683" s="212"/>
      <c r="AC683" s="212"/>
      <c r="AD683" s="212"/>
      <c r="AE683" s="212"/>
      <c r="AF683" s="212"/>
      <c r="AG683" s="212"/>
      <c r="AH683" s="212"/>
      <c r="AI683" s="212"/>
      <c r="AJ683" s="212"/>
      <c r="AK683" s="212"/>
      <c r="AL683" s="212"/>
      <c r="AM683" s="212"/>
      <c r="AN683" s="212"/>
      <c r="AO683" s="212"/>
      <c r="AP683" s="212"/>
      <c r="AQ683" s="212"/>
      <c r="AR683" s="212"/>
      <c r="AS683" s="212"/>
      <c r="AT683" s="212"/>
      <c r="AU683" s="212"/>
      <c r="AV683" s="212"/>
      <c r="AW683" s="212"/>
      <c r="AX683" s="212"/>
      <c r="AY683" s="212"/>
      <c r="AZ683" s="212"/>
      <c r="BA683" s="212"/>
      <c r="BB683" s="212"/>
      <c r="BC683" s="212"/>
      <c r="BD683" s="212"/>
      <c r="BE683" s="212"/>
      <c r="BF683" s="212"/>
      <c r="BG683" s="212"/>
      <c r="BH683" s="212"/>
      <c r="BI683" s="212"/>
    </row>
    <row r="684" spans="1:61" ht="24" customHeight="1">
      <c r="A684" s="215"/>
      <c r="B684" s="215"/>
      <c r="C684" s="229"/>
      <c r="D684" s="213"/>
      <c r="E684" s="213"/>
      <c r="F684" s="213"/>
      <c r="G684" s="213"/>
      <c r="H684" s="213"/>
      <c r="I684" s="213"/>
      <c r="J684" s="213"/>
      <c r="K684" s="213"/>
      <c r="L684" s="213"/>
      <c r="M684" s="215"/>
      <c r="N684" s="212"/>
      <c r="O684" s="212"/>
      <c r="P684" s="212"/>
      <c r="Q684" s="212"/>
      <c r="R684" s="212"/>
      <c r="S684" s="212"/>
      <c r="T684" s="212"/>
      <c r="U684" s="212"/>
      <c r="V684" s="212"/>
      <c r="W684" s="212"/>
      <c r="X684" s="212"/>
      <c r="Y684" s="212"/>
      <c r="Z684" s="212"/>
      <c r="AA684" s="212"/>
      <c r="AB684" s="212"/>
      <c r="AC684" s="212"/>
      <c r="AD684" s="212"/>
      <c r="AE684" s="212"/>
      <c r="AF684" s="212"/>
      <c r="AG684" s="212"/>
      <c r="AH684" s="212"/>
      <c r="AI684" s="212"/>
      <c r="AJ684" s="212"/>
      <c r="AK684" s="212"/>
      <c r="AL684" s="212"/>
      <c r="AM684" s="212"/>
      <c r="AN684" s="212"/>
      <c r="AO684" s="212"/>
      <c r="AP684" s="212"/>
      <c r="AQ684" s="212"/>
      <c r="AR684" s="212"/>
      <c r="AS684" s="212"/>
      <c r="AT684" s="212"/>
      <c r="AU684" s="212"/>
      <c r="AV684" s="212"/>
      <c r="AW684" s="212"/>
      <c r="AX684" s="212"/>
      <c r="AY684" s="212"/>
      <c r="AZ684" s="212"/>
      <c r="BA684" s="212"/>
      <c r="BB684" s="212"/>
      <c r="BC684" s="212"/>
      <c r="BD684" s="212"/>
      <c r="BE684" s="212"/>
      <c r="BF684" s="212"/>
      <c r="BG684" s="212"/>
      <c r="BH684" s="212"/>
      <c r="BI684" s="212"/>
    </row>
    <row r="685" spans="1:61" ht="24" customHeight="1">
      <c r="A685" s="218" t="s">
        <v>2368</v>
      </c>
      <c r="B685" s="218" t="s">
        <v>635</v>
      </c>
      <c r="C685" s="228">
        <v>1</v>
      </c>
      <c r="D685" s="213" t="s">
        <v>1033</v>
      </c>
      <c r="E685" s="212"/>
      <c r="F685" s="217">
        <f>TRUNC(F686+F687+F688,0)</f>
        <v>0</v>
      </c>
      <c r="G685" s="212"/>
      <c r="H685" s="217">
        <f>TRUNC(H686+H687+H688,0)</f>
        <v>0</v>
      </c>
      <c r="I685" s="212"/>
      <c r="J685" s="217">
        <f>TRUNC(J686+J687+J688,0)</f>
        <v>0</v>
      </c>
      <c r="K685" s="212"/>
      <c r="L685" s="217">
        <f>F685+H685+J685</f>
        <v>0</v>
      </c>
      <c r="M685" s="215" t="s">
        <v>1847</v>
      </c>
      <c r="N685" s="212" t="s">
        <v>68</v>
      </c>
      <c r="O685" s="212" t="s">
        <v>1435</v>
      </c>
      <c r="P685" s="212"/>
      <c r="Q685" s="212"/>
      <c r="R685" s="212"/>
      <c r="S685" s="212"/>
      <c r="T685" s="212"/>
      <c r="U685" s="212"/>
      <c r="V685" s="212"/>
      <c r="W685" s="212"/>
      <c r="X685" s="212"/>
      <c r="Y685" s="212"/>
      <c r="Z685" s="212"/>
      <c r="AA685" s="212"/>
      <c r="AB685" s="212"/>
      <c r="AC685" s="212"/>
      <c r="AD685" s="212"/>
      <c r="AE685" s="212"/>
      <c r="AF685" s="212"/>
      <c r="AG685" s="212"/>
      <c r="AH685" s="212"/>
      <c r="AI685" s="212"/>
      <c r="AJ685" s="212"/>
      <c r="AK685" s="212"/>
      <c r="AL685" s="212"/>
      <c r="AM685" s="212"/>
      <c r="AN685" s="212"/>
      <c r="AO685" s="212"/>
      <c r="AP685" s="212"/>
      <c r="AQ685" s="212"/>
      <c r="AR685" s="212"/>
      <c r="AS685" s="212"/>
      <c r="AT685" s="212"/>
      <c r="AU685" s="212"/>
      <c r="AV685" s="212"/>
      <c r="AW685" s="212"/>
      <c r="AX685" s="212"/>
      <c r="AY685" s="212"/>
      <c r="AZ685" s="212"/>
      <c r="BA685" s="212"/>
      <c r="BB685" s="212"/>
      <c r="BC685" s="212"/>
      <c r="BD685" s="212"/>
      <c r="BE685" s="212"/>
      <c r="BF685" s="212"/>
      <c r="BG685" s="212"/>
      <c r="BH685" s="212"/>
      <c r="BI685" s="212"/>
    </row>
    <row r="686" spans="1:61" ht="24" customHeight="1">
      <c r="A686" s="218" t="s">
        <v>2366</v>
      </c>
      <c r="B686" s="218" t="s">
        <v>1946</v>
      </c>
      <c r="C686" s="229">
        <v>3.4000000000000002E-2</v>
      </c>
      <c r="D686" s="213" t="s">
        <v>1286</v>
      </c>
      <c r="E686" s="217">
        <v>0</v>
      </c>
      <c r="F686" s="217"/>
      <c r="G686" s="217">
        <f>노임!D20</f>
        <v>0</v>
      </c>
      <c r="H686" s="217">
        <f>TRUNC(G686*C686,0)</f>
        <v>0</v>
      </c>
      <c r="I686" s="217">
        <v>0</v>
      </c>
      <c r="J686" s="217"/>
      <c r="K686" s="217">
        <f>E686+G686+I686</f>
        <v>0</v>
      </c>
      <c r="L686" s="217">
        <f>F686+H686+J686</f>
        <v>0</v>
      </c>
      <c r="M686" s="215" t="s">
        <v>68</v>
      </c>
      <c r="N686" s="212" t="s">
        <v>68</v>
      </c>
      <c r="O686" s="212"/>
      <c r="P686" s="212" t="s">
        <v>1095</v>
      </c>
      <c r="Q686" s="212" t="s">
        <v>68</v>
      </c>
      <c r="R686" s="212" t="s">
        <v>2367</v>
      </c>
      <c r="S686" s="212"/>
      <c r="T686" s="212"/>
      <c r="U686" s="212"/>
      <c r="V686" s="212"/>
      <c r="W686" s="212"/>
      <c r="X686" s="212"/>
      <c r="Y686" s="212"/>
      <c r="Z686" s="212"/>
      <c r="AA686" s="212"/>
      <c r="AB686" s="212"/>
      <c r="AC686" s="212"/>
      <c r="AD686" s="212"/>
      <c r="AE686" s="212"/>
      <c r="AF686" s="212"/>
      <c r="AG686" s="212"/>
      <c r="AH686" s="212"/>
      <c r="AI686" s="212"/>
      <c r="AJ686" s="212"/>
      <c r="AK686" s="212"/>
      <c r="AL686" s="212"/>
      <c r="AM686" s="212"/>
      <c r="AN686" s="212"/>
      <c r="AO686" s="212"/>
      <c r="AP686" s="212"/>
      <c r="AQ686" s="212"/>
      <c r="AR686" s="212"/>
      <c r="AS686" s="212"/>
      <c r="AT686" s="212"/>
      <c r="AU686" s="212"/>
      <c r="AV686" s="212"/>
      <c r="AW686" s="212"/>
      <c r="AX686" s="212"/>
      <c r="AY686" s="212"/>
      <c r="AZ686" s="212"/>
      <c r="BA686" s="212"/>
      <c r="BB686" s="212"/>
      <c r="BC686" s="212"/>
      <c r="BD686" s="212"/>
      <c r="BE686" s="212"/>
      <c r="BF686" s="212"/>
      <c r="BG686" s="212"/>
      <c r="BH686" s="212"/>
      <c r="BI686" s="231" t="str">
        <f>HYPERLINK("#노임!A20","L001010101000039 →")</f>
        <v>L001010101000039 →</v>
      </c>
    </row>
    <row r="687" spans="1:61" ht="24" customHeight="1">
      <c r="A687" s="218" t="s">
        <v>1967</v>
      </c>
      <c r="B687" s="218" t="s">
        <v>1946</v>
      </c>
      <c r="C687" s="229">
        <v>1.7999999999999999E-2</v>
      </c>
      <c r="D687" s="213" t="s">
        <v>1286</v>
      </c>
      <c r="E687" s="217">
        <v>0</v>
      </c>
      <c r="F687" s="217"/>
      <c r="G687" s="217">
        <f>노임!D3</f>
        <v>0</v>
      </c>
      <c r="H687" s="217">
        <f>TRUNC(G687*C687,0)</f>
        <v>0</v>
      </c>
      <c r="I687" s="217">
        <v>0</v>
      </c>
      <c r="J687" s="217"/>
      <c r="K687" s="217">
        <f>E687+G687+I687</f>
        <v>0</v>
      </c>
      <c r="L687" s="217">
        <f>F687+H687+J687</f>
        <v>0</v>
      </c>
      <c r="M687" s="215" t="s">
        <v>68</v>
      </c>
      <c r="N687" s="212" t="s">
        <v>68</v>
      </c>
      <c r="O687" s="212"/>
      <c r="P687" s="212" t="s">
        <v>1098</v>
      </c>
      <c r="Q687" s="212" t="s">
        <v>68</v>
      </c>
      <c r="R687" s="212" t="s">
        <v>1968</v>
      </c>
      <c r="S687" s="212"/>
      <c r="T687" s="212"/>
      <c r="U687" s="212"/>
      <c r="V687" s="212"/>
      <c r="W687" s="212"/>
      <c r="X687" s="212"/>
      <c r="Y687" s="212"/>
      <c r="Z687" s="212"/>
      <c r="AA687" s="220" t="s">
        <v>1955</v>
      </c>
      <c r="AB687" s="212">
        <f>(호표!H686+호표!H687)*0.02</f>
        <v>0</v>
      </c>
      <c r="AC687" s="220" t="s">
        <v>1956</v>
      </c>
      <c r="AD687" s="212">
        <f>$AB687</f>
        <v>0</v>
      </c>
      <c r="AE687" s="212"/>
      <c r="AF687" s="212"/>
      <c r="AG687" s="212"/>
      <c r="AH687" s="212"/>
      <c r="AI687" s="212"/>
      <c r="AJ687" s="212"/>
      <c r="AK687" s="212"/>
      <c r="AL687" s="212"/>
      <c r="AM687" s="212"/>
      <c r="AN687" s="212"/>
      <c r="AO687" s="212"/>
      <c r="AP687" s="212"/>
      <c r="AQ687" s="212"/>
      <c r="AR687" s="212"/>
      <c r="AS687" s="212"/>
      <c r="AT687" s="212"/>
      <c r="AU687" s="212"/>
      <c r="AV687" s="212"/>
      <c r="AW687" s="212"/>
      <c r="AX687" s="212"/>
      <c r="AY687" s="212"/>
      <c r="AZ687" s="212"/>
      <c r="BA687" s="212"/>
      <c r="BB687" s="212"/>
      <c r="BC687" s="212"/>
      <c r="BD687" s="212"/>
      <c r="BE687" s="212"/>
      <c r="BF687" s="212"/>
      <c r="BG687" s="212"/>
      <c r="BH687" s="212"/>
      <c r="BI687" s="231" t="str">
        <f>HYPERLINK("#노임!A3","L001010101000002 →")</f>
        <v>L001010101000002 →</v>
      </c>
    </row>
    <row r="688" spans="1:61" ht="24" customHeight="1">
      <c r="A688" s="218" t="s">
        <v>1974</v>
      </c>
      <c r="B688" s="218" t="s">
        <v>1958</v>
      </c>
      <c r="C688" s="228">
        <v>2</v>
      </c>
      <c r="D688" s="213" t="s">
        <v>1950</v>
      </c>
      <c r="E688" s="213"/>
      <c r="F688" s="217">
        <v>0</v>
      </c>
      <c r="G688" s="213"/>
      <c r="H688" s="217">
        <v>0</v>
      </c>
      <c r="I688" s="213"/>
      <c r="J688" s="217">
        <f>TRUNC(((H686+H687)*0.02),0)</f>
        <v>0</v>
      </c>
      <c r="K688" s="217">
        <f>E688+G688+I688</f>
        <v>0</v>
      </c>
      <c r="L688" s="217">
        <f>F688+H688+J688</f>
        <v>0</v>
      </c>
      <c r="M688" s="215" t="s">
        <v>68</v>
      </c>
      <c r="N688" s="212" t="s">
        <v>68</v>
      </c>
      <c r="O688" s="212"/>
      <c r="P688" s="212" t="s">
        <v>1101</v>
      </c>
      <c r="Q688" s="212" t="s">
        <v>68</v>
      </c>
      <c r="R688" s="212" t="s">
        <v>1121</v>
      </c>
      <c r="S688" s="212"/>
      <c r="T688" s="212"/>
      <c r="U688" s="212"/>
      <c r="V688" s="212"/>
      <c r="W688" s="212"/>
      <c r="X688" s="212" t="s">
        <v>1975</v>
      </c>
      <c r="Y688" s="212"/>
      <c r="Z688" s="212"/>
      <c r="AA688" s="212"/>
      <c r="AB688" s="212"/>
      <c r="AC688" s="212"/>
      <c r="AD688" s="212"/>
      <c r="AE688" s="212"/>
      <c r="AF688" s="212"/>
      <c r="AG688" s="212"/>
      <c r="AH688" s="212"/>
      <c r="AI688" s="212"/>
      <c r="AJ688" s="212"/>
      <c r="AK688" s="212"/>
      <c r="AL688" s="212"/>
      <c r="AM688" s="212"/>
      <c r="AN688" s="212"/>
      <c r="AO688" s="212"/>
      <c r="AP688" s="212"/>
      <c r="AQ688" s="212"/>
      <c r="AR688" s="212"/>
      <c r="AS688" s="212"/>
      <c r="AT688" s="212"/>
      <c r="AU688" s="212"/>
      <c r="AV688" s="212"/>
      <c r="AW688" s="212"/>
      <c r="AX688" s="212"/>
      <c r="AY688" s="212"/>
      <c r="AZ688" s="212"/>
      <c r="BA688" s="212"/>
      <c r="BB688" s="212"/>
      <c r="BC688" s="212"/>
      <c r="BD688" s="212"/>
      <c r="BE688" s="212"/>
      <c r="BF688" s="212"/>
      <c r="BG688" s="212"/>
      <c r="BH688" s="212"/>
      <c r="BI688" s="212"/>
    </row>
    <row r="689" spans="1:61" ht="24" customHeight="1">
      <c r="A689" s="215"/>
      <c r="B689" s="215"/>
      <c r="C689" s="229"/>
      <c r="D689" s="213"/>
      <c r="E689" s="213"/>
      <c r="F689" s="213"/>
      <c r="G689" s="213"/>
      <c r="H689" s="213"/>
      <c r="I689" s="213"/>
      <c r="J689" s="213"/>
      <c r="K689" s="213"/>
      <c r="L689" s="213"/>
      <c r="M689" s="215"/>
      <c r="N689" s="212"/>
      <c r="O689" s="212"/>
      <c r="P689" s="212"/>
      <c r="Q689" s="212"/>
      <c r="R689" s="212"/>
      <c r="S689" s="212"/>
      <c r="T689" s="212"/>
      <c r="U689" s="212"/>
      <c r="V689" s="212"/>
      <c r="W689" s="212"/>
      <c r="X689" s="212"/>
      <c r="Y689" s="212"/>
      <c r="Z689" s="212"/>
      <c r="AA689" s="212"/>
      <c r="AB689" s="212"/>
      <c r="AC689" s="212"/>
      <c r="AD689" s="212"/>
      <c r="AE689" s="212"/>
      <c r="AF689" s="212"/>
      <c r="AG689" s="212"/>
      <c r="AH689" s="212"/>
      <c r="AI689" s="212"/>
      <c r="AJ689" s="212"/>
      <c r="AK689" s="212"/>
      <c r="AL689" s="212"/>
      <c r="AM689" s="212"/>
      <c r="AN689" s="212"/>
      <c r="AO689" s="212"/>
      <c r="AP689" s="212"/>
      <c r="AQ689" s="212"/>
      <c r="AR689" s="212"/>
      <c r="AS689" s="212"/>
      <c r="AT689" s="212"/>
      <c r="AU689" s="212"/>
      <c r="AV689" s="212"/>
      <c r="AW689" s="212"/>
      <c r="AX689" s="212"/>
      <c r="AY689" s="212"/>
      <c r="AZ689" s="212"/>
      <c r="BA689" s="212"/>
      <c r="BB689" s="212"/>
      <c r="BC689" s="212"/>
      <c r="BD689" s="212"/>
      <c r="BE689" s="212"/>
      <c r="BF689" s="212"/>
      <c r="BG689" s="212"/>
      <c r="BH689" s="212"/>
      <c r="BI689" s="212"/>
    </row>
    <row r="690" spans="1:61" ht="24" customHeight="1">
      <c r="A690" s="218" t="s">
        <v>2369</v>
      </c>
      <c r="B690" s="218" t="s">
        <v>1437</v>
      </c>
      <c r="C690" s="228">
        <v>1</v>
      </c>
      <c r="D690" s="213" t="s">
        <v>149</v>
      </c>
      <c r="E690" s="212"/>
      <c r="F690" s="217">
        <f>TRUNC(F691+F692+F693+F694,0)</f>
        <v>0</v>
      </c>
      <c r="G690" s="212"/>
      <c r="H690" s="217">
        <f>TRUNC(H691+H692+H693+H694,0)</f>
        <v>0</v>
      </c>
      <c r="I690" s="212"/>
      <c r="J690" s="217">
        <f>TRUNC(J691+J692+J693+J694,0)</f>
        <v>0</v>
      </c>
      <c r="K690" s="212"/>
      <c r="L690" s="217">
        <f>F690+H690+J690</f>
        <v>0</v>
      </c>
      <c r="M690" s="215" t="s">
        <v>1850</v>
      </c>
      <c r="N690" s="212" t="s">
        <v>68</v>
      </c>
      <c r="O690" s="212" t="s">
        <v>1438</v>
      </c>
      <c r="P690" s="212"/>
      <c r="Q690" s="212"/>
      <c r="R690" s="212"/>
      <c r="S690" s="212"/>
      <c r="T690" s="212"/>
      <c r="U690" s="212"/>
      <c r="V690" s="212"/>
      <c r="W690" s="212"/>
      <c r="X690" s="212"/>
      <c r="Y690" s="212"/>
      <c r="Z690" s="212"/>
      <c r="AA690" s="212"/>
      <c r="AB690" s="212"/>
      <c r="AC690" s="212"/>
      <c r="AD690" s="212"/>
      <c r="AE690" s="212"/>
      <c r="AF690" s="212"/>
      <c r="AG690" s="212"/>
      <c r="AH690" s="212"/>
      <c r="AI690" s="212"/>
      <c r="AJ690" s="212"/>
      <c r="AK690" s="212"/>
      <c r="AL690" s="212"/>
      <c r="AM690" s="212"/>
      <c r="AN690" s="212"/>
      <c r="AO690" s="212"/>
      <c r="AP690" s="212"/>
      <c r="AQ690" s="212"/>
      <c r="AR690" s="212"/>
      <c r="AS690" s="212"/>
      <c r="AT690" s="212"/>
      <c r="AU690" s="212"/>
      <c r="AV690" s="212"/>
      <c r="AW690" s="212"/>
      <c r="AX690" s="212"/>
      <c r="AY690" s="212"/>
      <c r="AZ690" s="212"/>
      <c r="BA690" s="212"/>
      <c r="BB690" s="212"/>
      <c r="BC690" s="212"/>
      <c r="BD690" s="212"/>
      <c r="BE690" s="212"/>
      <c r="BF690" s="212"/>
      <c r="BG690" s="212"/>
      <c r="BH690" s="212"/>
      <c r="BI690" s="212"/>
    </row>
    <row r="691" spans="1:61" ht="24" customHeight="1">
      <c r="A691" s="218" t="s">
        <v>2370</v>
      </c>
      <c r="B691" s="218" t="s">
        <v>2371</v>
      </c>
      <c r="C691" s="228">
        <v>1</v>
      </c>
      <c r="D691" s="213" t="s">
        <v>437</v>
      </c>
      <c r="E691" s="217">
        <f>자재조서!E97</f>
        <v>0</v>
      </c>
      <c r="F691" s="217">
        <f>TRUNC(E691*C691,0)</f>
        <v>0</v>
      </c>
      <c r="G691" s="217">
        <v>0</v>
      </c>
      <c r="H691" s="217"/>
      <c r="I691" s="217">
        <v>0</v>
      </c>
      <c r="J691" s="217"/>
      <c r="K691" s="217">
        <f>E691+G691+I691</f>
        <v>0</v>
      </c>
      <c r="L691" s="217">
        <f>F691+H691+J691</f>
        <v>0</v>
      </c>
      <c r="M691" s="215" t="s">
        <v>68</v>
      </c>
      <c r="N691" s="212" t="s">
        <v>68</v>
      </c>
      <c r="O691" s="212"/>
      <c r="P691" s="212" t="s">
        <v>2245</v>
      </c>
      <c r="Q691" s="212" t="s">
        <v>68</v>
      </c>
      <c r="R691" s="212" t="s">
        <v>2372</v>
      </c>
      <c r="S691" s="212"/>
      <c r="T691" s="212"/>
      <c r="U691" s="212"/>
      <c r="V691" s="212"/>
      <c r="W691" s="212"/>
      <c r="X691" s="212"/>
      <c r="Y691" s="212"/>
      <c r="Z691" s="212"/>
      <c r="AA691" s="212"/>
      <c r="AB691" s="212"/>
      <c r="AC691" s="212"/>
      <c r="AD691" s="212"/>
      <c r="AE691" s="212"/>
      <c r="AF691" s="212"/>
      <c r="AG691" s="212"/>
      <c r="AH691" s="212"/>
      <c r="AI691" s="212"/>
      <c r="AJ691" s="212"/>
      <c r="AK691" s="212"/>
      <c r="AL691" s="212"/>
      <c r="AM691" s="212"/>
      <c r="AN691" s="212"/>
      <c r="AO691" s="212"/>
      <c r="AP691" s="212"/>
      <c r="AQ691" s="212"/>
      <c r="AR691" s="212"/>
      <c r="AS691" s="212"/>
      <c r="AT691" s="212"/>
      <c r="AU691" s="212"/>
      <c r="AV691" s="212"/>
      <c r="AW691" s="212"/>
      <c r="AX691" s="212"/>
      <c r="AY691" s="212"/>
      <c r="AZ691" s="212"/>
      <c r="BA691" s="212"/>
      <c r="BB691" s="212"/>
      <c r="BC691" s="212"/>
      <c r="BD691" s="212"/>
      <c r="BE691" s="212"/>
      <c r="BF691" s="212"/>
      <c r="BG691" s="212"/>
      <c r="BH691" s="212"/>
      <c r="BI691" s="231" t="str">
        <f>HYPERLINK("#자재조서!A97","MZZ9000044 →")</f>
        <v>MZZ9000044 →</v>
      </c>
    </row>
    <row r="692" spans="1:61" ht="24" customHeight="1">
      <c r="A692" s="218" t="s">
        <v>2373</v>
      </c>
      <c r="B692" s="218" t="s">
        <v>1946</v>
      </c>
      <c r="C692" s="229">
        <v>0.17</v>
      </c>
      <c r="D692" s="213" t="s">
        <v>1286</v>
      </c>
      <c r="E692" s="217">
        <v>0</v>
      </c>
      <c r="F692" s="217"/>
      <c r="G692" s="217">
        <f>노임!D21</f>
        <v>0</v>
      </c>
      <c r="H692" s="217">
        <f>TRUNC(G692*C692,0)</f>
        <v>0</v>
      </c>
      <c r="I692" s="217">
        <v>0</v>
      </c>
      <c r="J692" s="217"/>
      <c r="K692" s="217">
        <f>E692+G692+I692</f>
        <v>0</v>
      </c>
      <c r="L692" s="217">
        <f>F692+H692+J692</f>
        <v>0</v>
      </c>
      <c r="M692" s="215" t="s">
        <v>68</v>
      </c>
      <c r="N692" s="212" t="s">
        <v>68</v>
      </c>
      <c r="O692" s="212"/>
      <c r="P692" s="212" t="s">
        <v>1095</v>
      </c>
      <c r="Q692" s="212" t="s">
        <v>68</v>
      </c>
      <c r="R692" s="212" t="s">
        <v>2374</v>
      </c>
      <c r="S692" s="212"/>
      <c r="T692" s="212"/>
      <c r="U692" s="212"/>
      <c r="V692" s="212"/>
      <c r="W692" s="212"/>
      <c r="X692" s="212"/>
      <c r="Y692" s="212"/>
      <c r="Z692" s="212"/>
      <c r="AA692" s="212"/>
      <c r="AB692" s="212"/>
      <c r="AC692" s="212"/>
      <c r="AD692" s="212"/>
      <c r="AE692" s="212"/>
      <c r="AF692" s="212"/>
      <c r="AG692" s="212"/>
      <c r="AH692" s="212"/>
      <c r="AI692" s="212"/>
      <c r="AJ692" s="212"/>
      <c r="AK692" s="212"/>
      <c r="AL692" s="212"/>
      <c r="AM692" s="212"/>
      <c r="AN692" s="212"/>
      <c r="AO692" s="212"/>
      <c r="AP692" s="212"/>
      <c r="AQ692" s="212"/>
      <c r="AR692" s="212"/>
      <c r="AS692" s="212"/>
      <c r="AT692" s="212"/>
      <c r="AU692" s="212"/>
      <c r="AV692" s="212"/>
      <c r="AW692" s="212"/>
      <c r="AX692" s="212"/>
      <c r="AY692" s="212"/>
      <c r="AZ692" s="212"/>
      <c r="BA692" s="212"/>
      <c r="BB692" s="212"/>
      <c r="BC692" s="212"/>
      <c r="BD692" s="212"/>
      <c r="BE692" s="212"/>
      <c r="BF692" s="212"/>
      <c r="BG692" s="212"/>
      <c r="BH692" s="212"/>
      <c r="BI692" s="231" t="str">
        <f>HYPERLINK("#노임!A21","L001010101000041 →")</f>
        <v>L001010101000041 →</v>
      </c>
    </row>
    <row r="693" spans="1:61" ht="24" customHeight="1">
      <c r="A693" s="218" t="s">
        <v>1967</v>
      </c>
      <c r="B693" s="218" t="s">
        <v>1946</v>
      </c>
      <c r="C693" s="229">
        <v>7.0000000000000007E-2</v>
      </c>
      <c r="D693" s="213" t="s">
        <v>1286</v>
      </c>
      <c r="E693" s="217">
        <v>0</v>
      </c>
      <c r="F693" s="217"/>
      <c r="G693" s="217">
        <f>노임!D3</f>
        <v>0</v>
      </c>
      <c r="H693" s="217">
        <f>TRUNC(G693*C693,0)</f>
        <v>0</v>
      </c>
      <c r="I693" s="217">
        <v>0</v>
      </c>
      <c r="J693" s="217"/>
      <c r="K693" s="217">
        <f>E693+G693+I693</f>
        <v>0</v>
      </c>
      <c r="L693" s="217">
        <f>F693+H693+J693</f>
        <v>0</v>
      </c>
      <c r="M693" s="215" t="s">
        <v>68</v>
      </c>
      <c r="N693" s="212" t="s">
        <v>68</v>
      </c>
      <c r="O693" s="212"/>
      <c r="P693" s="212" t="s">
        <v>1098</v>
      </c>
      <c r="Q693" s="212" t="s">
        <v>68</v>
      </c>
      <c r="R693" s="212" t="s">
        <v>1968</v>
      </c>
      <c r="S693" s="212"/>
      <c r="T693" s="212"/>
      <c r="U693" s="212"/>
      <c r="V693" s="212"/>
      <c r="W693" s="212"/>
      <c r="X693" s="212"/>
      <c r="Y693" s="212"/>
      <c r="Z693" s="212"/>
      <c r="AA693" s="220" t="s">
        <v>1955</v>
      </c>
      <c r="AB693" s="212">
        <f>(호표!H692+호표!H693)*0.02</f>
        <v>0</v>
      </c>
      <c r="AC693" s="220" t="s">
        <v>1956</v>
      </c>
      <c r="AD693" s="212">
        <f>$AB693</f>
        <v>0</v>
      </c>
      <c r="AE693" s="212"/>
      <c r="AF693" s="212"/>
      <c r="AG693" s="212"/>
      <c r="AH693" s="212"/>
      <c r="AI693" s="212"/>
      <c r="AJ693" s="212"/>
      <c r="AK693" s="212"/>
      <c r="AL693" s="212"/>
      <c r="AM693" s="212"/>
      <c r="AN693" s="212"/>
      <c r="AO693" s="212"/>
      <c r="AP693" s="212"/>
      <c r="AQ693" s="212"/>
      <c r="AR693" s="212"/>
      <c r="AS693" s="212"/>
      <c r="AT693" s="212"/>
      <c r="AU693" s="212"/>
      <c r="AV693" s="212"/>
      <c r="AW693" s="212"/>
      <c r="AX693" s="212"/>
      <c r="AY693" s="212"/>
      <c r="AZ693" s="212"/>
      <c r="BA693" s="212"/>
      <c r="BB693" s="212"/>
      <c r="BC693" s="212"/>
      <c r="BD693" s="212"/>
      <c r="BE693" s="212"/>
      <c r="BF693" s="212"/>
      <c r="BG693" s="212"/>
      <c r="BH693" s="212"/>
      <c r="BI693" s="231" t="str">
        <f>HYPERLINK("#노임!A3","L001010101000002 →")</f>
        <v>L001010101000002 →</v>
      </c>
    </row>
    <row r="694" spans="1:61" ht="24" customHeight="1">
      <c r="A694" s="218" t="s">
        <v>1957</v>
      </c>
      <c r="B694" s="218" t="s">
        <v>1958</v>
      </c>
      <c r="C694" s="228">
        <v>2</v>
      </c>
      <c r="D694" s="213" t="s">
        <v>1950</v>
      </c>
      <c r="E694" s="213"/>
      <c r="F694" s="217">
        <v>0</v>
      </c>
      <c r="G694" s="213"/>
      <c r="H694" s="217">
        <v>0</v>
      </c>
      <c r="I694" s="213"/>
      <c r="J694" s="217">
        <f>TRUNC(((H692+H693)*0.02),0)</f>
        <v>0</v>
      </c>
      <c r="K694" s="217">
        <f>E694+G694+I694</f>
        <v>0</v>
      </c>
      <c r="L694" s="217">
        <f>F694+H694+J694</f>
        <v>0</v>
      </c>
      <c r="M694" s="215" t="s">
        <v>68</v>
      </c>
      <c r="N694" s="212" t="s">
        <v>68</v>
      </c>
      <c r="O694" s="212"/>
      <c r="P694" s="212" t="s">
        <v>1101</v>
      </c>
      <c r="Q694" s="212" t="s">
        <v>68</v>
      </c>
      <c r="R694" s="212" t="s">
        <v>1121</v>
      </c>
      <c r="S694" s="212"/>
      <c r="T694" s="212"/>
      <c r="U694" s="212"/>
      <c r="V694" s="212"/>
      <c r="W694" s="212"/>
      <c r="X694" s="212" t="s">
        <v>1975</v>
      </c>
      <c r="Y694" s="212"/>
      <c r="Z694" s="212"/>
      <c r="AA694" s="212"/>
      <c r="AB694" s="212"/>
      <c r="AC694" s="212"/>
      <c r="AD694" s="212"/>
      <c r="AE694" s="212"/>
      <c r="AF694" s="212"/>
      <c r="AG694" s="212"/>
      <c r="AH694" s="212"/>
      <c r="AI694" s="212"/>
      <c r="AJ694" s="212"/>
      <c r="AK694" s="212"/>
      <c r="AL694" s="212"/>
      <c r="AM694" s="212"/>
      <c r="AN694" s="212"/>
      <c r="AO694" s="212"/>
      <c r="AP694" s="212"/>
      <c r="AQ694" s="212"/>
      <c r="AR694" s="212"/>
      <c r="AS694" s="212"/>
      <c r="AT694" s="212"/>
      <c r="AU694" s="212"/>
      <c r="AV694" s="212"/>
      <c r="AW694" s="212"/>
      <c r="AX694" s="212"/>
      <c r="AY694" s="212"/>
      <c r="AZ694" s="212"/>
      <c r="BA694" s="212"/>
      <c r="BB694" s="212"/>
      <c r="BC694" s="212"/>
      <c r="BD694" s="212"/>
      <c r="BE694" s="212"/>
      <c r="BF694" s="212"/>
      <c r="BG694" s="212"/>
      <c r="BH694" s="212"/>
      <c r="BI694" s="212"/>
    </row>
    <row r="695" spans="1:61" ht="24" customHeight="1">
      <c r="A695" s="215"/>
      <c r="B695" s="215"/>
      <c r="C695" s="229"/>
      <c r="D695" s="213"/>
      <c r="E695" s="213"/>
      <c r="F695" s="213"/>
      <c r="G695" s="213"/>
      <c r="H695" s="213"/>
      <c r="I695" s="213"/>
      <c r="J695" s="213"/>
      <c r="K695" s="213"/>
      <c r="L695" s="213"/>
      <c r="M695" s="215"/>
      <c r="N695" s="212"/>
      <c r="O695" s="212"/>
      <c r="P695" s="212"/>
      <c r="Q695" s="212"/>
      <c r="R695" s="212"/>
      <c r="S695" s="212"/>
      <c r="T695" s="212"/>
      <c r="U695" s="212"/>
      <c r="V695" s="212"/>
      <c r="W695" s="212"/>
      <c r="X695" s="212"/>
      <c r="Y695" s="212"/>
      <c r="Z695" s="212"/>
      <c r="AA695" s="212"/>
      <c r="AB695" s="212"/>
      <c r="AC695" s="212"/>
      <c r="AD695" s="212"/>
      <c r="AE695" s="212"/>
      <c r="AF695" s="212"/>
      <c r="AG695" s="212"/>
      <c r="AH695" s="212"/>
      <c r="AI695" s="212"/>
      <c r="AJ695" s="212"/>
      <c r="AK695" s="212"/>
      <c r="AL695" s="212"/>
      <c r="AM695" s="212"/>
      <c r="AN695" s="212"/>
      <c r="AO695" s="212"/>
      <c r="AP695" s="212"/>
      <c r="AQ695" s="212"/>
      <c r="AR695" s="212"/>
      <c r="AS695" s="212"/>
      <c r="AT695" s="212"/>
      <c r="AU695" s="212"/>
      <c r="AV695" s="212"/>
      <c r="AW695" s="212"/>
      <c r="AX695" s="212"/>
      <c r="AY695" s="212"/>
      <c r="AZ695" s="212"/>
      <c r="BA695" s="212"/>
      <c r="BB695" s="212"/>
      <c r="BC695" s="212"/>
      <c r="BD695" s="212"/>
      <c r="BE695" s="212"/>
      <c r="BF695" s="212"/>
      <c r="BG695" s="212"/>
      <c r="BH695" s="212"/>
      <c r="BI695" s="212"/>
    </row>
    <row r="696" spans="1:61" ht="24" customHeight="1">
      <c r="A696" s="218" t="s">
        <v>2375</v>
      </c>
      <c r="B696" s="218" t="s">
        <v>1439</v>
      </c>
      <c r="C696" s="228">
        <v>1</v>
      </c>
      <c r="D696" s="213" t="s">
        <v>149</v>
      </c>
      <c r="E696" s="212"/>
      <c r="F696" s="217">
        <f>TRUNC(F697+F698+F699+F700,0)</f>
        <v>0</v>
      </c>
      <c r="G696" s="212"/>
      <c r="H696" s="217">
        <f>TRUNC(H697+H698+H699+H700,0)</f>
        <v>0</v>
      </c>
      <c r="I696" s="212"/>
      <c r="J696" s="217">
        <f>TRUNC(J697+J698+J699+J700,0)</f>
        <v>0</v>
      </c>
      <c r="K696" s="212"/>
      <c r="L696" s="217">
        <f>F696+H696+J696</f>
        <v>0</v>
      </c>
      <c r="M696" s="215" t="s">
        <v>1850</v>
      </c>
      <c r="N696" s="212" t="s">
        <v>68</v>
      </c>
      <c r="O696" s="212" t="s">
        <v>1440</v>
      </c>
      <c r="P696" s="212"/>
      <c r="Q696" s="212"/>
      <c r="R696" s="212"/>
      <c r="S696" s="212"/>
      <c r="T696" s="212"/>
      <c r="U696" s="212"/>
      <c r="V696" s="212"/>
      <c r="W696" s="212"/>
      <c r="X696" s="212"/>
      <c r="Y696" s="212"/>
      <c r="Z696" s="212"/>
      <c r="AA696" s="212"/>
      <c r="AB696" s="212"/>
      <c r="AC696" s="212"/>
      <c r="AD696" s="212"/>
      <c r="AE696" s="212"/>
      <c r="AF696" s="212"/>
      <c r="AG696" s="212"/>
      <c r="AH696" s="212"/>
      <c r="AI696" s="212"/>
      <c r="AJ696" s="212"/>
      <c r="AK696" s="212"/>
      <c r="AL696" s="212"/>
      <c r="AM696" s="212"/>
      <c r="AN696" s="212"/>
      <c r="AO696" s="212"/>
      <c r="AP696" s="212"/>
      <c r="AQ696" s="212"/>
      <c r="AR696" s="212"/>
      <c r="AS696" s="212"/>
      <c r="AT696" s="212"/>
      <c r="AU696" s="212"/>
      <c r="AV696" s="212"/>
      <c r="AW696" s="212"/>
      <c r="AX696" s="212"/>
      <c r="AY696" s="212"/>
      <c r="AZ696" s="212"/>
      <c r="BA696" s="212"/>
      <c r="BB696" s="212"/>
      <c r="BC696" s="212"/>
      <c r="BD696" s="212"/>
      <c r="BE696" s="212"/>
      <c r="BF696" s="212"/>
      <c r="BG696" s="212"/>
      <c r="BH696" s="212"/>
      <c r="BI696" s="212"/>
    </row>
    <row r="697" spans="1:61" ht="24" customHeight="1">
      <c r="A697" s="218" t="s">
        <v>2376</v>
      </c>
      <c r="B697" s="218" t="s">
        <v>2377</v>
      </c>
      <c r="C697" s="228">
        <v>1</v>
      </c>
      <c r="D697" s="213" t="s">
        <v>437</v>
      </c>
      <c r="E697" s="217">
        <f>자재조서!E98</f>
        <v>0</v>
      </c>
      <c r="F697" s="217">
        <f>TRUNC(E697*C697,0)</f>
        <v>0</v>
      </c>
      <c r="G697" s="217">
        <v>0</v>
      </c>
      <c r="H697" s="217"/>
      <c r="I697" s="217">
        <v>0</v>
      </c>
      <c r="J697" s="217"/>
      <c r="K697" s="217">
        <f>E697+G697+I697</f>
        <v>0</v>
      </c>
      <c r="L697" s="217">
        <f>F697+H697+J697</f>
        <v>0</v>
      </c>
      <c r="M697" s="215" t="s">
        <v>68</v>
      </c>
      <c r="N697" s="212" t="s">
        <v>68</v>
      </c>
      <c r="O697" s="212"/>
      <c r="P697" s="212" t="s">
        <v>2245</v>
      </c>
      <c r="Q697" s="212" t="s">
        <v>68</v>
      </c>
      <c r="R697" s="212" t="s">
        <v>2378</v>
      </c>
      <c r="S697" s="212"/>
      <c r="T697" s="212"/>
      <c r="U697" s="212"/>
      <c r="V697" s="212"/>
      <c r="W697" s="212"/>
      <c r="X697" s="212"/>
      <c r="Y697" s="212"/>
      <c r="Z697" s="212"/>
      <c r="AA697" s="212"/>
      <c r="AB697" s="212"/>
      <c r="AC697" s="212"/>
      <c r="AD697" s="212"/>
      <c r="AE697" s="212"/>
      <c r="AF697" s="212"/>
      <c r="AG697" s="212"/>
      <c r="AH697" s="212"/>
      <c r="AI697" s="212"/>
      <c r="AJ697" s="212"/>
      <c r="AK697" s="212"/>
      <c r="AL697" s="212"/>
      <c r="AM697" s="212"/>
      <c r="AN697" s="212"/>
      <c r="AO697" s="212"/>
      <c r="AP697" s="212"/>
      <c r="AQ697" s="212"/>
      <c r="AR697" s="212"/>
      <c r="AS697" s="212"/>
      <c r="AT697" s="212"/>
      <c r="AU697" s="212"/>
      <c r="AV697" s="212"/>
      <c r="AW697" s="212"/>
      <c r="AX697" s="212"/>
      <c r="AY697" s="212"/>
      <c r="AZ697" s="212"/>
      <c r="BA697" s="212"/>
      <c r="BB697" s="212"/>
      <c r="BC697" s="212"/>
      <c r="BD697" s="212"/>
      <c r="BE697" s="212"/>
      <c r="BF697" s="212"/>
      <c r="BG697" s="212"/>
      <c r="BH697" s="212"/>
      <c r="BI697" s="231" t="str">
        <f>HYPERLINK("#자재조서!A98","MZZ9000045 →")</f>
        <v>MZZ9000045 →</v>
      </c>
    </row>
    <row r="698" spans="1:61" ht="24" customHeight="1">
      <c r="A698" s="218" t="s">
        <v>2373</v>
      </c>
      <c r="B698" s="218" t="s">
        <v>1946</v>
      </c>
      <c r="C698" s="229">
        <v>0.23</v>
      </c>
      <c r="D698" s="213" t="s">
        <v>1286</v>
      </c>
      <c r="E698" s="217">
        <v>0</v>
      </c>
      <c r="F698" s="217"/>
      <c r="G698" s="217">
        <f>노임!D21</f>
        <v>0</v>
      </c>
      <c r="H698" s="217">
        <f>TRUNC(G698*C698,0)</f>
        <v>0</v>
      </c>
      <c r="I698" s="217">
        <v>0</v>
      </c>
      <c r="J698" s="217"/>
      <c r="K698" s="217">
        <f>E698+G698+I698</f>
        <v>0</v>
      </c>
      <c r="L698" s="217">
        <f>F698+H698+J698</f>
        <v>0</v>
      </c>
      <c r="M698" s="215" t="s">
        <v>68</v>
      </c>
      <c r="N698" s="212" t="s">
        <v>68</v>
      </c>
      <c r="O698" s="212"/>
      <c r="P698" s="212" t="s">
        <v>1095</v>
      </c>
      <c r="Q698" s="212" t="s">
        <v>68</v>
      </c>
      <c r="R698" s="212" t="s">
        <v>2374</v>
      </c>
      <c r="S698" s="212"/>
      <c r="T698" s="212"/>
      <c r="U698" s="212"/>
      <c r="V698" s="212"/>
      <c r="W698" s="212"/>
      <c r="X698" s="212"/>
      <c r="Y698" s="212"/>
      <c r="Z698" s="212"/>
      <c r="AA698" s="212"/>
      <c r="AB698" s="212"/>
      <c r="AC698" s="212"/>
      <c r="AD698" s="212"/>
      <c r="AE698" s="212"/>
      <c r="AF698" s="212"/>
      <c r="AG698" s="212"/>
      <c r="AH698" s="212"/>
      <c r="AI698" s="212"/>
      <c r="AJ698" s="212"/>
      <c r="AK698" s="212"/>
      <c r="AL698" s="212"/>
      <c r="AM698" s="212"/>
      <c r="AN698" s="212"/>
      <c r="AO698" s="212"/>
      <c r="AP698" s="212"/>
      <c r="AQ698" s="212"/>
      <c r="AR698" s="212"/>
      <c r="AS698" s="212"/>
      <c r="AT698" s="212"/>
      <c r="AU698" s="212"/>
      <c r="AV698" s="212"/>
      <c r="AW698" s="212"/>
      <c r="AX698" s="212"/>
      <c r="AY698" s="212"/>
      <c r="AZ698" s="212"/>
      <c r="BA698" s="212"/>
      <c r="BB698" s="212"/>
      <c r="BC698" s="212"/>
      <c r="BD698" s="212"/>
      <c r="BE698" s="212"/>
      <c r="BF698" s="212"/>
      <c r="BG698" s="212"/>
      <c r="BH698" s="212"/>
      <c r="BI698" s="231" t="str">
        <f>HYPERLINK("#노임!A21","L001010101000041 →")</f>
        <v>L001010101000041 →</v>
      </c>
    </row>
    <row r="699" spans="1:61" ht="24" customHeight="1">
      <c r="A699" s="218" t="s">
        <v>1967</v>
      </c>
      <c r="B699" s="218" t="s">
        <v>1946</v>
      </c>
      <c r="C699" s="229">
        <v>0.09</v>
      </c>
      <c r="D699" s="213" t="s">
        <v>1286</v>
      </c>
      <c r="E699" s="217">
        <v>0</v>
      </c>
      <c r="F699" s="217"/>
      <c r="G699" s="217">
        <f>노임!D3</f>
        <v>0</v>
      </c>
      <c r="H699" s="217">
        <f>TRUNC(G699*C699,0)</f>
        <v>0</v>
      </c>
      <c r="I699" s="217">
        <v>0</v>
      </c>
      <c r="J699" s="217"/>
      <c r="K699" s="217">
        <f>E699+G699+I699</f>
        <v>0</v>
      </c>
      <c r="L699" s="217">
        <f>F699+H699+J699</f>
        <v>0</v>
      </c>
      <c r="M699" s="215" t="s">
        <v>68</v>
      </c>
      <c r="N699" s="212" t="s">
        <v>68</v>
      </c>
      <c r="O699" s="212"/>
      <c r="P699" s="212" t="s">
        <v>1098</v>
      </c>
      <c r="Q699" s="212" t="s">
        <v>68</v>
      </c>
      <c r="R699" s="212" t="s">
        <v>1968</v>
      </c>
      <c r="S699" s="212"/>
      <c r="T699" s="212"/>
      <c r="U699" s="212"/>
      <c r="V699" s="212"/>
      <c r="W699" s="212"/>
      <c r="X699" s="212"/>
      <c r="Y699" s="212"/>
      <c r="Z699" s="212"/>
      <c r="AA699" s="220" t="s">
        <v>1955</v>
      </c>
      <c r="AB699" s="212">
        <f>(호표!H698+호표!H699)*0.02</f>
        <v>0</v>
      </c>
      <c r="AC699" s="220" t="s">
        <v>1956</v>
      </c>
      <c r="AD699" s="212">
        <f>$AB699</f>
        <v>0</v>
      </c>
      <c r="AE699" s="212"/>
      <c r="AF699" s="212"/>
      <c r="AG699" s="212"/>
      <c r="AH699" s="212"/>
      <c r="AI699" s="212"/>
      <c r="AJ699" s="212"/>
      <c r="AK699" s="212"/>
      <c r="AL699" s="212"/>
      <c r="AM699" s="212"/>
      <c r="AN699" s="212"/>
      <c r="AO699" s="212"/>
      <c r="AP699" s="212"/>
      <c r="AQ699" s="212"/>
      <c r="AR699" s="212"/>
      <c r="AS699" s="212"/>
      <c r="AT699" s="212"/>
      <c r="AU699" s="212"/>
      <c r="AV699" s="212"/>
      <c r="AW699" s="212"/>
      <c r="AX699" s="212"/>
      <c r="AY699" s="212"/>
      <c r="AZ699" s="212"/>
      <c r="BA699" s="212"/>
      <c r="BB699" s="212"/>
      <c r="BC699" s="212"/>
      <c r="BD699" s="212"/>
      <c r="BE699" s="212"/>
      <c r="BF699" s="212"/>
      <c r="BG699" s="212"/>
      <c r="BH699" s="212"/>
      <c r="BI699" s="231" t="str">
        <f>HYPERLINK("#노임!A3","L001010101000002 →")</f>
        <v>L001010101000002 →</v>
      </c>
    </row>
    <row r="700" spans="1:61" ht="24" customHeight="1">
      <c r="A700" s="218" t="s">
        <v>1957</v>
      </c>
      <c r="B700" s="218" t="s">
        <v>1958</v>
      </c>
      <c r="C700" s="228">
        <v>2</v>
      </c>
      <c r="D700" s="213" t="s">
        <v>1950</v>
      </c>
      <c r="E700" s="213"/>
      <c r="F700" s="217">
        <v>0</v>
      </c>
      <c r="G700" s="213"/>
      <c r="H700" s="217">
        <v>0</v>
      </c>
      <c r="I700" s="213"/>
      <c r="J700" s="217">
        <f>TRUNC(((H698+H699)*0.02),0)</f>
        <v>0</v>
      </c>
      <c r="K700" s="217">
        <f>E700+G700+I700</f>
        <v>0</v>
      </c>
      <c r="L700" s="217">
        <f>F700+H700+J700</f>
        <v>0</v>
      </c>
      <c r="M700" s="215" t="s">
        <v>68</v>
      </c>
      <c r="N700" s="212" t="s">
        <v>68</v>
      </c>
      <c r="O700" s="212"/>
      <c r="P700" s="212" t="s">
        <v>1101</v>
      </c>
      <c r="Q700" s="212" t="s">
        <v>68</v>
      </c>
      <c r="R700" s="212" t="s">
        <v>1121</v>
      </c>
      <c r="S700" s="212"/>
      <c r="T700" s="212"/>
      <c r="U700" s="212"/>
      <c r="V700" s="212"/>
      <c r="W700" s="212"/>
      <c r="X700" s="212" t="s">
        <v>1975</v>
      </c>
      <c r="Y700" s="212"/>
      <c r="Z700" s="212"/>
      <c r="AA700" s="212"/>
      <c r="AB700" s="212"/>
      <c r="AC700" s="212"/>
      <c r="AD700" s="212"/>
      <c r="AE700" s="212"/>
      <c r="AF700" s="212"/>
      <c r="AG700" s="212"/>
      <c r="AH700" s="212"/>
      <c r="AI700" s="212"/>
      <c r="AJ700" s="212"/>
      <c r="AK700" s="212"/>
      <c r="AL700" s="212"/>
      <c r="AM700" s="212"/>
      <c r="AN700" s="212"/>
      <c r="AO700" s="212"/>
      <c r="AP700" s="212"/>
      <c r="AQ700" s="212"/>
      <c r="AR700" s="212"/>
      <c r="AS700" s="212"/>
      <c r="AT700" s="212"/>
      <c r="AU700" s="212"/>
      <c r="AV700" s="212"/>
      <c r="AW700" s="212"/>
      <c r="AX700" s="212"/>
      <c r="AY700" s="212"/>
      <c r="AZ700" s="212"/>
      <c r="BA700" s="212"/>
      <c r="BB700" s="212"/>
      <c r="BC700" s="212"/>
      <c r="BD700" s="212"/>
      <c r="BE700" s="212"/>
      <c r="BF700" s="212"/>
      <c r="BG700" s="212"/>
      <c r="BH700" s="212"/>
      <c r="BI700" s="212"/>
    </row>
    <row r="701" spans="1:61" ht="24" customHeight="1">
      <c r="A701" s="215"/>
      <c r="B701" s="215"/>
      <c r="C701" s="229"/>
      <c r="D701" s="213"/>
      <c r="E701" s="213"/>
      <c r="F701" s="213"/>
      <c r="G701" s="213"/>
      <c r="H701" s="213"/>
      <c r="I701" s="213"/>
      <c r="J701" s="213"/>
      <c r="K701" s="213"/>
      <c r="L701" s="213"/>
      <c r="M701" s="215"/>
      <c r="N701" s="212"/>
      <c r="O701" s="212"/>
      <c r="P701" s="212"/>
      <c r="Q701" s="212"/>
      <c r="R701" s="212"/>
      <c r="S701" s="212"/>
      <c r="T701" s="212"/>
      <c r="U701" s="212"/>
      <c r="V701" s="212"/>
      <c r="W701" s="212"/>
      <c r="X701" s="212"/>
      <c r="Y701" s="212"/>
      <c r="Z701" s="212"/>
      <c r="AA701" s="212"/>
      <c r="AB701" s="212"/>
      <c r="AC701" s="212"/>
      <c r="AD701" s="212"/>
      <c r="AE701" s="212"/>
      <c r="AF701" s="212"/>
      <c r="AG701" s="212"/>
      <c r="AH701" s="212"/>
      <c r="AI701" s="212"/>
      <c r="AJ701" s="212"/>
      <c r="AK701" s="212"/>
      <c r="AL701" s="212"/>
      <c r="AM701" s="212"/>
      <c r="AN701" s="212"/>
      <c r="AO701" s="212"/>
      <c r="AP701" s="212"/>
      <c r="AQ701" s="212"/>
      <c r="AR701" s="212"/>
      <c r="AS701" s="212"/>
      <c r="AT701" s="212"/>
      <c r="AU701" s="212"/>
      <c r="AV701" s="212"/>
      <c r="AW701" s="212"/>
      <c r="AX701" s="212"/>
      <c r="AY701" s="212"/>
      <c r="AZ701" s="212"/>
      <c r="BA701" s="212"/>
      <c r="BB701" s="212"/>
      <c r="BC701" s="212"/>
      <c r="BD701" s="212"/>
      <c r="BE701" s="212"/>
      <c r="BF701" s="212"/>
      <c r="BG701" s="212"/>
      <c r="BH701" s="212"/>
      <c r="BI701" s="212"/>
    </row>
    <row r="702" spans="1:61" ht="24" customHeight="1">
      <c r="A702" s="218" t="s">
        <v>2379</v>
      </c>
      <c r="B702" s="218" t="s">
        <v>1442</v>
      </c>
      <c r="C702" s="228">
        <v>1</v>
      </c>
      <c r="D702" s="213" t="s">
        <v>1412</v>
      </c>
      <c r="E702" s="212"/>
      <c r="F702" s="217">
        <f>TRUNC(F703+F704+F705+F706,0)</f>
        <v>0</v>
      </c>
      <c r="G702" s="212"/>
      <c r="H702" s="217">
        <f>TRUNC(H703+H704+H705+H706,0)</f>
        <v>0</v>
      </c>
      <c r="I702" s="212"/>
      <c r="J702" s="217">
        <f>TRUNC(J703+J704+J705+J706,0)</f>
        <v>0</v>
      </c>
      <c r="K702" s="212"/>
      <c r="L702" s="217">
        <f>F702+H702+J702</f>
        <v>0</v>
      </c>
      <c r="M702" s="215" t="s">
        <v>1853</v>
      </c>
      <c r="N702" s="212" t="s">
        <v>68</v>
      </c>
      <c r="O702" s="212" t="s">
        <v>1443</v>
      </c>
      <c r="P702" s="212"/>
      <c r="Q702" s="212"/>
      <c r="R702" s="212"/>
      <c r="S702" s="212"/>
      <c r="T702" s="212"/>
      <c r="U702" s="212"/>
      <c r="V702" s="212"/>
      <c r="W702" s="212"/>
      <c r="X702" s="212"/>
      <c r="Y702" s="212"/>
      <c r="Z702" s="212"/>
      <c r="AA702" s="212"/>
      <c r="AB702" s="212"/>
      <c r="AC702" s="212"/>
      <c r="AD702" s="212"/>
      <c r="AE702" s="212"/>
      <c r="AF702" s="212"/>
      <c r="AG702" s="212"/>
      <c r="AH702" s="212"/>
      <c r="AI702" s="212"/>
      <c r="AJ702" s="212"/>
      <c r="AK702" s="212"/>
      <c r="AL702" s="212"/>
      <c r="AM702" s="212"/>
      <c r="AN702" s="212"/>
      <c r="AO702" s="212"/>
      <c r="AP702" s="212"/>
      <c r="AQ702" s="212"/>
      <c r="AR702" s="212"/>
      <c r="AS702" s="212"/>
      <c r="AT702" s="212"/>
      <c r="AU702" s="212"/>
      <c r="AV702" s="212"/>
      <c r="AW702" s="212"/>
      <c r="AX702" s="212"/>
      <c r="AY702" s="212"/>
      <c r="AZ702" s="212"/>
      <c r="BA702" s="212"/>
      <c r="BB702" s="212"/>
      <c r="BC702" s="212"/>
      <c r="BD702" s="212"/>
      <c r="BE702" s="212"/>
      <c r="BF702" s="212"/>
      <c r="BG702" s="212"/>
      <c r="BH702" s="212"/>
      <c r="BI702" s="212"/>
    </row>
    <row r="703" spans="1:61" ht="24" customHeight="1">
      <c r="A703" s="218" t="s">
        <v>2380</v>
      </c>
      <c r="B703" s="218" t="s">
        <v>2381</v>
      </c>
      <c r="C703" s="228">
        <v>1</v>
      </c>
      <c r="D703" s="213" t="s">
        <v>437</v>
      </c>
      <c r="E703" s="217">
        <f>자재조서!E107</f>
        <v>0</v>
      </c>
      <c r="F703" s="217">
        <f>TRUNC(E703*C703,0)</f>
        <v>0</v>
      </c>
      <c r="G703" s="217">
        <v>0</v>
      </c>
      <c r="H703" s="217"/>
      <c r="I703" s="217">
        <v>0</v>
      </c>
      <c r="J703" s="217"/>
      <c r="K703" s="217">
        <f>E703+G703+I703</f>
        <v>0</v>
      </c>
      <c r="L703" s="217">
        <f>F703+H703+J703</f>
        <v>0</v>
      </c>
      <c r="M703" s="215" t="s">
        <v>68</v>
      </c>
      <c r="N703" s="212" t="s">
        <v>68</v>
      </c>
      <c r="O703" s="212"/>
      <c r="P703" s="212" t="s">
        <v>1095</v>
      </c>
      <c r="Q703" s="212" t="s">
        <v>68</v>
      </c>
      <c r="R703" s="212" t="s">
        <v>2382</v>
      </c>
      <c r="S703" s="212"/>
      <c r="T703" s="212"/>
      <c r="U703" s="212"/>
      <c r="V703" s="212"/>
      <c r="W703" s="212"/>
      <c r="X703" s="212"/>
      <c r="Y703" s="212"/>
      <c r="Z703" s="212"/>
      <c r="AA703" s="212"/>
      <c r="AB703" s="212"/>
      <c r="AC703" s="212"/>
      <c r="AD703" s="212"/>
      <c r="AE703" s="212"/>
      <c r="AF703" s="212"/>
      <c r="AG703" s="212"/>
      <c r="AH703" s="212"/>
      <c r="AI703" s="212"/>
      <c r="AJ703" s="212"/>
      <c r="AK703" s="212"/>
      <c r="AL703" s="212"/>
      <c r="AM703" s="212"/>
      <c r="AN703" s="212"/>
      <c r="AO703" s="212"/>
      <c r="AP703" s="212"/>
      <c r="AQ703" s="212"/>
      <c r="AR703" s="212"/>
      <c r="AS703" s="212"/>
      <c r="AT703" s="212"/>
      <c r="AU703" s="212"/>
      <c r="AV703" s="212"/>
      <c r="AW703" s="212"/>
      <c r="AX703" s="212"/>
      <c r="AY703" s="212"/>
      <c r="AZ703" s="212"/>
      <c r="BA703" s="212"/>
      <c r="BB703" s="212"/>
      <c r="BC703" s="212"/>
      <c r="BD703" s="212"/>
      <c r="BE703" s="212"/>
      <c r="BF703" s="212"/>
      <c r="BG703" s="212"/>
      <c r="BH703" s="212"/>
      <c r="BI703" s="231" t="str">
        <f>HYPERLINK("#자재조서!A107","MZZ9000062 →")</f>
        <v>MZZ9000062 →</v>
      </c>
    </row>
    <row r="704" spans="1:61" ht="24" customHeight="1">
      <c r="A704" s="218" t="s">
        <v>2383</v>
      </c>
      <c r="B704" s="218" t="s">
        <v>1946</v>
      </c>
      <c r="C704" s="229">
        <v>0.24</v>
      </c>
      <c r="D704" s="213" t="s">
        <v>1286</v>
      </c>
      <c r="E704" s="217">
        <v>0</v>
      </c>
      <c r="F704" s="217"/>
      <c r="G704" s="217">
        <f>노임!D22</f>
        <v>0</v>
      </c>
      <c r="H704" s="217">
        <f>TRUNC(G704*C704,0)</f>
        <v>0</v>
      </c>
      <c r="I704" s="217">
        <v>0</v>
      </c>
      <c r="J704" s="217"/>
      <c r="K704" s="217">
        <f>E704+G704+I704</f>
        <v>0</v>
      </c>
      <c r="L704" s="217">
        <f>F704+H704+J704</f>
        <v>0</v>
      </c>
      <c r="M704" s="215" t="s">
        <v>68</v>
      </c>
      <c r="N704" s="212" t="s">
        <v>68</v>
      </c>
      <c r="O704" s="212"/>
      <c r="P704" s="212" t="s">
        <v>1098</v>
      </c>
      <c r="Q704" s="212" t="s">
        <v>68</v>
      </c>
      <c r="R704" s="212" t="s">
        <v>2384</v>
      </c>
      <c r="S704" s="212"/>
      <c r="T704" s="212"/>
      <c r="U704" s="212"/>
      <c r="V704" s="212"/>
      <c r="W704" s="212"/>
      <c r="X704" s="212"/>
      <c r="Y704" s="212"/>
      <c r="Z704" s="212"/>
      <c r="AA704" s="212"/>
      <c r="AB704" s="212"/>
      <c r="AC704" s="212"/>
      <c r="AD704" s="212"/>
      <c r="AE704" s="212"/>
      <c r="AF704" s="212"/>
      <c r="AG704" s="212"/>
      <c r="AH704" s="212"/>
      <c r="AI704" s="212"/>
      <c r="AJ704" s="212"/>
      <c r="AK704" s="212"/>
      <c r="AL704" s="212"/>
      <c r="AM704" s="212"/>
      <c r="AN704" s="212"/>
      <c r="AO704" s="212"/>
      <c r="AP704" s="212"/>
      <c r="AQ704" s="212"/>
      <c r="AR704" s="212"/>
      <c r="AS704" s="212"/>
      <c r="AT704" s="212"/>
      <c r="AU704" s="212"/>
      <c r="AV704" s="212"/>
      <c r="AW704" s="212"/>
      <c r="AX704" s="212"/>
      <c r="AY704" s="212"/>
      <c r="AZ704" s="212"/>
      <c r="BA704" s="212"/>
      <c r="BB704" s="212"/>
      <c r="BC704" s="212"/>
      <c r="BD704" s="212"/>
      <c r="BE704" s="212"/>
      <c r="BF704" s="212"/>
      <c r="BG704" s="212"/>
      <c r="BH704" s="212"/>
      <c r="BI704" s="231" t="str">
        <f>HYPERLINK("#노임!A22","L001010101000042 →")</f>
        <v>L001010101000042 →</v>
      </c>
    </row>
    <row r="705" spans="1:61" ht="24" customHeight="1">
      <c r="A705" s="218" t="s">
        <v>1967</v>
      </c>
      <c r="B705" s="218" t="s">
        <v>1946</v>
      </c>
      <c r="C705" s="229">
        <v>9.4E-2</v>
      </c>
      <c r="D705" s="213" t="s">
        <v>1286</v>
      </c>
      <c r="E705" s="217">
        <v>0</v>
      </c>
      <c r="F705" s="217"/>
      <c r="G705" s="217">
        <f>노임!D3</f>
        <v>0</v>
      </c>
      <c r="H705" s="217">
        <f>TRUNC(G705*C705,0)</f>
        <v>0</v>
      </c>
      <c r="I705" s="217">
        <v>0</v>
      </c>
      <c r="J705" s="217"/>
      <c r="K705" s="217">
        <f>E705+G705+I705</f>
        <v>0</v>
      </c>
      <c r="L705" s="217">
        <f>F705+H705+J705</f>
        <v>0</v>
      </c>
      <c r="M705" s="215" t="s">
        <v>68</v>
      </c>
      <c r="N705" s="212" t="s">
        <v>68</v>
      </c>
      <c r="O705" s="212"/>
      <c r="P705" s="212" t="s">
        <v>1101</v>
      </c>
      <c r="Q705" s="212" t="s">
        <v>68</v>
      </c>
      <c r="R705" s="212" t="s">
        <v>1968</v>
      </c>
      <c r="S705" s="212"/>
      <c r="T705" s="212"/>
      <c r="U705" s="212"/>
      <c r="V705" s="212"/>
      <c r="W705" s="212"/>
      <c r="X705" s="212"/>
      <c r="Y705" s="212"/>
      <c r="Z705" s="212"/>
      <c r="AA705" s="220" t="s">
        <v>1955</v>
      </c>
      <c r="AB705" s="212">
        <f>(호표!H704+호표!H705)*0.02</f>
        <v>0</v>
      </c>
      <c r="AC705" s="220" t="s">
        <v>1956</v>
      </c>
      <c r="AD705" s="212">
        <f>$AB705</f>
        <v>0</v>
      </c>
      <c r="AE705" s="212"/>
      <c r="AF705" s="212"/>
      <c r="AG705" s="212"/>
      <c r="AH705" s="212"/>
      <c r="AI705" s="212"/>
      <c r="AJ705" s="212"/>
      <c r="AK705" s="212"/>
      <c r="AL705" s="212"/>
      <c r="AM705" s="212"/>
      <c r="AN705" s="212"/>
      <c r="AO705" s="212"/>
      <c r="AP705" s="212"/>
      <c r="AQ705" s="212"/>
      <c r="AR705" s="212"/>
      <c r="AS705" s="212"/>
      <c r="AT705" s="212"/>
      <c r="AU705" s="212"/>
      <c r="AV705" s="212"/>
      <c r="AW705" s="212"/>
      <c r="AX705" s="212"/>
      <c r="AY705" s="212"/>
      <c r="AZ705" s="212"/>
      <c r="BA705" s="212"/>
      <c r="BB705" s="212"/>
      <c r="BC705" s="212"/>
      <c r="BD705" s="212"/>
      <c r="BE705" s="212"/>
      <c r="BF705" s="212"/>
      <c r="BG705" s="212"/>
      <c r="BH705" s="212"/>
      <c r="BI705" s="231" t="str">
        <f>HYPERLINK("#노임!A3","L001010101000002 →")</f>
        <v>L001010101000002 →</v>
      </c>
    </row>
    <row r="706" spans="1:61" ht="24" customHeight="1">
      <c r="A706" s="218" t="s">
        <v>1974</v>
      </c>
      <c r="B706" s="218" t="s">
        <v>1958</v>
      </c>
      <c r="C706" s="228">
        <v>2</v>
      </c>
      <c r="D706" s="213" t="s">
        <v>1950</v>
      </c>
      <c r="E706" s="213"/>
      <c r="F706" s="217">
        <v>0</v>
      </c>
      <c r="G706" s="213"/>
      <c r="H706" s="217">
        <v>0</v>
      </c>
      <c r="I706" s="213"/>
      <c r="J706" s="217">
        <f>TRUNC(((H704+H705)*0.02),0)</f>
        <v>0</v>
      </c>
      <c r="K706" s="217">
        <f>E706+G706+I706</f>
        <v>0</v>
      </c>
      <c r="L706" s="217">
        <f>F706+H706+J706</f>
        <v>0</v>
      </c>
      <c r="M706" s="215" t="s">
        <v>68</v>
      </c>
      <c r="N706" s="212" t="s">
        <v>68</v>
      </c>
      <c r="O706" s="212"/>
      <c r="P706" s="212" t="s">
        <v>1104</v>
      </c>
      <c r="Q706" s="212" t="s">
        <v>68</v>
      </c>
      <c r="R706" s="212" t="s">
        <v>1121</v>
      </c>
      <c r="S706" s="212"/>
      <c r="T706" s="212"/>
      <c r="U706" s="212"/>
      <c r="V706" s="212"/>
      <c r="W706" s="212"/>
      <c r="X706" s="212" t="s">
        <v>1986</v>
      </c>
      <c r="Y706" s="212"/>
      <c r="Z706" s="212"/>
      <c r="AA706" s="212"/>
      <c r="AB706" s="212"/>
      <c r="AC706" s="212"/>
      <c r="AD706" s="212"/>
      <c r="AE706" s="212"/>
      <c r="AF706" s="212"/>
      <c r="AG706" s="212"/>
      <c r="AH706" s="212"/>
      <c r="AI706" s="212"/>
      <c r="AJ706" s="212"/>
      <c r="AK706" s="212"/>
      <c r="AL706" s="212"/>
      <c r="AM706" s="212"/>
      <c r="AN706" s="212"/>
      <c r="AO706" s="212"/>
      <c r="AP706" s="212"/>
      <c r="AQ706" s="212"/>
      <c r="AR706" s="212"/>
      <c r="AS706" s="212"/>
      <c r="AT706" s="212"/>
      <c r="AU706" s="212"/>
      <c r="AV706" s="212"/>
      <c r="AW706" s="212"/>
      <c r="AX706" s="212"/>
      <c r="AY706" s="212"/>
      <c r="AZ706" s="212"/>
      <c r="BA706" s="212"/>
      <c r="BB706" s="212"/>
      <c r="BC706" s="212"/>
      <c r="BD706" s="212"/>
      <c r="BE706" s="212"/>
      <c r="BF706" s="212"/>
      <c r="BG706" s="212"/>
      <c r="BH706" s="212"/>
      <c r="BI706" s="212"/>
    </row>
    <row r="707" spans="1:61" ht="24" customHeight="1">
      <c r="A707" s="215"/>
      <c r="B707" s="215"/>
      <c r="C707" s="229"/>
      <c r="D707" s="213"/>
      <c r="E707" s="213"/>
      <c r="F707" s="213"/>
      <c r="G707" s="213"/>
      <c r="H707" s="213"/>
      <c r="I707" s="213"/>
      <c r="J707" s="213"/>
      <c r="K707" s="213"/>
      <c r="L707" s="213"/>
      <c r="M707" s="215"/>
      <c r="N707" s="212"/>
      <c r="O707" s="212"/>
      <c r="P707" s="212"/>
      <c r="Q707" s="212"/>
      <c r="R707" s="212"/>
      <c r="S707" s="212"/>
      <c r="T707" s="212"/>
      <c r="U707" s="212"/>
      <c r="V707" s="212"/>
      <c r="W707" s="212"/>
      <c r="X707" s="212"/>
      <c r="Y707" s="212"/>
      <c r="Z707" s="212"/>
      <c r="AA707" s="212"/>
      <c r="AB707" s="212"/>
      <c r="AC707" s="212"/>
      <c r="AD707" s="212"/>
      <c r="AE707" s="212"/>
      <c r="AF707" s="212"/>
      <c r="AG707" s="212"/>
      <c r="AH707" s="212"/>
      <c r="AI707" s="212"/>
      <c r="AJ707" s="212"/>
      <c r="AK707" s="212"/>
      <c r="AL707" s="212"/>
      <c r="AM707" s="212"/>
      <c r="AN707" s="212"/>
      <c r="AO707" s="212"/>
      <c r="AP707" s="212"/>
      <c r="AQ707" s="212"/>
      <c r="AR707" s="212"/>
      <c r="AS707" s="212"/>
      <c r="AT707" s="212"/>
      <c r="AU707" s="212"/>
      <c r="AV707" s="212"/>
      <c r="AW707" s="212"/>
      <c r="AX707" s="212"/>
      <c r="AY707" s="212"/>
      <c r="AZ707" s="212"/>
      <c r="BA707" s="212"/>
      <c r="BB707" s="212"/>
      <c r="BC707" s="212"/>
      <c r="BD707" s="212"/>
      <c r="BE707" s="212"/>
      <c r="BF707" s="212"/>
      <c r="BG707" s="212"/>
      <c r="BH707" s="212"/>
      <c r="BI707" s="212"/>
    </row>
    <row r="708" spans="1:61" ht="24" customHeight="1">
      <c r="A708" s="218" t="s">
        <v>2385</v>
      </c>
      <c r="B708" s="218" t="s">
        <v>1445</v>
      </c>
      <c r="C708" s="228">
        <v>1</v>
      </c>
      <c r="D708" s="213" t="s">
        <v>1412</v>
      </c>
      <c r="E708" s="212"/>
      <c r="F708" s="217">
        <f>TRUNC(F709+F710+F711+F712,0)</f>
        <v>0</v>
      </c>
      <c r="G708" s="212"/>
      <c r="H708" s="217">
        <f>TRUNC(H709+H710+H711+H712,0)</f>
        <v>0</v>
      </c>
      <c r="I708" s="212"/>
      <c r="J708" s="217">
        <f>TRUNC(J709+J710+J711+J712,0)</f>
        <v>0</v>
      </c>
      <c r="K708" s="212"/>
      <c r="L708" s="217">
        <f>F708+H708+J708</f>
        <v>0</v>
      </c>
      <c r="M708" s="215" t="s">
        <v>1855</v>
      </c>
      <c r="N708" s="212" t="s">
        <v>68</v>
      </c>
      <c r="O708" s="212" t="s">
        <v>1446</v>
      </c>
      <c r="P708" s="212"/>
      <c r="Q708" s="212"/>
      <c r="R708" s="212"/>
      <c r="S708" s="212"/>
      <c r="T708" s="212"/>
      <c r="U708" s="212"/>
      <c r="V708" s="212"/>
      <c r="W708" s="212"/>
      <c r="X708" s="212"/>
      <c r="Y708" s="212"/>
      <c r="Z708" s="212"/>
      <c r="AA708" s="212"/>
      <c r="AB708" s="212"/>
      <c r="AC708" s="212"/>
      <c r="AD708" s="212"/>
      <c r="AE708" s="212"/>
      <c r="AF708" s="212"/>
      <c r="AG708" s="212"/>
      <c r="AH708" s="212"/>
      <c r="AI708" s="212"/>
      <c r="AJ708" s="212"/>
      <c r="AK708" s="212"/>
      <c r="AL708" s="212"/>
      <c r="AM708" s="212"/>
      <c r="AN708" s="212"/>
      <c r="AO708" s="212"/>
      <c r="AP708" s="212"/>
      <c r="AQ708" s="212"/>
      <c r="AR708" s="212"/>
      <c r="AS708" s="212"/>
      <c r="AT708" s="212"/>
      <c r="AU708" s="212"/>
      <c r="AV708" s="212"/>
      <c r="AW708" s="212"/>
      <c r="AX708" s="212"/>
      <c r="AY708" s="212"/>
      <c r="AZ708" s="212"/>
      <c r="BA708" s="212"/>
      <c r="BB708" s="212"/>
      <c r="BC708" s="212"/>
      <c r="BD708" s="212"/>
      <c r="BE708" s="212"/>
      <c r="BF708" s="212"/>
      <c r="BG708" s="212"/>
      <c r="BH708" s="212"/>
      <c r="BI708" s="212"/>
    </row>
    <row r="709" spans="1:61" ht="24" customHeight="1">
      <c r="A709" s="218" t="s">
        <v>2386</v>
      </c>
      <c r="B709" s="218" t="s">
        <v>2387</v>
      </c>
      <c r="C709" s="228">
        <v>1</v>
      </c>
      <c r="D709" s="213" t="s">
        <v>437</v>
      </c>
      <c r="E709" s="217">
        <f>자재조서!E106</f>
        <v>0</v>
      </c>
      <c r="F709" s="217">
        <f>TRUNC(E709*C709,0)</f>
        <v>0</v>
      </c>
      <c r="G709" s="217">
        <v>0</v>
      </c>
      <c r="H709" s="217"/>
      <c r="I709" s="217">
        <v>0</v>
      </c>
      <c r="J709" s="217"/>
      <c r="K709" s="217">
        <f>E709+G709+I709</f>
        <v>0</v>
      </c>
      <c r="L709" s="217">
        <f>F709+H709+J709</f>
        <v>0</v>
      </c>
      <c r="M709" s="215" t="s">
        <v>68</v>
      </c>
      <c r="N709" s="212" t="s">
        <v>68</v>
      </c>
      <c r="O709" s="212"/>
      <c r="P709" s="212" t="s">
        <v>1095</v>
      </c>
      <c r="Q709" s="212" t="s">
        <v>68</v>
      </c>
      <c r="R709" s="212" t="s">
        <v>2388</v>
      </c>
      <c r="S709" s="212"/>
      <c r="T709" s="212"/>
      <c r="U709" s="212"/>
      <c r="V709" s="212"/>
      <c r="W709" s="212"/>
      <c r="X709" s="212"/>
      <c r="Y709" s="212"/>
      <c r="Z709" s="212"/>
      <c r="AA709" s="212"/>
      <c r="AB709" s="212"/>
      <c r="AC709" s="212"/>
      <c r="AD709" s="212"/>
      <c r="AE709" s="212"/>
      <c r="AF709" s="212"/>
      <c r="AG709" s="212"/>
      <c r="AH709" s="212"/>
      <c r="AI709" s="212"/>
      <c r="AJ709" s="212"/>
      <c r="AK709" s="212"/>
      <c r="AL709" s="212"/>
      <c r="AM709" s="212"/>
      <c r="AN709" s="212"/>
      <c r="AO709" s="212"/>
      <c r="AP709" s="212"/>
      <c r="AQ709" s="212"/>
      <c r="AR709" s="212"/>
      <c r="AS709" s="212"/>
      <c r="AT709" s="212"/>
      <c r="AU709" s="212"/>
      <c r="AV709" s="212"/>
      <c r="AW709" s="212"/>
      <c r="AX709" s="212"/>
      <c r="AY709" s="212"/>
      <c r="AZ709" s="212"/>
      <c r="BA709" s="212"/>
      <c r="BB709" s="212"/>
      <c r="BC709" s="212"/>
      <c r="BD709" s="212"/>
      <c r="BE709" s="212"/>
      <c r="BF709" s="212"/>
      <c r="BG709" s="212"/>
      <c r="BH709" s="212"/>
      <c r="BI709" s="231" t="str">
        <f>HYPERLINK("#자재조서!A106","MZZ9000061 →")</f>
        <v>MZZ9000061 →</v>
      </c>
    </row>
    <row r="710" spans="1:61" ht="24" customHeight="1">
      <c r="A710" s="218" t="s">
        <v>2383</v>
      </c>
      <c r="B710" s="218" t="s">
        <v>1946</v>
      </c>
      <c r="C710" s="229">
        <v>0.16400000000000001</v>
      </c>
      <c r="D710" s="213" t="s">
        <v>1286</v>
      </c>
      <c r="E710" s="217">
        <v>0</v>
      </c>
      <c r="F710" s="217"/>
      <c r="G710" s="217">
        <f>노임!D22</f>
        <v>0</v>
      </c>
      <c r="H710" s="217">
        <f>TRUNC(G710*C710,0)</f>
        <v>0</v>
      </c>
      <c r="I710" s="217">
        <v>0</v>
      </c>
      <c r="J710" s="217"/>
      <c r="K710" s="217">
        <f>E710+G710+I710</f>
        <v>0</v>
      </c>
      <c r="L710" s="217">
        <f>F710+H710+J710</f>
        <v>0</v>
      </c>
      <c r="M710" s="215" t="s">
        <v>68</v>
      </c>
      <c r="N710" s="212" t="s">
        <v>68</v>
      </c>
      <c r="O710" s="212"/>
      <c r="P710" s="212" t="s">
        <v>1098</v>
      </c>
      <c r="Q710" s="212" t="s">
        <v>68</v>
      </c>
      <c r="R710" s="212" t="s">
        <v>2384</v>
      </c>
      <c r="S710" s="212"/>
      <c r="T710" s="212"/>
      <c r="U710" s="212"/>
      <c r="V710" s="212"/>
      <c r="W710" s="212"/>
      <c r="X710" s="212"/>
      <c r="Y710" s="212"/>
      <c r="Z710" s="212"/>
      <c r="AA710" s="212"/>
      <c r="AB710" s="212"/>
      <c r="AC710" s="212"/>
      <c r="AD710" s="212"/>
      <c r="AE710" s="212"/>
      <c r="AF710" s="212"/>
      <c r="AG710" s="212"/>
      <c r="AH710" s="212"/>
      <c r="AI710" s="212"/>
      <c r="AJ710" s="212"/>
      <c r="AK710" s="212"/>
      <c r="AL710" s="212"/>
      <c r="AM710" s="212"/>
      <c r="AN710" s="212"/>
      <c r="AO710" s="212"/>
      <c r="AP710" s="212"/>
      <c r="AQ710" s="212"/>
      <c r="AR710" s="212"/>
      <c r="AS710" s="212"/>
      <c r="AT710" s="212"/>
      <c r="AU710" s="212"/>
      <c r="AV710" s="212"/>
      <c r="AW710" s="212"/>
      <c r="AX710" s="212"/>
      <c r="AY710" s="212"/>
      <c r="AZ710" s="212"/>
      <c r="BA710" s="212"/>
      <c r="BB710" s="212"/>
      <c r="BC710" s="212"/>
      <c r="BD710" s="212"/>
      <c r="BE710" s="212"/>
      <c r="BF710" s="212"/>
      <c r="BG710" s="212"/>
      <c r="BH710" s="212"/>
      <c r="BI710" s="231" t="str">
        <f>HYPERLINK("#노임!A22","L001010101000042 →")</f>
        <v>L001010101000042 →</v>
      </c>
    </row>
    <row r="711" spans="1:61" ht="24" customHeight="1">
      <c r="A711" s="218" t="s">
        <v>1967</v>
      </c>
      <c r="B711" s="218" t="s">
        <v>1946</v>
      </c>
      <c r="C711" s="229">
        <v>3.3000000000000002E-2</v>
      </c>
      <c r="D711" s="213" t="s">
        <v>1286</v>
      </c>
      <c r="E711" s="217">
        <v>0</v>
      </c>
      <c r="F711" s="217"/>
      <c r="G711" s="217">
        <f>노임!D3</f>
        <v>0</v>
      </c>
      <c r="H711" s="217">
        <f>TRUNC(G711*C711,0)</f>
        <v>0</v>
      </c>
      <c r="I711" s="217">
        <v>0</v>
      </c>
      <c r="J711" s="217"/>
      <c r="K711" s="217">
        <f>E711+G711+I711</f>
        <v>0</v>
      </c>
      <c r="L711" s="217">
        <f>F711+H711+J711</f>
        <v>0</v>
      </c>
      <c r="M711" s="215" t="s">
        <v>68</v>
      </c>
      <c r="N711" s="212" t="s">
        <v>68</v>
      </c>
      <c r="O711" s="212"/>
      <c r="P711" s="212" t="s">
        <v>1101</v>
      </c>
      <c r="Q711" s="212" t="s">
        <v>68</v>
      </c>
      <c r="R711" s="212" t="s">
        <v>1968</v>
      </c>
      <c r="S711" s="212"/>
      <c r="T711" s="212"/>
      <c r="U711" s="212"/>
      <c r="V711" s="212"/>
      <c r="W711" s="212"/>
      <c r="X711" s="212"/>
      <c r="Y711" s="212"/>
      <c r="Z711" s="212"/>
      <c r="AA711" s="220" t="s">
        <v>1955</v>
      </c>
      <c r="AB711" s="212">
        <f>(호표!H710+호표!H711)*0.02</f>
        <v>0</v>
      </c>
      <c r="AC711" s="220" t="s">
        <v>1956</v>
      </c>
      <c r="AD711" s="212">
        <f>$AB711</f>
        <v>0</v>
      </c>
      <c r="AE711" s="212"/>
      <c r="AF711" s="212"/>
      <c r="AG711" s="212"/>
      <c r="AH711" s="212"/>
      <c r="AI711" s="212"/>
      <c r="AJ711" s="212"/>
      <c r="AK711" s="212"/>
      <c r="AL711" s="212"/>
      <c r="AM711" s="212"/>
      <c r="AN711" s="212"/>
      <c r="AO711" s="212"/>
      <c r="AP711" s="212"/>
      <c r="AQ711" s="212"/>
      <c r="AR711" s="212"/>
      <c r="AS711" s="212"/>
      <c r="AT711" s="212"/>
      <c r="AU711" s="212"/>
      <c r="AV711" s="212"/>
      <c r="AW711" s="212"/>
      <c r="AX711" s="212"/>
      <c r="AY711" s="212"/>
      <c r="AZ711" s="212"/>
      <c r="BA711" s="212"/>
      <c r="BB711" s="212"/>
      <c r="BC711" s="212"/>
      <c r="BD711" s="212"/>
      <c r="BE711" s="212"/>
      <c r="BF711" s="212"/>
      <c r="BG711" s="212"/>
      <c r="BH711" s="212"/>
      <c r="BI711" s="231" t="str">
        <f>HYPERLINK("#노임!A3","L001010101000002 →")</f>
        <v>L001010101000002 →</v>
      </c>
    </row>
    <row r="712" spans="1:61" ht="24" customHeight="1">
      <c r="A712" s="218" t="s">
        <v>1974</v>
      </c>
      <c r="B712" s="218" t="s">
        <v>1958</v>
      </c>
      <c r="C712" s="228">
        <v>2</v>
      </c>
      <c r="D712" s="213" t="s">
        <v>1950</v>
      </c>
      <c r="E712" s="213"/>
      <c r="F712" s="217">
        <v>0</v>
      </c>
      <c r="G712" s="213"/>
      <c r="H712" s="217">
        <v>0</v>
      </c>
      <c r="I712" s="213"/>
      <c r="J712" s="217">
        <f>TRUNC(((H710+H711)*0.02),0)</f>
        <v>0</v>
      </c>
      <c r="K712" s="217">
        <f>E712+G712+I712</f>
        <v>0</v>
      </c>
      <c r="L712" s="217">
        <f>F712+H712+J712</f>
        <v>0</v>
      </c>
      <c r="M712" s="215" t="s">
        <v>68</v>
      </c>
      <c r="N712" s="212" t="s">
        <v>68</v>
      </c>
      <c r="O712" s="212"/>
      <c r="P712" s="212" t="s">
        <v>1104</v>
      </c>
      <c r="Q712" s="212" t="s">
        <v>68</v>
      </c>
      <c r="R712" s="212" t="s">
        <v>1121</v>
      </c>
      <c r="S712" s="212"/>
      <c r="T712" s="212"/>
      <c r="U712" s="212"/>
      <c r="V712" s="212"/>
      <c r="W712" s="212"/>
      <c r="X712" s="212" t="s">
        <v>1986</v>
      </c>
      <c r="Y712" s="212"/>
      <c r="Z712" s="212"/>
      <c r="AA712" s="212"/>
      <c r="AB712" s="212"/>
      <c r="AC712" s="212"/>
      <c r="AD712" s="212"/>
      <c r="AE712" s="212"/>
      <c r="AF712" s="212"/>
      <c r="AG712" s="212"/>
      <c r="AH712" s="212"/>
      <c r="AI712" s="212"/>
      <c r="AJ712" s="212"/>
      <c r="AK712" s="212"/>
      <c r="AL712" s="212"/>
      <c r="AM712" s="212"/>
      <c r="AN712" s="212"/>
      <c r="AO712" s="212"/>
      <c r="AP712" s="212"/>
      <c r="AQ712" s="212"/>
      <c r="AR712" s="212"/>
      <c r="AS712" s="212"/>
      <c r="AT712" s="212"/>
      <c r="AU712" s="212"/>
      <c r="AV712" s="212"/>
      <c r="AW712" s="212"/>
      <c r="AX712" s="212"/>
      <c r="AY712" s="212"/>
      <c r="AZ712" s="212"/>
      <c r="BA712" s="212"/>
      <c r="BB712" s="212"/>
      <c r="BC712" s="212"/>
      <c r="BD712" s="212"/>
      <c r="BE712" s="212"/>
      <c r="BF712" s="212"/>
      <c r="BG712" s="212"/>
      <c r="BH712" s="212"/>
      <c r="BI712" s="212"/>
    </row>
    <row r="713" spans="1:61" ht="24" customHeight="1">
      <c r="A713" s="215"/>
      <c r="B713" s="215"/>
      <c r="C713" s="229"/>
      <c r="D713" s="213"/>
      <c r="E713" s="213"/>
      <c r="F713" s="213"/>
      <c r="G713" s="213"/>
      <c r="H713" s="213"/>
      <c r="I713" s="213"/>
      <c r="J713" s="213"/>
      <c r="K713" s="213"/>
      <c r="L713" s="213"/>
      <c r="M713" s="215"/>
      <c r="N713" s="212"/>
      <c r="O713" s="212"/>
      <c r="P713" s="212"/>
      <c r="Q713" s="212"/>
      <c r="R713" s="212"/>
      <c r="S713" s="212"/>
      <c r="T713" s="212"/>
      <c r="U713" s="212"/>
      <c r="V713" s="212"/>
      <c r="W713" s="212"/>
      <c r="X713" s="212"/>
      <c r="Y713" s="212"/>
      <c r="Z713" s="212"/>
      <c r="AA713" s="212"/>
      <c r="AB713" s="212"/>
      <c r="AC713" s="212"/>
      <c r="AD713" s="212"/>
      <c r="AE713" s="212"/>
      <c r="AF713" s="212"/>
      <c r="AG713" s="212"/>
      <c r="AH713" s="212"/>
      <c r="AI713" s="212"/>
      <c r="AJ713" s="212"/>
      <c r="AK713" s="212"/>
      <c r="AL713" s="212"/>
      <c r="AM713" s="212"/>
      <c r="AN713" s="212"/>
      <c r="AO713" s="212"/>
      <c r="AP713" s="212"/>
      <c r="AQ713" s="212"/>
      <c r="AR713" s="212"/>
      <c r="AS713" s="212"/>
      <c r="AT713" s="212"/>
      <c r="AU713" s="212"/>
      <c r="AV713" s="212"/>
      <c r="AW713" s="212"/>
      <c r="AX713" s="212"/>
      <c r="AY713" s="212"/>
      <c r="AZ713" s="212"/>
      <c r="BA713" s="212"/>
      <c r="BB713" s="212"/>
      <c r="BC713" s="212"/>
      <c r="BD713" s="212"/>
      <c r="BE713" s="212"/>
      <c r="BF713" s="212"/>
      <c r="BG713" s="212"/>
      <c r="BH713" s="212"/>
      <c r="BI713" s="212"/>
    </row>
    <row r="714" spans="1:61" ht="24" customHeight="1">
      <c r="A714" s="218" t="s">
        <v>2389</v>
      </c>
      <c r="B714" s="218" t="s">
        <v>1448</v>
      </c>
      <c r="C714" s="228">
        <v>1</v>
      </c>
      <c r="D714" s="213" t="s">
        <v>1412</v>
      </c>
      <c r="E714" s="212"/>
      <c r="F714" s="217">
        <f>TRUNC(F715+F716+F717+F718,0)</f>
        <v>0</v>
      </c>
      <c r="G714" s="212"/>
      <c r="H714" s="217">
        <f>TRUNC(H715+H716+H717+H718,0)</f>
        <v>0</v>
      </c>
      <c r="I714" s="212"/>
      <c r="J714" s="217">
        <f>TRUNC(J715+J716+J717+J718,0)</f>
        <v>0</v>
      </c>
      <c r="K714" s="212"/>
      <c r="L714" s="217">
        <f>F714+H714+J714</f>
        <v>0</v>
      </c>
      <c r="M714" s="215" t="s">
        <v>1853</v>
      </c>
      <c r="N714" s="212" t="s">
        <v>68</v>
      </c>
      <c r="O714" s="212" t="s">
        <v>1449</v>
      </c>
      <c r="P714" s="212"/>
      <c r="Q714" s="212"/>
      <c r="R714" s="212"/>
      <c r="S714" s="212"/>
      <c r="T714" s="212"/>
      <c r="U714" s="212"/>
      <c r="V714" s="212"/>
      <c r="W714" s="212"/>
      <c r="X714" s="212"/>
      <c r="Y714" s="212"/>
      <c r="Z714" s="212"/>
      <c r="AA714" s="212"/>
      <c r="AB714" s="212"/>
      <c r="AC714" s="212"/>
      <c r="AD714" s="212"/>
      <c r="AE714" s="212"/>
      <c r="AF714" s="212"/>
      <c r="AG714" s="212"/>
      <c r="AH714" s="212"/>
      <c r="AI714" s="212"/>
      <c r="AJ714" s="212"/>
      <c r="AK714" s="212"/>
      <c r="AL714" s="212"/>
      <c r="AM714" s="212"/>
      <c r="AN714" s="212"/>
      <c r="AO714" s="212"/>
      <c r="AP714" s="212"/>
      <c r="AQ714" s="212"/>
      <c r="AR714" s="212"/>
      <c r="AS714" s="212"/>
      <c r="AT714" s="212"/>
      <c r="AU714" s="212"/>
      <c r="AV714" s="212"/>
      <c r="AW714" s="212"/>
      <c r="AX714" s="212"/>
      <c r="AY714" s="212"/>
      <c r="AZ714" s="212"/>
      <c r="BA714" s="212"/>
      <c r="BB714" s="212"/>
      <c r="BC714" s="212"/>
      <c r="BD714" s="212"/>
      <c r="BE714" s="212"/>
      <c r="BF714" s="212"/>
      <c r="BG714" s="212"/>
      <c r="BH714" s="212"/>
      <c r="BI714" s="212"/>
    </row>
    <row r="715" spans="1:61" ht="24" customHeight="1">
      <c r="A715" s="218" t="s">
        <v>2390</v>
      </c>
      <c r="B715" s="218" t="s">
        <v>2391</v>
      </c>
      <c r="C715" s="228">
        <v>1</v>
      </c>
      <c r="D715" s="213" t="s">
        <v>437</v>
      </c>
      <c r="E715" s="217">
        <f>자재조서!E110</f>
        <v>0</v>
      </c>
      <c r="F715" s="217">
        <f>TRUNC(E715*C715,0)</f>
        <v>0</v>
      </c>
      <c r="G715" s="217">
        <v>0</v>
      </c>
      <c r="H715" s="217"/>
      <c r="I715" s="217">
        <v>0</v>
      </c>
      <c r="J715" s="217"/>
      <c r="K715" s="217">
        <f>E715+G715+I715</f>
        <v>0</v>
      </c>
      <c r="L715" s="217">
        <f>F715+H715+J715</f>
        <v>0</v>
      </c>
      <c r="M715" s="215" t="s">
        <v>68</v>
      </c>
      <c r="N715" s="212" t="s">
        <v>68</v>
      </c>
      <c r="O715" s="212"/>
      <c r="P715" s="212" t="s">
        <v>1095</v>
      </c>
      <c r="Q715" s="212" t="s">
        <v>68</v>
      </c>
      <c r="R715" s="212" t="s">
        <v>2392</v>
      </c>
      <c r="S715" s="212"/>
      <c r="T715" s="212"/>
      <c r="U715" s="212"/>
      <c r="V715" s="212"/>
      <c r="W715" s="212"/>
      <c r="X715" s="212"/>
      <c r="Y715" s="212"/>
      <c r="Z715" s="212"/>
      <c r="AA715" s="212"/>
      <c r="AB715" s="212"/>
      <c r="AC715" s="212"/>
      <c r="AD715" s="212"/>
      <c r="AE715" s="212"/>
      <c r="AF715" s="212"/>
      <c r="AG715" s="212"/>
      <c r="AH715" s="212"/>
      <c r="AI715" s="212"/>
      <c r="AJ715" s="212"/>
      <c r="AK715" s="212"/>
      <c r="AL715" s="212"/>
      <c r="AM715" s="212"/>
      <c r="AN715" s="212"/>
      <c r="AO715" s="212"/>
      <c r="AP715" s="212"/>
      <c r="AQ715" s="212"/>
      <c r="AR715" s="212"/>
      <c r="AS715" s="212"/>
      <c r="AT715" s="212"/>
      <c r="AU715" s="212"/>
      <c r="AV715" s="212"/>
      <c r="AW715" s="212"/>
      <c r="AX715" s="212"/>
      <c r="AY715" s="212"/>
      <c r="AZ715" s="212"/>
      <c r="BA715" s="212"/>
      <c r="BB715" s="212"/>
      <c r="BC715" s="212"/>
      <c r="BD715" s="212"/>
      <c r="BE715" s="212"/>
      <c r="BF715" s="212"/>
      <c r="BG715" s="212"/>
      <c r="BH715" s="212"/>
      <c r="BI715" s="231" t="str">
        <f>HYPERLINK("#자재조서!A110","MZZ9000066 →")</f>
        <v>MZZ9000066 →</v>
      </c>
    </row>
    <row r="716" spans="1:61" ht="24" customHeight="1">
      <c r="A716" s="218" t="s">
        <v>2383</v>
      </c>
      <c r="B716" s="218" t="s">
        <v>1946</v>
      </c>
      <c r="C716" s="229">
        <v>0.24</v>
      </c>
      <c r="D716" s="213" t="s">
        <v>1286</v>
      </c>
      <c r="E716" s="217">
        <v>0</v>
      </c>
      <c r="F716" s="217"/>
      <c r="G716" s="217">
        <f>노임!D22</f>
        <v>0</v>
      </c>
      <c r="H716" s="217">
        <f>TRUNC(G716*C716,0)</f>
        <v>0</v>
      </c>
      <c r="I716" s="217">
        <v>0</v>
      </c>
      <c r="J716" s="217"/>
      <c r="K716" s="217">
        <f>E716+G716+I716</f>
        <v>0</v>
      </c>
      <c r="L716" s="217">
        <f>F716+H716+J716</f>
        <v>0</v>
      </c>
      <c r="M716" s="215" t="s">
        <v>68</v>
      </c>
      <c r="N716" s="212" t="s">
        <v>68</v>
      </c>
      <c r="O716" s="212"/>
      <c r="P716" s="212" t="s">
        <v>1098</v>
      </c>
      <c r="Q716" s="212" t="s">
        <v>68</v>
      </c>
      <c r="R716" s="212" t="s">
        <v>2384</v>
      </c>
      <c r="S716" s="212"/>
      <c r="T716" s="212"/>
      <c r="U716" s="212"/>
      <c r="V716" s="212"/>
      <c r="W716" s="212"/>
      <c r="X716" s="212"/>
      <c r="Y716" s="212"/>
      <c r="Z716" s="212"/>
      <c r="AA716" s="212"/>
      <c r="AB716" s="212"/>
      <c r="AC716" s="212"/>
      <c r="AD716" s="212"/>
      <c r="AE716" s="212"/>
      <c r="AF716" s="212"/>
      <c r="AG716" s="212"/>
      <c r="AH716" s="212"/>
      <c r="AI716" s="212"/>
      <c r="AJ716" s="212"/>
      <c r="AK716" s="212"/>
      <c r="AL716" s="212"/>
      <c r="AM716" s="212"/>
      <c r="AN716" s="212"/>
      <c r="AO716" s="212"/>
      <c r="AP716" s="212"/>
      <c r="AQ716" s="212"/>
      <c r="AR716" s="212"/>
      <c r="AS716" s="212"/>
      <c r="AT716" s="212"/>
      <c r="AU716" s="212"/>
      <c r="AV716" s="212"/>
      <c r="AW716" s="212"/>
      <c r="AX716" s="212"/>
      <c r="AY716" s="212"/>
      <c r="AZ716" s="212"/>
      <c r="BA716" s="212"/>
      <c r="BB716" s="212"/>
      <c r="BC716" s="212"/>
      <c r="BD716" s="212"/>
      <c r="BE716" s="212"/>
      <c r="BF716" s="212"/>
      <c r="BG716" s="212"/>
      <c r="BH716" s="212"/>
      <c r="BI716" s="231" t="str">
        <f>HYPERLINK("#노임!A22","L001010101000042 →")</f>
        <v>L001010101000042 →</v>
      </c>
    </row>
    <row r="717" spans="1:61" ht="24" customHeight="1">
      <c r="A717" s="218" t="s">
        <v>1967</v>
      </c>
      <c r="B717" s="218" t="s">
        <v>1946</v>
      </c>
      <c r="C717" s="229">
        <v>9.4E-2</v>
      </c>
      <c r="D717" s="213" t="s">
        <v>1286</v>
      </c>
      <c r="E717" s="217">
        <v>0</v>
      </c>
      <c r="F717" s="217"/>
      <c r="G717" s="217">
        <f>노임!D3</f>
        <v>0</v>
      </c>
      <c r="H717" s="217">
        <f>TRUNC(G717*C717,0)</f>
        <v>0</v>
      </c>
      <c r="I717" s="217">
        <v>0</v>
      </c>
      <c r="J717" s="217"/>
      <c r="K717" s="217">
        <f>E717+G717+I717</f>
        <v>0</v>
      </c>
      <c r="L717" s="217">
        <f>F717+H717+J717</f>
        <v>0</v>
      </c>
      <c r="M717" s="215" t="s">
        <v>68</v>
      </c>
      <c r="N717" s="212" t="s">
        <v>68</v>
      </c>
      <c r="O717" s="212"/>
      <c r="P717" s="212" t="s">
        <v>1101</v>
      </c>
      <c r="Q717" s="212" t="s">
        <v>68</v>
      </c>
      <c r="R717" s="212" t="s">
        <v>1968</v>
      </c>
      <c r="S717" s="212"/>
      <c r="T717" s="212"/>
      <c r="U717" s="212"/>
      <c r="V717" s="212"/>
      <c r="W717" s="212"/>
      <c r="X717" s="212"/>
      <c r="Y717" s="212"/>
      <c r="Z717" s="212"/>
      <c r="AA717" s="220" t="s">
        <v>1955</v>
      </c>
      <c r="AB717" s="212">
        <f>(호표!H716+호표!H717)*0.02</f>
        <v>0</v>
      </c>
      <c r="AC717" s="220" t="s">
        <v>1956</v>
      </c>
      <c r="AD717" s="212">
        <f>$AB717</f>
        <v>0</v>
      </c>
      <c r="AE717" s="212"/>
      <c r="AF717" s="212"/>
      <c r="AG717" s="212"/>
      <c r="AH717" s="212"/>
      <c r="AI717" s="212"/>
      <c r="AJ717" s="212"/>
      <c r="AK717" s="212"/>
      <c r="AL717" s="212"/>
      <c r="AM717" s="212"/>
      <c r="AN717" s="212"/>
      <c r="AO717" s="212"/>
      <c r="AP717" s="212"/>
      <c r="AQ717" s="212"/>
      <c r="AR717" s="212"/>
      <c r="AS717" s="212"/>
      <c r="AT717" s="212"/>
      <c r="AU717" s="212"/>
      <c r="AV717" s="212"/>
      <c r="AW717" s="212"/>
      <c r="AX717" s="212"/>
      <c r="AY717" s="212"/>
      <c r="AZ717" s="212"/>
      <c r="BA717" s="212"/>
      <c r="BB717" s="212"/>
      <c r="BC717" s="212"/>
      <c r="BD717" s="212"/>
      <c r="BE717" s="212"/>
      <c r="BF717" s="212"/>
      <c r="BG717" s="212"/>
      <c r="BH717" s="212"/>
      <c r="BI717" s="231" t="str">
        <f>HYPERLINK("#노임!A3","L001010101000002 →")</f>
        <v>L001010101000002 →</v>
      </c>
    </row>
    <row r="718" spans="1:61" ht="24" customHeight="1">
      <c r="A718" s="218" t="s">
        <v>1974</v>
      </c>
      <c r="B718" s="218" t="s">
        <v>1958</v>
      </c>
      <c r="C718" s="228">
        <v>2</v>
      </c>
      <c r="D718" s="213" t="s">
        <v>1950</v>
      </c>
      <c r="E718" s="213"/>
      <c r="F718" s="217">
        <v>0</v>
      </c>
      <c r="G718" s="213"/>
      <c r="H718" s="217">
        <v>0</v>
      </c>
      <c r="I718" s="213"/>
      <c r="J718" s="217">
        <f>TRUNC(((H716+H717)*0.02),0)</f>
        <v>0</v>
      </c>
      <c r="K718" s="217">
        <f>E718+G718+I718</f>
        <v>0</v>
      </c>
      <c r="L718" s="217">
        <f>F718+H718+J718</f>
        <v>0</v>
      </c>
      <c r="M718" s="215" t="s">
        <v>68</v>
      </c>
      <c r="N718" s="212" t="s">
        <v>68</v>
      </c>
      <c r="O718" s="212"/>
      <c r="P718" s="212" t="s">
        <v>1104</v>
      </c>
      <c r="Q718" s="212" t="s">
        <v>68</v>
      </c>
      <c r="R718" s="212" t="s">
        <v>1121</v>
      </c>
      <c r="S718" s="212"/>
      <c r="T718" s="212"/>
      <c r="U718" s="212"/>
      <c r="V718" s="212"/>
      <c r="W718" s="212"/>
      <c r="X718" s="212" t="s">
        <v>1986</v>
      </c>
      <c r="Y718" s="212"/>
      <c r="Z718" s="212"/>
      <c r="AA718" s="212"/>
      <c r="AB718" s="212"/>
      <c r="AC718" s="212"/>
      <c r="AD718" s="212"/>
      <c r="AE718" s="212"/>
      <c r="AF718" s="212"/>
      <c r="AG718" s="212"/>
      <c r="AH718" s="212"/>
      <c r="AI718" s="212"/>
      <c r="AJ718" s="212"/>
      <c r="AK718" s="212"/>
      <c r="AL718" s="212"/>
      <c r="AM718" s="212"/>
      <c r="AN718" s="212"/>
      <c r="AO718" s="212"/>
      <c r="AP718" s="212"/>
      <c r="AQ718" s="212"/>
      <c r="AR718" s="212"/>
      <c r="AS718" s="212"/>
      <c r="AT718" s="212"/>
      <c r="AU718" s="212"/>
      <c r="AV718" s="212"/>
      <c r="AW718" s="212"/>
      <c r="AX718" s="212"/>
      <c r="AY718" s="212"/>
      <c r="AZ718" s="212"/>
      <c r="BA718" s="212"/>
      <c r="BB718" s="212"/>
      <c r="BC718" s="212"/>
      <c r="BD718" s="212"/>
      <c r="BE718" s="212"/>
      <c r="BF718" s="212"/>
      <c r="BG718" s="212"/>
      <c r="BH718" s="212"/>
      <c r="BI718" s="212"/>
    </row>
    <row r="719" spans="1:61" ht="24" customHeight="1">
      <c r="A719" s="215"/>
      <c r="B719" s="215"/>
      <c r="C719" s="229"/>
      <c r="D719" s="213"/>
      <c r="E719" s="213"/>
      <c r="F719" s="213"/>
      <c r="G719" s="213"/>
      <c r="H719" s="213"/>
      <c r="I719" s="213"/>
      <c r="J719" s="213"/>
      <c r="K719" s="213"/>
      <c r="L719" s="213"/>
      <c r="M719" s="215"/>
      <c r="N719" s="212"/>
      <c r="O719" s="212"/>
      <c r="P719" s="212"/>
      <c r="Q719" s="212"/>
      <c r="R719" s="212"/>
      <c r="S719" s="212"/>
      <c r="T719" s="212"/>
      <c r="U719" s="212"/>
      <c r="V719" s="212"/>
      <c r="W719" s="212"/>
      <c r="X719" s="212"/>
      <c r="Y719" s="212"/>
      <c r="Z719" s="212"/>
      <c r="AA719" s="212"/>
      <c r="AB719" s="212"/>
      <c r="AC719" s="212"/>
      <c r="AD719" s="212"/>
      <c r="AE719" s="212"/>
      <c r="AF719" s="212"/>
      <c r="AG719" s="212"/>
      <c r="AH719" s="212"/>
      <c r="AI719" s="212"/>
      <c r="AJ719" s="212"/>
      <c r="AK719" s="212"/>
      <c r="AL719" s="212"/>
      <c r="AM719" s="212"/>
      <c r="AN719" s="212"/>
      <c r="AO719" s="212"/>
      <c r="AP719" s="212"/>
      <c r="AQ719" s="212"/>
      <c r="AR719" s="212"/>
      <c r="AS719" s="212"/>
      <c r="AT719" s="212"/>
      <c r="AU719" s="212"/>
      <c r="AV719" s="212"/>
      <c r="AW719" s="212"/>
      <c r="AX719" s="212"/>
      <c r="AY719" s="212"/>
      <c r="AZ719" s="212"/>
      <c r="BA719" s="212"/>
      <c r="BB719" s="212"/>
      <c r="BC719" s="212"/>
      <c r="BD719" s="212"/>
      <c r="BE719" s="212"/>
      <c r="BF719" s="212"/>
      <c r="BG719" s="212"/>
      <c r="BH719" s="212"/>
      <c r="BI719" s="212"/>
    </row>
    <row r="720" spans="1:61" ht="24" customHeight="1">
      <c r="A720" s="218" t="s">
        <v>2393</v>
      </c>
      <c r="B720" s="218" t="s">
        <v>1451</v>
      </c>
      <c r="C720" s="228">
        <v>1</v>
      </c>
      <c r="D720" s="213" t="s">
        <v>1412</v>
      </c>
      <c r="E720" s="212"/>
      <c r="F720" s="217">
        <f>TRUNC(F721+F722+F723+F724,0)</f>
        <v>0</v>
      </c>
      <c r="G720" s="212"/>
      <c r="H720" s="217">
        <f>TRUNC(H721+H722+H723+H724,0)</f>
        <v>0</v>
      </c>
      <c r="I720" s="212"/>
      <c r="J720" s="217">
        <f>TRUNC(J721+J722+J723+J724,0)</f>
        <v>0</v>
      </c>
      <c r="K720" s="212"/>
      <c r="L720" s="217">
        <f>F720+H720+J720</f>
        <v>0</v>
      </c>
      <c r="M720" s="215" t="s">
        <v>1858</v>
      </c>
      <c r="N720" s="212" t="s">
        <v>68</v>
      </c>
      <c r="O720" s="212" t="s">
        <v>1452</v>
      </c>
      <c r="P720" s="212"/>
      <c r="Q720" s="212"/>
      <c r="R720" s="212"/>
      <c r="S720" s="212"/>
      <c r="T720" s="212"/>
      <c r="U720" s="212"/>
      <c r="V720" s="212"/>
      <c r="W720" s="212"/>
      <c r="X720" s="212"/>
      <c r="Y720" s="212"/>
      <c r="Z720" s="212"/>
      <c r="AA720" s="212"/>
      <c r="AB720" s="212"/>
      <c r="AC720" s="212"/>
      <c r="AD720" s="212"/>
      <c r="AE720" s="212"/>
      <c r="AF720" s="212"/>
      <c r="AG720" s="212"/>
      <c r="AH720" s="212"/>
      <c r="AI720" s="212"/>
      <c r="AJ720" s="212"/>
      <c r="AK720" s="212"/>
      <c r="AL720" s="212"/>
      <c r="AM720" s="212"/>
      <c r="AN720" s="212"/>
      <c r="AO720" s="212"/>
      <c r="AP720" s="212"/>
      <c r="AQ720" s="212"/>
      <c r="AR720" s="212"/>
      <c r="AS720" s="212"/>
      <c r="AT720" s="212"/>
      <c r="AU720" s="212"/>
      <c r="AV720" s="212"/>
      <c r="AW720" s="212"/>
      <c r="AX720" s="212"/>
      <c r="AY720" s="212"/>
      <c r="AZ720" s="212"/>
      <c r="BA720" s="212"/>
      <c r="BB720" s="212"/>
      <c r="BC720" s="212"/>
      <c r="BD720" s="212"/>
      <c r="BE720" s="212"/>
      <c r="BF720" s="212"/>
      <c r="BG720" s="212"/>
      <c r="BH720" s="212"/>
      <c r="BI720" s="212"/>
    </row>
    <row r="721" spans="1:61" ht="24" customHeight="1">
      <c r="A721" s="218" t="s">
        <v>2394</v>
      </c>
      <c r="B721" s="218" t="s">
        <v>2395</v>
      </c>
      <c r="C721" s="228">
        <v>1</v>
      </c>
      <c r="D721" s="213" t="s">
        <v>437</v>
      </c>
      <c r="E721" s="217">
        <f>자재조서!E109</f>
        <v>0</v>
      </c>
      <c r="F721" s="217">
        <f>TRUNC(E721*C721,0)</f>
        <v>0</v>
      </c>
      <c r="G721" s="217">
        <v>0</v>
      </c>
      <c r="H721" s="217"/>
      <c r="I721" s="217">
        <v>0</v>
      </c>
      <c r="J721" s="217"/>
      <c r="K721" s="217">
        <f>E721+G721+I721</f>
        <v>0</v>
      </c>
      <c r="L721" s="217">
        <f>F721+H721+J721</f>
        <v>0</v>
      </c>
      <c r="M721" s="215" t="s">
        <v>68</v>
      </c>
      <c r="N721" s="212" t="s">
        <v>68</v>
      </c>
      <c r="O721" s="212"/>
      <c r="P721" s="212" t="s">
        <v>1095</v>
      </c>
      <c r="Q721" s="212" t="s">
        <v>68</v>
      </c>
      <c r="R721" s="212" t="s">
        <v>2396</v>
      </c>
      <c r="S721" s="212"/>
      <c r="T721" s="212"/>
      <c r="U721" s="212"/>
      <c r="V721" s="212"/>
      <c r="W721" s="212"/>
      <c r="X721" s="212"/>
      <c r="Y721" s="212"/>
      <c r="Z721" s="212"/>
      <c r="AA721" s="212"/>
      <c r="AB721" s="212"/>
      <c r="AC721" s="212"/>
      <c r="AD721" s="212"/>
      <c r="AE721" s="212"/>
      <c r="AF721" s="212"/>
      <c r="AG721" s="212"/>
      <c r="AH721" s="212"/>
      <c r="AI721" s="212"/>
      <c r="AJ721" s="212"/>
      <c r="AK721" s="212"/>
      <c r="AL721" s="212"/>
      <c r="AM721" s="212"/>
      <c r="AN721" s="212"/>
      <c r="AO721" s="212"/>
      <c r="AP721" s="212"/>
      <c r="AQ721" s="212"/>
      <c r="AR721" s="212"/>
      <c r="AS721" s="212"/>
      <c r="AT721" s="212"/>
      <c r="AU721" s="212"/>
      <c r="AV721" s="212"/>
      <c r="AW721" s="212"/>
      <c r="AX721" s="212"/>
      <c r="AY721" s="212"/>
      <c r="AZ721" s="212"/>
      <c r="BA721" s="212"/>
      <c r="BB721" s="212"/>
      <c r="BC721" s="212"/>
      <c r="BD721" s="212"/>
      <c r="BE721" s="212"/>
      <c r="BF721" s="212"/>
      <c r="BG721" s="212"/>
      <c r="BH721" s="212"/>
      <c r="BI721" s="231" t="str">
        <f>HYPERLINK("#자재조서!A109","MZZ9000065 →")</f>
        <v>MZZ9000065 →</v>
      </c>
    </row>
    <row r="722" spans="1:61" ht="24" customHeight="1">
      <c r="A722" s="218" t="s">
        <v>2383</v>
      </c>
      <c r="B722" s="218" t="s">
        <v>1946</v>
      </c>
      <c r="C722" s="229">
        <v>0.13900000000000001</v>
      </c>
      <c r="D722" s="213" t="s">
        <v>1286</v>
      </c>
      <c r="E722" s="217">
        <v>0</v>
      </c>
      <c r="F722" s="217"/>
      <c r="G722" s="217">
        <f>노임!D22</f>
        <v>0</v>
      </c>
      <c r="H722" s="217">
        <f>TRUNC(G722*C722,0)</f>
        <v>0</v>
      </c>
      <c r="I722" s="217">
        <v>0</v>
      </c>
      <c r="J722" s="217"/>
      <c r="K722" s="217">
        <f>E722+G722+I722</f>
        <v>0</v>
      </c>
      <c r="L722" s="217">
        <f>F722+H722+J722</f>
        <v>0</v>
      </c>
      <c r="M722" s="215" t="s">
        <v>68</v>
      </c>
      <c r="N722" s="212" t="s">
        <v>68</v>
      </c>
      <c r="O722" s="212"/>
      <c r="P722" s="212" t="s">
        <v>1098</v>
      </c>
      <c r="Q722" s="212" t="s">
        <v>68</v>
      </c>
      <c r="R722" s="212" t="s">
        <v>2384</v>
      </c>
      <c r="S722" s="212"/>
      <c r="T722" s="212"/>
      <c r="U722" s="212"/>
      <c r="V722" s="212"/>
      <c r="W722" s="212"/>
      <c r="X722" s="212"/>
      <c r="Y722" s="212"/>
      <c r="Z722" s="212"/>
      <c r="AA722" s="212"/>
      <c r="AB722" s="212"/>
      <c r="AC722" s="212"/>
      <c r="AD722" s="212"/>
      <c r="AE722" s="212"/>
      <c r="AF722" s="212"/>
      <c r="AG722" s="212"/>
      <c r="AH722" s="212"/>
      <c r="AI722" s="212"/>
      <c r="AJ722" s="212"/>
      <c r="AK722" s="212"/>
      <c r="AL722" s="212"/>
      <c r="AM722" s="212"/>
      <c r="AN722" s="212"/>
      <c r="AO722" s="212"/>
      <c r="AP722" s="212"/>
      <c r="AQ722" s="212"/>
      <c r="AR722" s="212"/>
      <c r="AS722" s="212"/>
      <c r="AT722" s="212"/>
      <c r="AU722" s="212"/>
      <c r="AV722" s="212"/>
      <c r="AW722" s="212"/>
      <c r="AX722" s="212"/>
      <c r="AY722" s="212"/>
      <c r="AZ722" s="212"/>
      <c r="BA722" s="212"/>
      <c r="BB722" s="212"/>
      <c r="BC722" s="212"/>
      <c r="BD722" s="212"/>
      <c r="BE722" s="212"/>
      <c r="BF722" s="212"/>
      <c r="BG722" s="212"/>
      <c r="BH722" s="212"/>
      <c r="BI722" s="231" t="str">
        <f>HYPERLINK("#노임!A22","L001010101000042 →")</f>
        <v>L001010101000042 →</v>
      </c>
    </row>
    <row r="723" spans="1:61" ht="24" customHeight="1">
      <c r="A723" s="218" t="s">
        <v>1967</v>
      </c>
      <c r="B723" s="218" t="s">
        <v>1946</v>
      </c>
      <c r="C723" s="229">
        <v>2.8000000000000001E-2</v>
      </c>
      <c r="D723" s="213" t="s">
        <v>1286</v>
      </c>
      <c r="E723" s="217">
        <v>0</v>
      </c>
      <c r="F723" s="217"/>
      <c r="G723" s="217">
        <f>노임!D3</f>
        <v>0</v>
      </c>
      <c r="H723" s="217">
        <f>TRUNC(G723*C723,0)</f>
        <v>0</v>
      </c>
      <c r="I723" s="217">
        <v>0</v>
      </c>
      <c r="J723" s="217"/>
      <c r="K723" s="217">
        <f>E723+G723+I723</f>
        <v>0</v>
      </c>
      <c r="L723" s="217">
        <f>F723+H723+J723</f>
        <v>0</v>
      </c>
      <c r="M723" s="215" t="s">
        <v>68</v>
      </c>
      <c r="N723" s="212" t="s">
        <v>68</v>
      </c>
      <c r="O723" s="212"/>
      <c r="P723" s="212" t="s">
        <v>1101</v>
      </c>
      <c r="Q723" s="212" t="s">
        <v>68</v>
      </c>
      <c r="R723" s="212" t="s">
        <v>1968</v>
      </c>
      <c r="S723" s="212"/>
      <c r="T723" s="212"/>
      <c r="U723" s="212"/>
      <c r="V723" s="212"/>
      <c r="W723" s="212"/>
      <c r="X723" s="212"/>
      <c r="Y723" s="212"/>
      <c r="Z723" s="212"/>
      <c r="AA723" s="220" t="s">
        <v>1955</v>
      </c>
      <c r="AB723" s="212">
        <f>(호표!H722+호표!H723)*0.02</f>
        <v>0</v>
      </c>
      <c r="AC723" s="220" t="s">
        <v>1956</v>
      </c>
      <c r="AD723" s="212">
        <f>$AB723</f>
        <v>0</v>
      </c>
      <c r="AE723" s="212"/>
      <c r="AF723" s="212"/>
      <c r="AG723" s="212"/>
      <c r="AH723" s="212"/>
      <c r="AI723" s="212"/>
      <c r="AJ723" s="212"/>
      <c r="AK723" s="212"/>
      <c r="AL723" s="212"/>
      <c r="AM723" s="212"/>
      <c r="AN723" s="212"/>
      <c r="AO723" s="212"/>
      <c r="AP723" s="212"/>
      <c r="AQ723" s="212"/>
      <c r="AR723" s="212"/>
      <c r="AS723" s="212"/>
      <c r="AT723" s="212"/>
      <c r="AU723" s="212"/>
      <c r="AV723" s="212"/>
      <c r="AW723" s="212"/>
      <c r="AX723" s="212"/>
      <c r="AY723" s="212"/>
      <c r="AZ723" s="212"/>
      <c r="BA723" s="212"/>
      <c r="BB723" s="212"/>
      <c r="BC723" s="212"/>
      <c r="BD723" s="212"/>
      <c r="BE723" s="212"/>
      <c r="BF723" s="212"/>
      <c r="BG723" s="212"/>
      <c r="BH723" s="212"/>
      <c r="BI723" s="231" t="str">
        <f>HYPERLINK("#노임!A3","L001010101000002 →")</f>
        <v>L001010101000002 →</v>
      </c>
    </row>
    <row r="724" spans="1:61" ht="24" customHeight="1">
      <c r="A724" s="218" t="s">
        <v>1974</v>
      </c>
      <c r="B724" s="218" t="s">
        <v>1958</v>
      </c>
      <c r="C724" s="228">
        <v>2</v>
      </c>
      <c r="D724" s="213" t="s">
        <v>1950</v>
      </c>
      <c r="E724" s="213"/>
      <c r="F724" s="217">
        <v>0</v>
      </c>
      <c r="G724" s="213"/>
      <c r="H724" s="217">
        <v>0</v>
      </c>
      <c r="I724" s="213"/>
      <c r="J724" s="217">
        <f>TRUNC(((H722+H723)*0.02),0)</f>
        <v>0</v>
      </c>
      <c r="K724" s="217">
        <f>E724+G724+I724</f>
        <v>0</v>
      </c>
      <c r="L724" s="217">
        <f>F724+H724+J724</f>
        <v>0</v>
      </c>
      <c r="M724" s="215" t="s">
        <v>68</v>
      </c>
      <c r="N724" s="212" t="s">
        <v>68</v>
      </c>
      <c r="O724" s="212"/>
      <c r="P724" s="212" t="s">
        <v>1104</v>
      </c>
      <c r="Q724" s="212" t="s">
        <v>68</v>
      </c>
      <c r="R724" s="212" t="s">
        <v>1121</v>
      </c>
      <c r="S724" s="212"/>
      <c r="T724" s="212"/>
      <c r="U724" s="212"/>
      <c r="V724" s="212"/>
      <c r="W724" s="212"/>
      <c r="X724" s="212" t="s">
        <v>1986</v>
      </c>
      <c r="Y724" s="212"/>
      <c r="Z724" s="212"/>
      <c r="AA724" s="212"/>
      <c r="AB724" s="212"/>
      <c r="AC724" s="212"/>
      <c r="AD724" s="212"/>
      <c r="AE724" s="212"/>
      <c r="AF724" s="212"/>
      <c r="AG724" s="212"/>
      <c r="AH724" s="212"/>
      <c r="AI724" s="212"/>
      <c r="AJ724" s="212"/>
      <c r="AK724" s="212"/>
      <c r="AL724" s="212"/>
      <c r="AM724" s="212"/>
      <c r="AN724" s="212"/>
      <c r="AO724" s="212"/>
      <c r="AP724" s="212"/>
      <c r="AQ724" s="212"/>
      <c r="AR724" s="212"/>
      <c r="AS724" s="212"/>
      <c r="AT724" s="212"/>
      <c r="AU724" s="212"/>
      <c r="AV724" s="212"/>
      <c r="AW724" s="212"/>
      <c r="AX724" s="212"/>
      <c r="AY724" s="212"/>
      <c r="AZ724" s="212"/>
      <c r="BA724" s="212"/>
      <c r="BB724" s="212"/>
      <c r="BC724" s="212"/>
      <c r="BD724" s="212"/>
      <c r="BE724" s="212"/>
      <c r="BF724" s="212"/>
      <c r="BG724" s="212"/>
      <c r="BH724" s="212"/>
      <c r="BI724" s="212"/>
    </row>
    <row r="725" spans="1:61" ht="24" customHeight="1">
      <c r="A725" s="215"/>
      <c r="B725" s="215"/>
      <c r="C725" s="229"/>
      <c r="D725" s="213"/>
      <c r="E725" s="213"/>
      <c r="F725" s="213"/>
      <c r="G725" s="213"/>
      <c r="H725" s="213"/>
      <c r="I725" s="213"/>
      <c r="J725" s="213"/>
      <c r="K725" s="213"/>
      <c r="L725" s="213"/>
      <c r="M725" s="215"/>
      <c r="N725" s="212"/>
      <c r="O725" s="212"/>
      <c r="P725" s="212"/>
      <c r="Q725" s="212"/>
      <c r="R725" s="212"/>
      <c r="S725" s="212"/>
      <c r="T725" s="212"/>
      <c r="U725" s="212"/>
      <c r="V725" s="212"/>
      <c r="W725" s="212"/>
      <c r="X725" s="212"/>
      <c r="Y725" s="212"/>
      <c r="Z725" s="212"/>
      <c r="AA725" s="212"/>
      <c r="AB725" s="212"/>
      <c r="AC725" s="212"/>
      <c r="AD725" s="212"/>
      <c r="AE725" s="212"/>
      <c r="AF725" s="212"/>
      <c r="AG725" s="212"/>
      <c r="AH725" s="212"/>
      <c r="AI725" s="212"/>
      <c r="AJ725" s="212"/>
      <c r="AK725" s="212"/>
      <c r="AL725" s="212"/>
      <c r="AM725" s="212"/>
      <c r="AN725" s="212"/>
      <c r="AO725" s="212"/>
      <c r="AP725" s="212"/>
      <c r="AQ725" s="212"/>
      <c r="AR725" s="212"/>
      <c r="AS725" s="212"/>
      <c r="AT725" s="212"/>
      <c r="AU725" s="212"/>
      <c r="AV725" s="212"/>
      <c r="AW725" s="212"/>
      <c r="AX725" s="212"/>
      <c r="AY725" s="212"/>
      <c r="AZ725" s="212"/>
      <c r="BA725" s="212"/>
      <c r="BB725" s="212"/>
      <c r="BC725" s="212"/>
      <c r="BD725" s="212"/>
      <c r="BE725" s="212"/>
      <c r="BF725" s="212"/>
      <c r="BG725" s="212"/>
      <c r="BH725" s="212"/>
      <c r="BI725" s="212"/>
    </row>
    <row r="726" spans="1:61" ht="24" customHeight="1">
      <c r="A726" s="218" t="s">
        <v>2397</v>
      </c>
      <c r="B726" s="218" t="s">
        <v>1453</v>
      </c>
      <c r="C726" s="228">
        <v>1</v>
      </c>
      <c r="D726" s="213" t="s">
        <v>1412</v>
      </c>
      <c r="E726" s="212"/>
      <c r="F726" s="217">
        <f>TRUNC(F727+F728+F729+F730,0)</f>
        <v>0</v>
      </c>
      <c r="G726" s="212"/>
      <c r="H726" s="217">
        <f>TRUNC(H727+H728+H729+H730,0)</f>
        <v>0</v>
      </c>
      <c r="I726" s="212"/>
      <c r="J726" s="217">
        <f>TRUNC(J727+J728+J729+J730,0)</f>
        <v>0</v>
      </c>
      <c r="K726" s="212"/>
      <c r="L726" s="217">
        <f>F726+H726+J726</f>
        <v>0</v>
      </c>
      <c r="M726" s="215" t="s">
        <v>1860</v>
      </c>
      <c r="N726" s="212" t="s">
        <v>68</v>
      </c>
      <c r="O726" s="212" t="s">
        <v>1454</v>
      </c>
      <c r="P726" s="212"/>
      <c r="Q726" s="212"/>
      <c r="R726" s="212"/>
      <c r="S726" s="212"/>
      <c r="T726" s="212"/>
      <c r="U726" s="212"/>
      <c r="V726" s="212"/>
      <c r="W726" s="212"/>
      <c r="X726" s="212"/>
      <c r="Y726" s="212"/>
      <c r="Z726" s="212"/>
      <c r="AA726" s="212"/>
      <c r="AB726" s="212"/>
      <c r="AC726" s="212"/>
      <c r="AD726" s="212"/>
      <c r="AE726" s="212"/>
      <c r="AF726" s="212"/>
      <c r="AG726" s="212"/>
      <c r="AH726" s="212"/>
      <c r="AI726" s="212"/>
      <c r="AJ726" s="212"/>
      <c r="AK726" s="212"/>
      <c r="AL726" s="212"/>
      <c r="AM726" s="212"/>
      <c r="AN726" s="212"/>
      <c r="AO726" s="212"/>
      <c r="AP726" s="212"/>
      <c r="AQ726" s="212"/>
      <c r="AR726" s="212"/>
      <c r="AS726" s="212"/>
      <c r="AT726" s="212"/>
      <c r="AU726" s="212"/>
      <c r="AV726" s="212"/>
      <c r="AW726" s="212"/>
      <c r="AX726" s="212"/>
      <c r="AY726" s="212"/>
      <c r="AZ726" s="212"/>
      <c r="BA726" s="212"/>
      <c r="BB726" s="212"/>
      <c r="BC726" s="212"/>
      <c r="BD726" s="212"/>
      <c r="BE726" s="212"/>
      <c r="BF726" s="212"/>
      <c r="BG726" s="212"/>
      <c r="BH726" s="212"/>
      <c r="BI726" s="212"/>
    </row>
    <row r="727" spans="1:61" ht="24" customHeight="1">
      <c r="A727" s="218" t="s">
        <v>2390</v>
      </c>
      <c r="B727" s="218" t="s">
        <v>2398</v>
      </c>
      <c r="C727" s="228">
        <v>1</v>
      </c>
      <c r="D727" s="213" t="s">
        <v>437</v>
      </c>
      <c r="E727" s="217">
        <f>자재조서!E113</f>
        <v>0</v>
      </c>
      <c r="F727" s="217">
        <f>TRUNC(E727*C727,0)</f>
        <v>0</v>
      </c>
      <c r="G727" s="217">
        <v>0</v>
      </c>
      <c r="H727" s="217"/>
      <c r="I727" s="217">
        <v>0</v>
      </c>
      <c r="J727" s="217"/>
      <c r="K727" s="217">
        <f>E727+G727+I727</f>
        <v>0</v>
      </c>
      <c r="L727" s="217">
        <f>F727+H727+J727</f>
        <v>0</v>
      </c>
      <c r="M727" s="215" t="s">
        <v>68</v>
      </c>
      <c r="N727" s="212" t="s">
        <v>68</v>
      </c>
      <c r="O727" s="212"/>
      <c r="P727" s="212" t="s">
        <v>1095</v>
      </c>
      <c r="Q727" s="212" t="s">
        <v>68</v>
      </c>
      <c r="R727" s="212" t="s">
        <v>2399</v>
      </c>
      <c r="S727" s="212"/>
      <c r="T727" s="212"/>
      <c r="U727" s="212"/>
      <c r="V727" s="212"/>
      <c r="W727" s="212"/>
      <c r="X727" s="212"/>
      <c r="Y727" s="212"/>
      <c r="Z727" s="212"/>
      <c r="AA727" s="212"/>
      <c r="AB727" s="212"/>
      <c r="AC727" s="212"/>
      <c r="AD727" s="212"/>
      <c r="AE727" s="212"/>
      <c r="AF727" s="212"/>
      <c r="AG727" s="212"/>
      <c r="AH727" s="212"/>
      <c r="AI727" s="212"/>
      <c r="AJ727" s="212"/>
      <c r="AK727" s="212"/>
      <c r="AL727" s="212"/>
      <c r="AM727" s="212"/>
      <c r="AN727" s="212"/>
      <c r="AO727" s="212"/>
      <c r="AP727" s="212"/>
      <c r="AQ727" s="212"/>
      <c r="AR727" s="212"/>
      <c r="AS727" s="212"/>
      <c r="AT727" s="212"/>
      <c r="AU727" s="212"/>
      <c r="AV727" s="212"/>
      <c r="AW727" s="212"/>
      <c r="AX727" s="212"/>
      <c r="AY727" s="212"/>
      <c r="AZ727" s="212"/>
      <c r="BA727" s="212"/>
      <c r="BB727" s="212"/>
      <c r="BC727" s="212"/>
      <c r="BD727" s="212"/>
      <c r="BE727" s="212"/>
      <c r="BF727" s="212"/>
      <c r="BG727" s="212"/>
      <c r="BH727" s="212"/>
      <c r="BI727" s="231" t="str">
        <f>HYPERLINK("#자재조서!A113","MZZ9000070 →")</f>
        <v>MZZ9000070 →</v>
      </c>
    </row>
    <row r="728" spans="1:61" ht="24" customHeight="1">
      <c r="A728" s="218" t="s">
        <v>2383</v>
      </c>
      <c r="B728" s="218" t="s">
        <v>1946</v>
      </c>
      <c r="C728" s="229">
        <v>0.27500000000000002</v>
      </c>
      <c r="D728" s="213" t="s">
        <v>1286</v>
      </c>
      <c r="E728" s="217">
        <v>0</v>
      </c>
      <c r="F728" s="217"/>
      <c r="G728" s="217">
        <f>노임!D22</f>
        <v>0</v>
      </c>
      <c r="H728" s="217">
        <f>TRUNC(G728*C728,0)</f>
        <v>0</v>
      </c>
      <c r="I728" s="217">
        <v>0</v>
      </c>
      <c r="J728" s="217"/>
      <c r="K728" s="217">
        <f>E728+G728+I728</f>
        <v>0</v>
      </c>
      <c r="L728" s="217">
        <f>F728+H728+J728</f>
        <v>0</v>
      </c>
      <c r="M728" s="215" t="s">
        <v>68</v>
      </c>
      <c r="N728" s="212" t="s">
        <v>68</v>
      </c>
      <c r="O728" s="212"/>
      <c r="P728" s="212" t="s">
        <v>1098</v>
      </c>
      <c r="Q728" s="212" t="s">
        <v>68</v>
      </c>
      <c r="R728" s="212" t="s">
        <v>2384</v>
      </c>
      <c r="S728" s="212"/>
      <c r="T728" s="212"/>
      <c r="U728" s="212"/>
      <c r="V728" s="212"/>
      <c r="W728" s="212"/>
      <c r="X728" s="212"/>
      <c r="Y728" s="212"/>
      <c r="Z728" s="212"/>
      <c r="AA728" s="212"/>
      <c r="AB728" s="212"/>
      <c r="AC728" s="212"/>
      <c r="AD728" s="212"/>
      <c r="AE728" s="212"/>
      <c r="AF728" s="212"/>
      <c r="AG728" s="212"/>
      <c r="AH728" s="212"/>
      <c r="AI728" s="212"/>
      <c r="AJ728" s="212"/>
      <c r="AK728" s="212"/>
      <c r="AL728" s="212"/>
      <c r="AM728" s="212"/>
      <c r="AN728" s="212"/>
      <c r="AO728" s="212"/>
      <c r="AP728" s="212"/>
      <c r="AQ728" s="212"/>
      <c r="AR728" s="212"/>
      <c r="AS728" s="212"/>
      <c r="AT728" s="212"/>
      <c r="AU728" s="212"/>
      <c r="AV728" s="212"/>
      <c r="AW728" s="212"/>
      <c r="AX728" s="212"/>
      <c r="AY728" s="212"/>
      <c r="AZ728" s="212"/>
      <c r="BA728" s="212"/>
      <c r="BB728" s="212"/>
      <c r="BC728" s="212"/>
      <c r="BD728" s="212"/>
      <c r="BE728" s="212"/>
      <c r="BF728" s="212"/>
      <c r="BG728" s="212"/>
      <c r="BH728" s="212"/>
      <c r="BI728" s="231" t="str">
        <f>HYPERLINK("#노임!A22","L001010101000042 →")</f>
        <v>L001010101000042 →</v>
      </c>
    </row>
    <row r="729" spans="1:61" ht="24" customHeight="1">
      <c r="A729" s="218" t="s">
        <v>1967</v>
      </c>
      <c r="B729" s="218" t="s">
        <v>1946</v>
      </c>
      <c r="C729" s="229">
        <v>6.5000000000000002E-2</v>
      </c>
      <c r="D729" s="213" t="s">
        <v>1286</v>
      </c>
      <c r="E729" s="217">
        <v>0</v>
      </c>
      <c r="F729" s="217"/>
      <c r="G729" s="217">
        <f>노임!D3</f>
        <v>0</v>
      </c>
      <c r="H729" s="217">
        <f>TRUNC(G729*C729,0)</f>
        <v>0</v>
      </c>
      <c r="I729" s="217">
        <v>0</v>
      </c>
      <c r="J729" s="217"/>
      <c r="K729" s="217">
        <f>E729+G729+I729</f>
        <v>0</v>
      </c>
      <c r="L729" s="217">
        <f>F729+H729+J729</f>
        <v>0</v>
      </c>
      <c r="M729" s="215" t="s">
        <v>68</v>
      </c>
      <c r="N729" s="212" t="s">
        <v>68</v>
      </c>
      <c r="O729" s="212"/>
      <c r="P729" s="212" t="s">
        <v>1101</v>
      </c>
      <c r="Q729" s="212" t="s">
        <v>68</v>
      </c>
      <c r="R729" s="212" t="s">
        <v>1968</v>
      </c>
      <c r="S729" s="212"/>
      <c r="T729" s="212"/>
      <c r="U729" s="212"/>
      <c r="V729" s="212"/>
      <c r="W729" s="212"/>
      <c r="X729" s="212"/>
      <c r="Y729" s="212"/>
      <c r="Z729" s="212"/>
      <c r="AA729" s="220" t="s">
        <v>1955</v>
      </c>
      <c r="AB729" s="212">
        <f>(호표!H728+호표!H729)*0.02</f>
        <v>0</v>
      </c>
      <c r="AC729" s="220" t="s">
        <v>1956</v>
      </c>
      <c r="AD729" s="212">
        <f>$AB729</f>
        <v>0</v>
      </c>
      <c r="AE729" s="212"/>
      <c r="AF729" s="212"/>
      <c r="AG729" s="212"/>
      <c r="AH729" s="212"/>
      <c r="AI729" s="212"/>
      <c r="AJ729" s="212"/>
      <c r="AK729" s="212"/>
      <c r="AL729" s="212"/>
      <c r="AM729" s="212"/>
      <c r="AN729" s="212"/>
      <c r="AO729" s="212"/>
      <c r="AP729" s="212"/>
      <c r="AQ729" s="212"/>
      <c r="AR729" s="212"/>
      <c r="AS729" s="212"/>
      <c r="AT729" s="212"/>
      <c r="AU729" s="212"/>
      <c r="AV729" s="212"/>
      <c r="AW729" s="212"/>
      <c r="AX729" s="212"/>
      <c r="AY729" s="212"/>
      <c r="AZ729" s="212"/>
      <c r="BA729" s="212"/>
      <c r="BB729" s="212"/>
      <c r="BC729" s="212"/>
      <c r="BD729" s="212"/>
      <c r="BE729" s="212"/>
      <c r="BF729" s="212"/>
      <c r="BG729" s="212"/>
      <c r="BH729" s="212"/>
      <c r="BI729" s="231" t="str">
        <f>HYPERLINK("#노임!A3","L001010101000002 →")</f>
        <v>L001010101000002 →</v>
      </c>
    </row>
    <row r="730" spans="1:61" ht="24" customHeight="1">
      <c r="A730" s="218" t="s">
        <v>1974</v>
      </c>
      <c r="B730" s="218" t="s">
        <v>1958</v>
      </c>
      <c r="C730" s="228">
        <v>2</v>
      </c>
      <c r="D730" s="213" t="s">
        <v>1950</v>
      </c>
      <c r="E730" s="213"/>
      <c r="F730" s="217">
        <v>0</v>
      </c>
      <c r="G730" s="213"/>
      <c r="H730" s="217">
        <v>0</v>
      </c>
      <c r="I730" s="213"/>
      <c r="J730" s="217">
        <f>TRUNC(((H728+H729)*0.02),0)</f>
        <v>0</v>
      </c>
      <c r="K730" s="217">
        <f>E730+G730+I730</f>
        <v>0</v>
      </c>
      <c r="L730" s="217">
        <f>F730+H730+J730</f>
        <v>0</v>
      </c>
      <c r="M730" s="215" t="s">
        <v>68</v>
      </c>
      <c r="N730" s="212" t="s">
        <v>68</v>
      </c>
      <c r="O730" s="212"/>
      <c r="P730" s="212" t="s">
        <v>1104</v>
      </c>
      <c r="Q730" s="212" t="s">
        <v>68</v>
      </c>
      <c r="R730" s="212" t="s">
        <v>1121</v>
      </c>
      <c r="S730" s="212"/>
      <c r="T730" s="212"/>
      <c r="U730" s="212"/>
      <c r="V730" s="212"/>
      <c r="W730" s="212"/>
      <c r="X730" s="212" t="s">
        <v>1986</v>
      </c>
      <c r="Y730" s="212"/>
      <c r="Z730" s="212"/>
      <c r="AA730" s="212"/>
      <c r="AB730" s="212"/>
      <c r="AC730" s="212"/>
      <c r="AD730" s="212"/>
      <c r="AE730" s="212"/>
      <c r="AF730" s="212"/>
      <c r="AG730" s="212"/>
      <c r="AH730" s="212"/>
      <c r="AI730" s="212"/>
      <c r="AJ730" s="212"/>
      <c r="AK730" s="212"/>
      <c r="AL730" s="212"/>
      <c r="AM730" s="212"/>
      <c r="AN730" s="212"/>
      <c r="AO730" s="212"/>
      <c r="AP730" s="212"/>
      <c r="AQ730" s="212"/>
      <c r="AR730" s="212"/>
      <c r="AS730" s="212"/>
      <c r="AT730" s="212"/>
      <c r="AU730" s="212"/>
      <c r="AV730" s="212"/>
      <c r="AW730" s="212"/>
      <c r="AX730" s="212"/>
      <c r="AY730" s="212"/>
      <c r="AZ730" s="212"/>
      <c r="BA730" s="212"/>
      <c r="BB730" s="212"/>
      <c r="BC730" s="212"/>
      <c r="BD730" s="212"/>
      <c r="BE730" s="212"/>
      <c r="BF730" s="212"/>
      <c r="BG730" s="212"/>
      <c r="BH730" s="212"/>
      <c r="BI730" s="212"/>
    </row>
    <row r="731" spans="1:61" ht="24" customHeight="1">
      <c r="A731" s="215"/>
      <c r="B731" s="215"/>
      <c r="C731" s="229"/>
      <c r="D731" s="213"/>
      <c r="E731" s="213"/>
      <c r="F731" s="213"/>
      <c r="G731" s="213"/>
      <c r="H731" s="213"/>
      <c r="I731" s="213"/>
      <c r="J731" s="213"/>
      <c r="K731" s="213"/>
      <c r="L731" s="213"/>
      <c r="M731" s="215"/>
      <c r="N731" s="212"/>
      <c r="O731" s="212"/>
      <c r="P731" s="212"/>
      <c r="Q731" s="212"/>
      <c r="R731" s="212"/>
      <c r="S731" s="212"/>
      <c r="T731" s="212"/>
      <c r="U731" s="212"/>
      <c r="V731" s="212"/>
      <c r="W731" s="212"/>
      <c r="X731" s="212"/>
      <c r="Y731" s="212"/>
      <c r="Z731" s="212"/>
      <c r="AA731" s="212"/>
      <c r="AB731" s="212"/>
      <c r="AC731" s="212"/>
      <c r="AD731" s="212"/>
      <c r="AE731" s="212"/>
      <c r="AF731" s="212"/>
      <c r="AG731" s="212"/>
      <c r="AH731" s="212"/>
      <c r="AI731" s="212"/>
      <c r="AJ731" s="212"/>
      <c r="AK731" s="212"/>
      <c r="AL731" s="212"/>
      <c r="AM731" s="212"/>
      <c r="AN731" s="212"/>
      <c r="AO731" s="212"/>
      <c r="AP731" s="212"/>
      <c r="AQ731" s="212"/>
      <c r="AR731" s="212"/>
      <c r="AS731" s="212"/>
      <c r="AT731" s="212"/>
      <c r="AU731" s="212"/>
      <c r="AV731" s="212"/>
      <c r="AW731" s="212"/>
      <c r="AX731" s="212"/>
      <c r="AY731" s="212"/>
      <c r="AZ731" s="212"/>
      <c r="BA731" s="212"/>
      <c r="BB731" s="212"/>
      <c r="BC731" s="212"/>
      <c r="BD731" s="212"/>
      <c r="BE731" s="212"/>
      <c r="BF731" s="212"/>
      <c r="BG731" s="212"/>
      <c r="BH731" s="212"/>
      <c r="BI731" s="212"/>
    </row>
    <row r="732" spans="1:61" ht="24" customHeight="1">
      <c r="A732" s="218" t="s">
        <v>2400</v>
      </c>
      <c r="B732" s="218" t="s">
        <v>1455</v>
      </c>
      <c r="C732" s="228">
        <v>1</v>
      </c>
      <c r="D732" s="213" t="s">
        <v>1412</v>
      </c>
      <c r="E732" s="212"/>
      <c r="F732" s="217">
        <f>TRUNC(F733+F734+F735+F736,0)</f>
        <v>0</v>
      </c>
      <c r="G732" s="212"/>
      <c r="H732" s="217">
        <f>TRUNC(H733+H734+H735+H736,0)</f>
        <v>0</v>
      </c>
      <c r="I732" s="212"/>
      <c r="J732" s="217">
        <f>TRUNC(J733+J734+J735+J736,0)</f>
        <v>0</v>
      </c>
      <c r="K732" s="212"/>
      <c r="L732" s="217">
        <f>F732+H732+J732</f>
        <v>0</v>
      </c>
      <c r="M732" s="215" t="s">
        <v>1858</v>
      </c>
      <c r="N732" s="212" t="s">
        <v>68</v>
      </c>
      <c r="O732" s="212" t="s">
        <v>1456</v>
      </c>
      <c r="P732" s="212"/>
      <c r="Q732" s="212"/>
      <c r="R732" s="212"/>
      <c r="S732" s="212"/>
      <c r="T732" s="212"/>
      <c r="U732" s="212"/>
      <c r="V732" s="212"/>
      <c r="W732" s="212"/>
      <c r="X732" s="212"/>
      <c r="Y732" s="212"/>
      <c r="Z732" s="212"/>
      <c r="AA732" s="212"/>
      <c r="AB732" s="212"/>
      <c r="AC732" s="212"/>
      <c r="AD732" s="212"/>
      <c r="AE732" s="212"/>
      <c r="AF732" s="212"/>
      <c r="AG732" s="212"/>
      <c r="AH732" s="212"/>
      <c r="AI732" s="212"/>
      <c r="AJ732" s="212"/>
      <c r="AK732" s="212"/>
      <c r="AL732" s="212"/>
      <c r="AM732" s="212"/>
      <c r="AN732" s="212"/>
      <c r="AO732" s="212"/>
      <c r="AP732" s="212"/>
      <c r="AQ732" s="212"/>
      <c r="AR732" s="212"/>
      <c r="AS732" s="212"/>
      <c r="AT732" s="212"/>
      <c r="AU732" s="212"/>
      <c r="AV732" s="212"/>
      <c r="AW732" s="212"/>
      <c r="AX732" s="212"/>
      <c r="AY732" s="212"/>
      <c r="AZ732" s="212"/>
      <c r="BA732" s="212"/>
      <c r="BB732" s="212"/>
      <c r="BC732" s="212"/>
      <c r="BD732" s="212"/>
      <c r="BE732" s="212"/>
      <c r="BF732" s="212"/>
      <c r="BG732" s="212"/>
      <c r="BH732" s="212"/>
      <c r="BI732" s="212"/>
    </row>
    <row r="733" spans="1:61" ht="24" customHeight="1">
      <c r="A733" s="218" t="s">
        <v>2394</v>
      </c>
      <c r="B733" s="218" t="s">
        <v>2395</v>
      </c>
      <c r="C733" s="228">
        <v>1</v>
      </c>
      <c r="D733" s="213" t="s">
        <v>437</v>
      </c>
      <c r="E733" s="217">
        <f>자재조서!E109</f>
        <v>0</v>
      </c>
      <c r="F733" s="217">
        <f>TRUNC(E733*C733,0)</f>
        <v>0</v>
      </c>
      <c r="G733" s="217">
        <v>0</v>
      </c>
      <c r="H733" s="217"/>
      <c r="I733" s="217">
        <v>0</v>
      </c>
      <c r="J733" s="217"/>
      <c r="K733" s="217">
        <f>E733+G733+I733</f>
        <v>0</v>
      </c>
      <c r="L733" s="217">
        <f>F733+H733+J733</f>
        <v>0</v>
      </c>
      <c r="M733" s="215" t="s">
        <v>68</v>
      </c>
      <c r="N733" s="212" t="s">
        <v>68</v>
      </c>
      <c r="O733" s="212"/>
      <c r="P733" s="212" t="s">
        <v>1095</v>
      </c>
      <c r="Q733" s="212" t="s">
        <v>68</v>
      </c>
      <c r="R733" s="212" t="s">
        <v>2396</v>
      </c>
      <c r="S733" s="212"/>
      <c r="T733" s="212"/>
      <c r="U733" s="212"/>
      <c r="V733" s="212"/>
      <c r="W733" s="212"/>
      <c r="X733" s="212"/>
      <c r="Y733" s="212"/>
      <c r="Z733" s="212"/>
      <c r="AA733" s="212"/>
      <c r="AB733" s="212"/>
      <c r="AC733" s="212"/>
      <c r="AD733" s="212"/>
      <c r="AE733" s="212"/>
      <c r="AF733" s="212"/>
      <c r="AG733" s="212"/>
      <c r="AH733" s="212"/>
      <c r="AI733" s="212"/>
      <c r="AJ733" s="212"/>
      <c r="AK733" s="212"/>
      <c r="AL733" s="212"/>
      <c r="AM733" s="212"/>
      <c r="AN733" s="212"/>
      <c r="AO733" s="212"/>
      <c r="AP733" s="212"/>
      <c r="AQ733" s="212"/>
      <c r="AR733" s="212"/>
      <c r="AS733" s="212"/>
      <c r="AT733" s="212"/>
      <c r="AU733" s="212"/>
      <c r="AV733" s="212"/>
      <c r="AW733" s="212"/>
      <c r="AX733" s="212"/>
      <c r="AY733" s="212"/>
      <c r="AZ733" s="212"/>
      <c r="BA733" s="212"/>
      <c r="BB733" s="212"/>
      <c r="BC733" s="212"/>
      <c r="BD733" s="212"/>
      <c r="BE733" s="212"/>
      <c r="BF733" s="212"/>
      <c r="BG733" s="212"/>
      <c r="BH733" s="212"/>
      <c r="BI733" s="231" t="str">
        <f>HYPERLINK("#자재조서!A109","MZZ9000065 →")</f>
        <v>MZZ9000065 →</v>
      </c>
    </row>
    <row r="734" spans="1:61" ht="24" customHeight="1">
      <c r="A734" s="218" t="s">
        <v>2383</v>
      </c>
      <c r="B734" s="218" t="s">
        <v>1946</v>
      </c>
      <c r="C734" s="229">
        <v>0.13900000000000001</v>
      </c>
      <c r="D734" s="213" t="s">
        <v>1286</v>
      </c>
      <c r="E734" s="217">
        <v>0</v>
      </c>
      <c r="F734" s="217"/>
      <c r="G734" s="217">
        <f>노임!D22</f>
        <v>0</v>
      </c>
      <c r="H734" s="217">
        <f>TRUNC(G734*C734,0)</f>
        <v>0</v>
      </c>
      <c r="I734" s="217">
        <v>0</v>
      </c>
      <c r="J734" s="217"/>
      <c r="K734" s="217">
        <f>E734+G734+I734</f>
        <v>0</v>
      </c>
      <c r="L734" s="217">
        <f>F734+H734+J734</f>
        <v>0</v>
      </c>
      <c r="M734" s="215" t="s">
        <v>68</v>
      </c>
      <c r="N734" s="212" t="s">
        <v>68</v>
      </c>
      <c r="O734" s="212"/>
      <c r="P734" s="212" t="s">
        <v>1098</v>
      </c>
      <c r="Q734" s="212" t="s">
        <v>68</v>
      </c>
      <c r="R734" s="212" t="s">
        <v>2384</v>
      </c>
      <c r="S734" s="212"/>
      <c r="T734" s="212"/>
      <c r="U734" s="212"/>
      <c r="V734" s="212"/>
      <c r="W734" s="212"/>
      <c r="X734" s="212"/>
      <c r="Y734" s="212"/>
      <c r="Z734" s="212"/>
      <c r="AA734" s="212"/>
      <c r="AB734" s="212"/>
      <c r="AC734" s="212"/>
      <c r="AD734" s="212"/>
      <c r="AE734" s="212"/>
      <c r="AF734" s="212"/>
      <c r="AG734" s="212"/>
      <c r="AH734" s="212"/>
      <c r="AI734" s="212"/>
      <c r="AJ734" s="212"/>
      <c r="AK734" s="212"/>
      <c r="AL734" s="212"/>
      <c r="AM734" s="212"/>
      <c r="AN734" s="212"/>
      <c r="AO734" s="212"/>
      <c r="AP734" s="212"/>
      <c r="AQ734" s="212"/>
      <c r="AR734" s="212"/>
      <c r="AS734" s="212"/>
      <c r="AT734" s="212"/>
      <c r="AU734" s="212"/>
      <c r="AV734" s="212"/>
      <c r="AW734" s="212"/>
      <c r="AX734" s="212"/>
      <c r="AY734" s="212"/>
      <c r="AZ734" s="212"/>
      <c r="BA734" s="212"/>
      <c r="BB734" s="212"/>
      <c r="BC734" s="212"/>
      <c r="BD734" s="212"/>
      <c r="BE734" s="212"/>
      <c r="BF734" s="212"/>
      <c r="BG734" s="212"/>
      <c r="BH734" s="212"/>
      <c r="BI734" s="231" t="str">
        <f>HYPERLINK("#노임!A22","L001010101000042 →")</f>
        <v>L001010101000042 →</v>
      </c>
    </row>
    <row r="735" spans="1:61" ht="24" customHeight="1">
      <c r="A735" s="218" t="s">
        <v>1967</v>
      </c>
      <c r="B735" s="218" t="s">
        <v>1946</v>
      </c>
      <c r="C735" s="229">
        <v>2.8000000000000001E-2</v>
      </c>
      <c r="D735" s="213" t="s">
        <v>1286</v>
      </c>
      <c r="E735" s="217">
        <v>0</v>
      </c>
      <c r="F735" s="217"/>
      <c r="G735" s="217">
        <f>노임!D3</f>
        <v>0</v>
      </c>
      <c r="H735" s="217">
        <f>TRUNC(G735*C735,0)</f>
        <v>0</v>
      </c>
      <c r="I735" s="217">
        <v>0</v>
      </c>
      <c r="J735" s="217"/>
      <c r="K735" s="217">
        <f>E735+G735+I735</f>
        <v>0</v>
      </c>
      <c r="L735" s="217">
        <f>F735+H735+J735</f>
        <v>0</v>
      </c>
      <c r="M735" s="215" t="s">
        <v>68</v>
      </c>
      <c r="N735" s="212" t="s">
        <v>68</v>
      </c>
      <c r="O735" s="212"/>
      <c r="P735" s="212" t="s">
        <v>1101</v>
      </c>
      <c r="Q735" s="212" t="s">
        <v>68</v>
      </c>
      <c r="R735" s="212" t="s">
        <v>1968</v>
      </c>
      <c r="S735" s="212"/>
      <c r="T735" s="212"/>
      <c r="U735" s="212"/>
      <c r="V735" s="212"/>
      <c r="W735" s="212"/>
      <c r="X735" s="212"/>
      <c r="Y735" s="212"/>
      <c r="Z735" s="212"/>
      <c r="AA735" s="220" t="s">
        <v>1955</v>
      </c>
      <c r="AB735" s="212">
        <f>(호표!H734+호표!H735)*0.02</f>
        <v>0</v>
      </c>
      <c r="AC735" s="220" t="s">
        <v>1956</v>
      </c>
      <c r="AD735" s="212">
        <f>$AB735</f>
        <v>0</v>
      </c>
      <c r="AE735" s="212"/>
      <c r="AF735" s="212"/>
      <c r="AG735" s="212"/>
      <c r="AH735" s="212"/>
      <c r="AI735" s="212"/>
      <c r="AJ735" s="212"/>
      <c r="AK735" s="212"/>
      <c r="AL735" s="212"/>
      <c r="AM735" s="212"/>
      <c r="AN735" s="212"/>
      <c r="AO735" s="212"/>
      <c r="AP735" s="212"/>
      <c r="AQ735" s="212"/>
      <c r="AR735" s="212"/>
      <c r="AS735" s="212"/>
      <c r="AT735" s="212"/>
      <c r="AU735" s="212"/>
      <c r="AV735" s="212"/>
      <c r="AW735" s="212"/>
      <c r="AX735" s="212"/>
      <c r="AY735" s="212"/>
      <c r="AZ735" s="212"/>
      <c r="BA735" s="212"/>
      <c r="BB735" s="212"/>
      <c r="BC735" s="212"/>
      <c r="BD735" s="212"/>
      <c r="BE735" s="212"/>
      <c r="BF735" s="212"/>
      <c r="BG735" s="212"/>
      <c r="BH735" s="212"/>
      <c r="BI735" s="231" t="str">
        <f>HYPERLINK("#노임!A3","L001010101000002 →")</f>
        <v>L001010101000002 →</v>
      </c>
    </row>
    <row r="736" spans="1:61" ht="24" customHeight="1">
      <c r="A736" s="218" t="s">
        <v>1974</v>
      </c>
      <c r="B736" s="218" t="s">
        <v>1958</v>
      </c>
      <c r="C736" s="228">
        <v>2</v>
      </c>
      <c r="D736" s="213" t="s">
        <v>1950</v>
      </c>
      <c r="E736" s="213"/>
      <c r="F736" s="217">
        <v>0</v>
      </c>
      <c r="G736" s="213"/>
      <c r="H736" s="217">
        <v>0</v>
      </c>
      <c r="I736" s="213"/>
      <c r="J736" s="217">
        <f>TRUNC(((H734+H735)*0.02),0)</f>
        <v>0</v>
      </c>
      <c r="K736" s="217">
        <f>E736+G736+I736</f>
        <v>0</v>
      </c>
      <c r="L736" s="217">
        <f>F736+H736+J736</f>
        <v>0</v>
      </c>
      <c r="M736" s="215" t="s">
        <v>68</v>
      </c>
      <c r="N736" s="212" t="s">
        <v>68</v>
      </c>
      <c r="O736" s="212"/>
      <c r="P736" s="212" t="s">
        <v>1104</v>
      </c>
      <c r="Q736" s="212" t="s">
        <v>68</v>
      </c>
      <c r="R736" s="212" t="s">
        <v>1121</v>
      </c>
      <c r="S736" s="212"/>
      <c r="T736" s="212"/>
      <c r="U736" s="212"/>
      <c r="V736" s="212"/>
      <c r="W736" s="212"/>
      <c r="X736" s="212" t="s">
        <v>1986</v>
      </c>
      <c r="Y736" s="212"/>
      <c r="Z736" s="212"/>
      <c r="AA736" s="212"/>
      <c r="AB736" s="212"/>
      <c r="AC736" s="212"/>
      <c r="AD736" s="212"/>
      <c r="AE736" s="212"/>
      <c r="AF736" s="212"/>
      <c r="AG736" s="212"/>
      <c r="AH736" s="212"/>
      <c r="AI736" s="212"/>
      <c r="AJ736" s="212"/>
      <c r="AK736" s="212"/>
      <c r="AL736" s="212"/>
      <c r="AM736" s="212"/>
      <c r="AN736" s="212"/>
      <c r="AO736" s="212"/>
      <c r="AP736" s="212"/>
      <c r="AQ736" s="212"/>
      <c r="AR736" s="212"/>
      <c r="AS736" s="212"/>
      <c r="AT736" s="212"/>
      <c r="AU736" s="212"/>
      <c r="AV736" s="212"/>
      <c r="AW736" s="212"/>
      <c r="AX736" s="212"/>
      <c r="AY736" s="212"/>
      <c r="AZ736" s="212"/>
      <c r="BA736" s="212"/>
      <c r="BB736" s="212"/>
      <c r="BC736" s="212"/>
      <c r="BD736" s="212"/>
      <c r="BE736" s="212"/>
      <c r="BF736" s="212"/>
      <c r="BG736" s="212"/>
      <c r="BH736" s="212"/>
      <c r="BI736" s="212"/>
    </row>
    <row r="737" spans="1:61" ht="24" customHeight="1">
      <c r="A737" s="215"/>
      <c r="B737" s="215"/>
      <c r="C737" s="229"/>
      <c r="D737" s="213"/>
      <c r="E737" s="213"/>
      <c r="F737" s="213"/>
      <c r="G737" s="213"/>
      <c r="H737" s="213"/>
      <c r="I737" s="213"/>
      <c r="J737" s="213"/>
      <c r="K737" s="213"/>
      <c r="L737" s="213"/>
      <c r="M737" s="215"/>
      <c r="N737" s="212"/>
      <c r="O737" s="212"/>
      <c r="P737" s="212"/>
      <c r="Q737" s="212"/>
      <c r="R737" s="212"/>
      <c r="S737" s="212"/>
      <c r="T737" s="212"/>
      <c r="U737" s="212"/>
      <c r="V737" s="212"/>
      <c r="W737" s="212"/>
      <c r="X737" s="212"/>
      <c r="Y737" s="212"/>
      <c r="Z737" s="212"/>
      <c r="AA737" s="212"/>
      <c r="AB737" s="212"/>
      <c r="AC737" s="212"/>
      <c r="AD737" s="212"/>
      <c r="AE737" s="212"/>
      <c r="AF737" s="212"/>
      <c r="AG737" s="212"/>
      <c r="AH737" s="212"/>
      <c r="AI737" s="212"/>
      <c r="AJ737" s="212"/>
      <c r="AK737" s="212"/>
      <c r="AL737" s="212"/>
      <c r="AM737" s="212"/>
      <c r="AN737" s="212"/>
      <c r="AO737" s="212"/>
      <c r="AP737" s="212"/>
      <c r="AQ737" s="212"/>
      <c r="AR737" s="212"/>
      <c r="AS737" s="212"/>
      <c r="AT737" s="212"/>
      <c r="AU737" s="212"/>
      <c r="AV737" s="212"/>
      <c r="AW737" s="212"/>
      <c r="AX737" s="212"/>
      <c r="AY737" s="212"/>
      <c r="AZ737" s="212"/>
      <c r="BA737" s="212"/>
      <c r="BB737" s="212"/>
      <c r="BC737" s="212"/>
      <c r="BD737" s="212"/>
      <c r="BE737" s="212"/>
      <c r="BF737" s="212"/>
      <c r="BG737" s="212"/>
      <c r="BH737" s="212"/>
      <c r="BI737" s="212"/>
    </row>
    <row r="738" spans="1:61" ht="24" customHeight="1">
      <c r="A738" s="218" t="s">
        <v>2401</v>
      </c>
      <c r="B738" s="218" t="s">
        <v>1458</v>
      </c>
      <c r="C738" s="228">
        <v>1</v>
      </c>
      <c r="D738" s="213" t="s">
        <v>1412</v>
      </c>
      <c r="E738" s="212"/>
      <c r="F738" s="217">
        <f>TRUNC(F739+F740+F741+F742,0)</f>
        <v>0</v>
      </c>
      <c r="G738" s="212"/>
      <c r="H738" s="217">
        <f>TRUNC(H739+H740+H741+H742,0)</f>
        <v>0</v>
      </c>
      <c r="I738" s="212"/>
      <c r="J738" s="217">
        <f>TRUNC(J739+J740+J741+J742,0)</f>
        <v>0</v>
      </c>
      <c r="K738" s="212"/>
      <c r="L738" s="217">
        <f>F738+H738+J738</f>
        <v>0</v>
      </c>
      <c r="M738" s="215" t="s">
        <v>1863</v>
      </c>
      <c r="N738" s="212" t="s">
        <v>68</v>
      </c>
      <c r="O738" s="212" t="s">
        <v>1460</v>
      </c>
      <c r="P738" s="212"/>
      <c r="Q738" s="212"/>
      <c r="R738" s="212"/>
      <c r="S738" s="212"/>
      <c r="T738" s="212"/>
      <c r="U738" s="212"/>
      <c r="V738" s="212"/>
      <c r="W738" s="212"/>
      <c r="X738" s="212"/>
      <c r="Y738" s="212"/>
      <c r="Z738" s="212"/>
      <c r="AA738" s="212"/>
      <c r="AB738" s="212"/>
      <c r="AC738" s="212"/>
      <c r="AD738" s="212"/>
      <c r="AE738" s="212"/>
      <c r="AF738" s="212"/>
      <c r="AG738" s="212"/>
      <c r="AH738" s="212"/>
      <c r="AI738" s="212"/>
      <c r="AJ738" s="212"/>
      <c r="AK738" s="212"/>
      <c r="AL738" s="212"/>
      <c r="AM738" s="212"/>
      <c r="AN738" s="212"/>
      <c r="AO738" s="212"/>
      <c r="AP738" s="212"/>
      <c r="AQ738" s="212"/>
      <c r="AR738" s="212"/>
      <c r="AS738" s="212"/>
      <c r="AT738" s="212"/>
      <c r="AU738" s="212"/>
      <c r="AV738" s="212"/>
      <c r="AW738" s="212"/>
      <c r="AX738" s="212"/>
      <c r="AY738" s="212"/>
      <c r="AZ738" s="212"/>
      <c r="BA738" s="212"/>
      <c r="BB738" s="212"/>
      <c r="BC738" s="212"/>
      <c r="BD738" s="212"/>
      <c r="BE738" s="212"/>
      <c r="BF738" s="212"/>
      <c r="BG738" s="212"/>
      <c r="BH738" s="212"/>
      <c r="BI738" s="212"/>
    </row>
    <row r="739" spans="1:61" ht="24" customHeight="1">
      <c r="A739" s="218" t="s">
        <v>2402</v>
      </c>
      <c r="B739" s="218" t="s">
        <v>2403</v>
      </c>
      <c r="C739" s="228">
        <v>1</v>
      </c>
      <c r="D739" s="213" t="s">
        <v>437</v>
      </c>
      <c r="E739" s="217">
        <f>자재조서!E115</f>
        <v>0</v>
      </c>
      <c r="F739" s="217">
        <f>TRUNC(E739*C739,0)</f>
        <v>0</v>
      </c>
      <c r="G739" s="217">
        <v>0</v>
      </c>
      <c r="H739" s="217"/>
      <c r="I739" s="217">
        <v>0</v>
      </c>
      <c r="J739" s="217"/>
      <c r="K739" s="217">
        <f>E739+G739+I739</f>
        <v>0</v>
      </c>
      <c r="L739" s="217">
        <f>F739+H739+J739</f>
        <v>0</v>
      </c>
      <c r="M739" s="215" t="s">
        <v>68</v>
      </c>
      <c r="N739" s="212" t="s">
        <v>68</v>
      </c>
      <c r="O739" s="212"/>
      <c r="P739" s="212" t="s">
        <v>1095</v>
      </c>
      <c r="Q739" s="212" t="s">
        <v>68</v>
      </c>
      <c r="R739" s="212" t="s">
        <v>2404</v>
      </c>
      <c r="S739" s="212"/>
      <c r="T739" s="212"/>
      <c r="U739" s="212"/>
      <c r="V739" s="212"/>
      <c r="W739" s="212"/>
      <c r="X739" s="212"/>
      <c r="Y739" s="212"/>
      <c r="Z739" s="212"/>
      <c r="AA739" s="212"/>
      <c r="AB739" s="212"/>
      <c r="AC739" s="212"/>
      <c r="AD739" s="212"/>
      <c r="AE739" s="212"/>
      <c r="AF739" s="212"/>
      <c r="AG739" s="212"/>
      <c r="AH739" s="212"/>
      <c r="AI739" s="212"/>
      <c r="AJ739" s="212"/>
      <c r="AK739" s="212"/>
      <c r="AL739" s="212"/>
      <c r="AM739" s="212"/>
      <c r="AN739" s="212"/>
      <c r="AO739" s="212"/>
      <c r="AP739" s="212"/>
      <c r="AQ739" s="212"/>
      <c r="AR739" s="212"/>
      <c r="AS739" s="212"/>
      <c r="AT739" s="212"/>
      <c r="AU739" s="212"/>
      <c r="AV739" s="212"/>
      <c r="AW739" s="212"/>
      <c r="AX739" s="212"/>
      <c r="AY739" s="212"/>
      <c r="AZ739" s="212"/>
      <c r="BA739" s="212"/>
      <c r="BB739" s="212"/>
      <c r="BC739" s="212"/>
      <c r="BD739" s="212"/>
      <c r="BE739" s="212"/>
      <c r="BF739" s="212"/>
      <c r="BG739" s="212"/>
      <c r="BH739" s="212"/>
      <c r="BI739" s="231" t="str">
        <f>HYPERLINK("#자재조서!A115","MZZ9000072 →")</f>
        <v>MZZ9000072 →</v>
      </c>
    </row>
    <row r="740" spans="1:61" ht="24" customHeight="1">
      <c r="A740" s="218" t="s">
        <v>2383</v>
      </c>
      <c r="B740" s="218" t="s">
        <v>1946</v>
      </c>
      <c r="C740" s="229">
        <v>8.6999999999999994E-2</v>
      </c>
      <c r="D740" s="213" t="s">
        <v>1286</v>
      </c>
      <c r="E740" s="217">
        <v>0</v>
      </c>
      <c r="F740" s="217"/>
      <c r="G740" s="217">
        <f>노임!D22</f>
        <v>0</v>
      </c>
      <c r="H740" s="217">
        <f>TRUNC(G740*C740,0)</f>
        <v>0</v>
      </c>
      <c r="I740" s="217">
        <v>0</v>
      </c>
      <c r="J740" s="217"/>
      <c r="K740" s="217">
        <f>E740+G740+I740</f>
        <v>0</v>
      </c>
      <c r="L740" s="217">
        <f>F740+H740+J740</f>
        <v>0</v>
      </c>
      <c r="M740" s="215" t="s">
        <v>68</v>
      </c>
      <c r="N740" s="212" t="s">
        <v>68</v>
      </c>
      <c r="O740" s="212"/>
      <c r="P740" s="212" t="s">
        <v>1098</v>
      </c>
      <c r="Q740" s="212" t="s">
        <v>68</v>
      </c>
      <c r="R740" s="212" t="s">
        <v>2384</v>
      </c>
      <c r="S740" s="212"/>
      <c r="T740" s="212"/>
      <c r="U740" s="212"/>
      <c r="V740" s="212"/>
      <c r="W740" s="212"/>
      <c r="X740" s="212"/>
      <c r="Y740" s="212"/>
      <c r="Z740" s="212"/>
      <c r="AA740" s="212"/>
      <c r="AB740" s="212"/>
      <c r="AC740" s="212"/>
      <c r="AD740" s="212"/>
      <c r="AE740" s="212"/>
      <c r="AF740" s="212"/>
      <c r="AG740" s="212"/>
      <c r="AH740" s="212"/>
      <c r="AI740" s="212"/>
      <c r="AJ740" s="212"/>
      <c r="AK740" s="212"/>
      <c r="AL740" s="212"/>
      <c r="AM740" s="212"/>
      <c r="AN740" s="212"/>
      <c r="AO740" s="212"/>
      <c r="AP740" s="212"/>
      <c r="AQ740" s="212"/>
      <c r="AR740" s="212"/>
      <c r="AS740" s="212"/>
      <c r="AT740" s="212"/>
      <c r="AU740" s="212"/>
      <c r="AV740" s="212"/>
      <c r="AW740" s="212"/>
      <c r="AX740" s="212"/>
      <c r="AY740" s="212"/>
      <c r="AZ740" s="212"/>
      <c r="BA740" s="212"/>
      <c r="BB740" s="212"/>
      <c r="BC740" s="212"/>
      <c r="BD740" s="212"/>
      <c r="BE740" s="212"/>
      <c r="BF740" s="212"/>
      <c r="BG740" s="212"/>
      <c r="BH740" s="212"/>
      <c r="BI740" s="231" t="str">
        <f>HYPERLINK("#노임!A22","L001010101000042 →")</f>
        <v>L001010101000042 →</v>
      </c>
    </row>
    <row r="741" spans="1:61" ht="24" customHeight="1">
      <c r="A741" s="218" t="s">
        <v>1967</v>
      </c>
      <c r="B741" s="218" t="s">
        <v>1946</v>
      </c>
      <c r="C741" s="229">
        <v>1.7000000000000001E-2</v>
      </c>
      <c r="D741" s="213" t="s">
        <v>1286</v>
      </c>
      <c r="E741" s="217">
        <v>0</v>
      </c>
      <c r="F741" s="217"/>
      <c r="G741" s="217">
        <f>노임!D3</f>
        <v>0</v>
      </c>
      <c r="H741" s="217">
        <f>TRUNC(G741*C741,0)</f>
        <v>0</v>
      </c>
      <c r="I741" s="217">
        <v>0</v>
      </c>
      <c r="J741" s="217"/>
      <c r="K741" s="217">
        <f>E741+G741+I741</f>
        <v>0</v>
      </c>
      <c r="L741" s="217">
        <f>F741+H741+J741</f>
        <v>0</v>
      </c>
      <c r="M741" s="215" t="s">
        <v>68</v>
      </c>
      <c r="N741" s="212" t="s">
        <v>68</v>
      </c>
      <c r="O741" s="212"/>
      <c r="P741" s="212" t="s">
        <v>1101</v>
      </c>
      <c r="Q741" s="212" t="s">
        <v>68</v>
      </c>
      <c r="R741" s="212" t="s">
        <v>1968</v>
      </c>
      <c r="S741" s="212"/>
      <c r="T741" s="212"/>
      <c r="U741" s="212"/>
      <c r="V741" s="212"/>
      <c r="W741" s="212"/>
      <c r="X741" s="212"/>
      <c r="Y741" s="212"/>
      <c r="Z741" s="212"/>
      <c r="AA741" s="220" t="s">
        <v>1955</v>
      </c>
      <c r="AB741" s="212">
        <f>(호표!H740+호표!H741)*0.02</f>
        <v>0</v>
      </c>
      <c r="AC741" s="220" t="s">
        <v>1956</v>
      </c>
      <c r="AD741" s="212">
        <f>$AB741</f>
        <v>0</v>
      </c>
      <c r="AE741" s="212"/>
      <c r="AF741" s="212"/>
      <c r="AG741" s="212"/>
      <c r="AH741" s="212"/>
      <c r="AI741" s="212"/>
      <c r="AJ741" s="212"/>
      <c r="AK741" s="212"/>
      <c r="AL741" s="212"/>
      <c r="AM741" s="212"/>
      <c r="AN741" s="212"/>
      <c r="AO741" s="212"/>
      <c r="AP741" s="212"/>
      <c r="AQ741" s="212"/>
      <c r="AR741" s="212"/>
      <c r="AS741" s="212"/>
      <c r="AT741" s="212"/>
      <c r="AU741" s="212"/>
      <c r="AV741" s="212"/>
      <c r="AW741" s="212"/>
      <c r="AX741" s="212"/>
      <c r="AY741" s="212"/>
      <c r="AZ741" s="212"/>
      <c r="BA741" s="212"/>
      <c r="BB741" s="212"/>
      <c r="BC741" s="212"/>
      <c r="BD741" s="212"/>
      <c r="BE741" s="212"/>
      <c r="BF741" s="212"/>
      <c r="BG741" s="212"/>
      <c r="BH741" s="212"/>
      <c r="BI741" s="231" t="str">
        <f>HYPERLINK("#노임!A3","L001010101000002 →")</f>
        <v>L001010101000002 →</v>
      </c>
    </row>
    <row r="742" spans="1:61" ht="24" customHeight="1">
      <c r="A742" s="218" t="s">
        <v>1974</v>
      </c>
      <c r="B742" s="218" t="s">
        <v>1958</v>
      </c>
      <c r="C742" s="228">
        <v>2</v>
      </c>
      <c r="D742" s="213" t="s">
        <v>1950</v>
      </c>
      <c r="E742" s="213"/>
      <c r="F742" s="217">
        <v>0</v>
      </c>
      <c r="G742" s="213"/>
      <c r="H742" s="217">
        <v>0</v>
      </c>
      <c r="I742" s="213"/>
      <c r="J742" s="217">
        <f>TRUNC(((H740+H741)*0.02),0)</f>
        <v>0</v>
      </c>
      <c r="K742" s="217">
        <f>E742+G742+I742</f>
        <v>0</v>
      </c>
      <c r="L742" s="217">
        <f>F742+H742+J742</f>
        <v>0</v>
      </c>
      <c r="M742" s="215" t="s">
        <v>68</v>
      </c>
      <c r="N742" s="212" t="s">
        <v>68</v>
      </c>
      <c r="O742" s="212"/>
      <c r="P742" s="212" t="s">
        <v>1104</v>
      </c>
      <c r="Q742" s="212" t="s">
        <v>68</v>
      </c>
      <c r="R742" s="212" t="s">
        <v>1121</v>
      </c>
      <c r="S742" s="212"/>
      <c r="T742" s="212"/>
      <c r="U742" s="212"/>
      <c r="V742" s="212"/>
      <c r="W742" s="212"/>
      <c r="X742" s="212" t="s">
        <v>1986</v>
      </c>
      <c r="Y742" s="212"/>
      <c r="Z742" s="212"/>
      <c r="AA742" s="212"/>
      <c r="AB742" s="212"/>
      <c r="AC742" s="212"/>
      <c r="AD742" s="212"/>
      <c r="AE742" s="212"/>
      <c r="AF742" s="212"/>
      <c r="AG742" s="212"/>
      <c r="AH742" s="212"/>
      <c r="AI742" s="212"/>
      <c r="AJ742" s="212"/>
      <c r="AK742" s="212"/>
      <c r="AL742" s="212"/>
      <c r="AM742" s="212"/>
      <c r="AN742" s="212"/>
      <c r="AO742" s="212"/>
      <c r="AP742" s="212"/>
      <c r="AQ742" s="212"/>
      <c r="AR742" s="212"/>
      <c r="AS742" s="212"/>
      <c r="AT742" s="212"/>
      <c r="AU742" s="212"/>
      <c r="AV742" s="212"/>
      <c r="AW742" s="212"/>
      <c r="AX742" s="212"/>
      <c r="AY742" s="212"/>
      <c r="AZ742" s="212"/>
      <c r="BA742" s="212"/>
      <c r="BB742" s="212"/>
      <c r="BC742" s="212"/>
      <c r="BD742" s="212"/>
      <c r="BE742" s="212"/>
      <c r="BF742" s="212"/>
      <c r="BG742" s="212"/>
      <c r="BH742" s="212"/>
      <c r="BI742" s="212"/>
    </row>
    <row r="743" spans="1:61" ht="24" customHeight="1">
      <c r="A743" s="215"/>
      <c r="B743" s="215"/>
      <c r="C743" s="229"/>
      <c r="D743" s="213"/>
      <c r="E743" s="213"/>
      <c r="F743" s="213"/>
      <c r="G743" s="213"/>
      <c r="H743" s="213"/>
      <c r="I743" s="213"/>
      <c r="J743" s="213"/>
      <c r="K743" s="213"/>
      <c r="L743" s="213"/>
      <c r="M743" s="215"/>
      <c r="N743" s="212"/>
      <c r="O743" s="212"/>
      <c r="P743" s="212"/>
      <c r="Q743" s="212"/>
      <c r="R743" s="212"/>
      <c r="S743" s="212"/>
      <c r="T743" s="212"/>
      <c r="U743" s="212"/>
      <c r="V743" s="212"/>
      <c r="W743" s="212"/>
      <c r="X743" s="212"/>
      <c r="Y743" s="212"/>
      <c r="Z743" s="212"/>
      <c r="AA743" s="212"/>
      <c r="AB743" s="212"/>
      <c r="AC743" s="212"/>
      <c r="AD743" s="212"/>
      <c r="AE743" s="212"/>
      <c r="AF743" s="212"/>
      <c r="AG743" s="212"/>
      <c r="AH743" s="212"/>
      <c r="AI743" s="212"/>
      <c r="AJ743" s="212"/>
      <c r="AK743" s="212"/>
      <c r="AL743" s="212"/>
      <c r="AM743" s="212"/>
      <c r="AN743" s="212"/>
      <c r="AO743" s="212"/>
      <c r="AP743" s="212"/>
      <c r="AQ743" s="212"/>
      <c r="AR743" s="212"/>
      <c r="AS743" s="212"/>
      <c r="AT743" s="212"/>
      <c r="AU743" s="212"/>
      <c r="AV743" s="212"/>
      <c r="AW743" s="212"/>
      <c r="AX743" s="212"/>
      <c r="AY743" s="212"/>
      <c r="AZ743" s="212"/>
      <c r="BA743" s="212"/>
      <c r="BB743" s="212"/>
      <c r="BC743" s="212"/>
      <c r="BD743" s="212"/>
      <c r="BE743" s="212"/>
      <c r="BF743" s="212"/>
      <c r="BG743" s="212"/>
      <c r="BH743" s="212"/>
      <c r="BI743" s="212"/>
    </row>
    <row r="744" spans="1:61" ht="24" customHeight="1">
      <c r="A744" s="218" t="s">
        <v>2405</v>
      </c>
      <c r="B744" s="218" t="s">
        <v>1462</v>
      </c>
      <c r="C744" s="228">
        <v>1</v>
      </c>
      <c r="D744" s="213" t="s">
        <v>1412</v>
      </c>
      <c r="E744" s="212"/>
      <c r="F744" s="217">
        <f>TRUNC(F745+F746+F747+F748,0)</f>
        <v>0</v>
      </c>
      <c r="G744" s="212"/>
      <c r="H744" s="217">
        <f>TRUNC(H745+H746+H747+H748,0)</f>
        <v>0</v>
      </c>
      <c r="I744" s="212"/>
      <c r="J744" s="217">
        <f>TRUNC(J745+J746+J747+J748,0)</f>
        <v>0</v>
      </c>
      <c r="K744" s="212"/>
      <c r="L744" s="217">
        <f>F744+H744+J744</f>
        <v>0</v>
      </c>
      <c r="M744" s="215" t="s">
        <v>1865</v>
      </c>
      <c r="N744" s="212" t="s">
        <v>68</v>
      </c>
      <c r="O744" s="212" t="s">
        <v>1463</v>
      </c>
      <c r="P744" s="212"/>
      <c r="Q744" s="212"/>
      <c r="R744" s="212"/>
      <c r="S744" s="212"/>
      <c r="T744" s="212"/>
      <c r="U744" s="212"/>
      <c r="V744" s="212"/>
      <c r="W744" s="212"/>
      <c r="X744" s="212"/>
      <c r="Y744" s="212"/>
      <c r="Z744" s="212"/>
      <c r="AA744" s="212"/>
      <c r="AB744" s="212"/>
      <c r="AC744" s="212"/>
      <c r="AD744" s="212"/>
      <c r="AE744" s="212"/>
      <c r="AF744" s="212"/>
      <c r="AG744" s="212"/>
      <c r="AH744" s="212"/>
      <c r="AI744" s="212"/>
      <c r="AJ744" s="212"/>
      <c r="AK744" s="212"/>
      <c r="AL744" s="212"/>
      <c r="AM744" s="212"/>
      <c r="AN744" s="212"/>
      <c r="AO744" s="212"/>
      <c r="AP744" s="212"/>
      <c r="AQ744" s="212"/>
      <c r="AR744" s="212"/>
      <c r="AS744" s="212"/>
      <c r="AT744" s="212"/>
      <c r="AU744" s="212"/>
      <c r="AV744" s="212"/>
      <c r="AW744" s="212"/>
      <c r="AX744" s="212"/>
      <c r="AY744" s="212"/>
      <c r="AZ744" s="212"/>
      <c r="BA744" s="212"/>
      <c r="BB744" s="212"/>
      <c r="BC744" s="212"/>
      <c r="BD744" s="212"/>
      <c r="BE744" s="212"/>
      <c r="BF744" s="212"/>
      <c r="BG744" s="212"/>
      <c r="BH744" s="212"/>
      <c r="BI744" s="212"/>
    </row>
    <row r="745" spans="1:61" ht="24" customHeight="1">
      <c r="A745" s="218" t="s">
        <v>2406</v>
      </c>
      <c r="B745" s="218" t="s">
        <v>2407</v>
      </c>
      <c r="C745" s="228">
        <v>1</v>
      </c>
      <c r="D745" s="213" t="s">
        <v>437</v>
      </c>
      <c r="E745" s="217">
        <f>자재조서!E120</f>
        <v>0</v>
      </c>
      <c r="F745" s="217">
        <f>TRUNC(E745*C745,0)</f>
        <v>0</v>
      </c>
      <c r="G745" s="217">
        <v>0</v>
      </c>
      <c r="H745" s="217"/>
      <c r="I745" s="217">
        <v>0</v>
      </c>
      <c r="J745" s="217"/>
      <c r="K745" s="217">
        <f>E745+G745+I745</f>
        <v>0</v>
      </c>
      <c r="L745" s="217">
        <f>F745+H745+J745</f>
        <v>0</v>
      </c>
      <c r="M745" s="215" t="s">
        <v>68</v>
      </c>
      <c r="N745" s="212" t="s">
        <v>68</v>
      </c>
      <c r="O745" s="212"/>
      <c r="P745" s="212" t="s">
        <v>2245</v>
      </c>
      <c r="Q745" s="212" t="s">
        <v>68</v>
      </c>
      <c r="R745" s="212" t="s">
        <v>2408</v>
      </c>
      <c r="S745" s="212"/>
      <c r="T745" s="212"/>
      <c r="U745" s="212"/>
      <c r="V745" s="212"/>
      <c r="W745" s="212"/>
      <c r="X745" s="212"/>
      <c r="Y745" s="212"/>
      <c r="Z745" s="212"/>
      <c r="AA745" s="212"/>
      <c r="AB745" s="212"/>
      <c r="AC745" s="212"/>
      <c r="AD745" s="212"/>
      <c r="AE745" s="212"/>
      <c r="AF745" s="212"/>
      <c r="AG745" s="212"/>
      <c r="AH745" s="212"/>
      <c r="AI745" s="212"/>
      <c r="AJ745" s="212"/>
      <c r="AK745" s="212"/>
      <c r="AL745" s="212"/>
      <c r="AM745" s="212"/>
      <c r="AN745" s="212"/>
      <c r="AO745" s="212"/>
      <c r="AP745" s="212"/>
      <c r="AQ745" s="212"/>
      <c r="AR745" s="212"/>
      <c r="AS745" s="212"/>
      <c r="AT745" s="212"/>
      <c r="AU745" s="212"/>
      <c r="AV745" s="212"/>
      <c r="AW745" s="212"/>
      <c r="AX745" s="212"/>
      <c r="AY745" s="212"/>
      <c r="AZ745" s="212"/>
      <c r="BA745" s="212"/>
      <c r="BB745" s="212"/>
      <c r="BC745" s="212"/>
      <c r="BD745" s="212"/>
      <c r="BE745" s="212"/>
      <c r="BF745" s="212"/>
      <c r="BG745" s="212"/>
      <c r="BH745" s="212"/>
      <c r="BI745" s="231" t="str">
        <f>HYPERLINK("#자재조서!A120","MZZ9000081 →")</f>
        <v>MZZ9000081 →</v>
      </c>
    </row>
    <row r="746" spans="1:61" ht="24" customHeight="1">
      <c r="A746" s="218" t="s">
        <v>2366</v>
      </c>
      <c r="B746" s="218" t="s">
        <v>1946</v>
      </c>
      <c r="C746" s="229">
        <v>0.16400000000000001</v>
      </c>
      <c r="D746" s="213" t="s">
        <v>1286</v>
      </c>
      <c r="E746" s="217">
        <v>0</v>
      </c>
      <c r="F746" s="217"/>
      <c r="G746" s="217">
        <f>노임!D20</f>
        <v>0</v>
      </c>
      <c r="H746" s="217">
        <f>TRUNC(G746*C746,0)</f>
        <v>0</v>
      </c>
      <c r="I746" s="217">
        <v>0</v>
      </c>
      <c r="J746" s="217"/>
      <c r="K746" s="217">
        <f>E746+G746+I746</f>
        <v>0</v>
      </c>
      <c r="L746" s="217">
        <f>F746+H746+J746</f>
        <v>0</v>
      </c>
      <c r="M746" s="215" t="s">
        <v>68</v>
      </c>
      <c r="N746" s="212" t="s">
        <v>68</v>
      </c>
      <c r="O746" s="212"/>
      <c r="P746" s="212" t="s">
        <v>1098</v>
      </c>
      <c r="Q746" s="212" t="s">
        <v>68</v>
      </c>
      <c r="R746" s="212" t="s">
        <v>2367</v>
      </c>
      <c r="S746" s="212"/>
      <c r="T746" s="212"/>
      <c r="U746" s="212"/>
      <c r="V746" s="212"/>
      <c r="W746" s="212"/>
      <c r="X746" s="212"/>
      <c r="Y746" s="212"/>
      <c r="Z746" s="212"/>
      <c r="AA746" s="212"/>
      <c r="AB746" s="212"/>
      <c r="AC746" s="212"/>
      <c r="AD746" s="212"/>
      <c r="AE746" s="212"/>
      <c r="AF746" s="212"/>
      <c r="AG746" s="212"/>
      <c r="AH746" s="212"/>
      <c r="AI746" s="212"/>
      <c r="AJ746" s="212"/>
      <c r="AK746" s="212"/>
      <c r="AL746" s="212"/>
      <c r="AM746" s="212"/>
      <c r="AN746" s="212"/>
      <c r="AO746" s="212"/>
      <c r="AP746" s="212"/>
      <c r="AQ746" s="212"/>
      <c r="AR746" s="212"/>
      <c r="AS746" s="212"/>
      <c r="AT746" s="212"/>
      <c r="AU746" s="212"/>
      <c r="AV746" s="212"/>
      <c r="AW746" s="212"/>
      <c r="AX746" s="212"/>
      <c r="AY746" s="212"/>
      <c r="AZ746" s="212"/>
      <c r="BA746" s="212"/>
      <c r="BB746" s="212"/>
      <c r="BC746" s="212"/>
      <c r="BD746" s="212"/>
      <c r="BE746" s="212"/>
      <c r="BF746" s="212"/>
      <c r="BG746" s="212"/>
      <c r="BH746" s="212"/>
      <c r="BI746" s="231" t="str">
        <f>HYPERLINK("#노임!A20","L001010101000039 →")</f>
        <v>L001010101000039 →</v>
      </c>
    </row>
    <row r="747" spans="1:61" ht="24" customHeight="1">
      <c r="A747" s="218" t="s">
        <v>1967</v>
      </c>
      <c r="B747" s="218" t="s">
        <v>1946</v>
      </c>
      <c r="C747" s="229">
        <v>5.5E-2</v>
      </c>
      <c r="D747" s="213" t="s">
        <v>1286</v>
      </c>
      <c r="E747" s="217">
        <v>0</v>
      </c>
      <c r="F747" s="217"/>
      <c r="G747" s="217">
        <f>노임!D3</f>
        <v>0</v>
      </c>
      <c r="H747" s="217">
        <f>TRUNC(G747*C747,0)</f>
        <v>0</v>
      </c>
      <c r="I747" s="217">
        <v>0</v>
      </c>
      <c r="J747" s="217"/>
      <c r="K747" s="217">
        <f>E747+G747+I747</f>
        <v>0</v>
      </c>
      <c r="L747" s="217">
        <f>F747+H747+J747</f>
        <v>0</v>
      </c>
      <c r="M747" s="215" t="s">
        <v>68</v>
      </c>
      <c r="N747" s="212" t="s">
        <v>68</v>
      </c>
      <c r="O747" s="212"/>
      <c r="P747" s="212" t="s">
        <v>1101</v>
      </c>
      <c r="Q747" s="212" t="s">
        <v>68</v>
      </c>
      <c r="R747" s="212" t="s">
        <v>1968</v>
      </c>
      <c r="S747" s="212"/>
      <c r="T747" s="212"/>
      <c r="U747" s="212"/>
      <c r="V747" s="212"/>
      <c r="W747" s="212"/>
      <c r="X747" s="212"/>
      <c r="Y747" s="212"/>
      <c r="Z747" s="212"/>
      <c r="AA747" s="220" t="s">
        <v>1955</v>
      </c>
      <c r="AB747" s="212">
        <f>(호표!H746+호표!H747)*0.02</f>
        <v>0</v>
      </c>
      <c r="AC747" s="220" t="s">
        <v>1956</v>
      </c>
      <c r="AD747" s="212">
        <f>$AB747</f>
        <v>0</v>
      </c>
      <c r="AE747" s="212"/>
      <c r="AF747" s="212"/>
      <c r="AG747" s="212"/>
      <c r="AH747" s="212"/>
      <c r="AI747" s="212"/>
      <c r="AJ747" s="212"/>
      <c r="AK747" s="212"/>
      <c r="AL747" s="212"/>
      <c r="AM747" s="212"/>
      <c r="AN747" s="212"/>
      <c r="AO747" s="212"/>
      <c r="AP747" s="212"/>
      <c r="AQ747" s="212"/>
      <c r="AR747" s="212"/>
      <c r="AS747" s="212"/>
      <c r="AT747" s="212"/>
      <c r="AU747" s="212"/>
      <c r="AV747" s="212"/>
      <c r="AW747" s="212"/>
      <c r="AX747" s="212"/>
      <c r="AY747" s="212"/>
      <c r="AZ747" s="212"/>
      <c r="BA747" s="212"/>
      <c r="BB747" s="212"/>
      <c r="BC747" s="212"/>
      <c r="BD747" s="212"/>
      <c r="BE747" s="212"/>
      <c r="BF747" s="212"/>
      <c r="BG747" s="212"/>
      <c r="BH747" s="212"/>
      <c r="BI747" s="231" t="str">
        <f>HYPERLINK("#노임!A3","L001010101000002 →")</f>
        <v>L001010101000002 →</v>
      </c>
    </row>
    <row r="748" spans="1:61" ht="24" customHeight="1">
      <c r="A748" s="218" t="s">
        <v>1974</v>
      </c>
      <c r="B748" s="218" t="s">
        <v>1958</v>
      </c>
      <c r="C748" s="228">
        <v>2</v>
      </c>
      <c r="D748" s="213" t="s">
        <v>1950</v>
      </c>
      <c r="E748" s="213"/>
      <c r="F748" s="217">
        <v>0</v>
      </c>
      <c r="G748" s="213"/>
      <c r="H748" s="217">
        <v>0</v>
      </c>
      <c r="I748" s="213"/>
      <c r="J748" s="217">
        <f>TRUNC(((H746+H747)*0.02),0)</f>
        <v>0</v>
      </c>
      <c r="K748" s="217">
        <f>E748+G748+I748</f>
        <v>0</v>
      </c>
      <c r="L748" s="217">
        <f>F748+H748+J748</f>
        <v>0</v>
      </c>
      <c r="M748" s="215" t="s">
        <v>68</v>
      </c>
      <c r="N748" s="212" t="s">
        <v>68</v>
      </c>
      <c r="O748" s="212"/>
      <c r="P748" s="212" t="s">
        <v>1104</v>
      </c>
      <c r="Q748" s="212" t="s">
        <v>68</v>
      </c>
      <c r="R748" s="212" t="s">
        <v>1121</v>
      </c>
      <c r="S748" s="212"/>
      <c r="T748" s="212"/>
      <c r="U748" s="212"/>
      <c r="V748" s="212"/>
      <c r="W748" s="212"/>
      <c r="X748" s="212" t="s">
        <v>1986</v>
      </c>
      <c r="Y748" s="212"/>
      <c r="Z748" s="212"/>
      <c r="AA748" s="212"/>
      <c r="AB748" s="212"/>
      <c r="AC748" s="212"/>
      <c r="AD748" s="212"/>
      <c r="AE748" s="212"/>
      <c r="AF748" s="212"/>
      <c r="AG748" s="212"/>
      <c r="AH748" s="212"/>
      <c r="AI748" s="212"/>
      <c r="AJ748" s="212"/>
      <c r="AK748" s="212"/>
      <c r="AL748" s="212"/>
      <c r="AM748" s="212"/>
      <c r="AN748" s="212"/>
      <c r="AO748" s="212"/>
      <c r="AP748" s="212"/>
      <c r="AQ748" s="212"/>
      <c r="AR748" s="212"/>
      <c r="AS748" s="212"/>
      <c r="AT748" s="212"/>
      <c r="AU748" s="212"/>
      <c r="AV748" s="212"/>
      <c r="AW748" s="212"/>
      <c r="AX748" s="212"/>
      <c r="AY748" s="212"/>
      <c r="AZ748" s="212"/>
      <c r="BA748" s="212"/>
      <c r="BB748" s="212"/>
      <c r="BC748" s="212"/>
      <c r="BD748" s="212"/>
      <c r="BE748" s="212"/>
      <c r="BF748" s="212"/>
      <c r="BG748" s="212"/>
      <c r="BH748" s="212"/>
      <c r="BI748" s="212"/>
    </row>
    <row r="749" spans="1:61" ht="24" customHeight="1">
      <c r="A749" s="215"/>
      <c r="B749" s="215"/>
      <c r="C749" s="229"/>
      <c r="D749" s="213"/>
      <c r="E749" s="213"/>
      <c r="F749" s="213"/>
      <c r="G749" s="213"/>
      <c r="H749" s="213"/>
      <c r="I749" s="213"/>
      <c r="J749" s="213"/>
      <c r="K749" s="213"/>
      <c r="L749" s="213"/>
      <c r="M749" s="215"/>
      <c r="N749" s="212"/>
      <c r="O749" s="212"/>
      <c r="P749" s="212"/>
      <c r="Q749" s="212"/>
      <c r="R749" s="212"/>
      <c r="S749" s="212"/>
      <c r="T749" s="212"/>
      <c r="U749" s="212"/>
      <c r="V749" s="212"/>
      <c r="W749" s="212"/>
      <c r="X749" s="212"/>
      <c r="Y749" s="212"/>
      <c r="Z749" s="212"/>
      <c r="AA749" s="212"/>
      <c r="AB749" s="212"/>
      <c r="AC749" s="212"/>
      <c r="AD749" s="212"/>
      <c r="AE749" s="212"/>
      <c r="AF749" s="212"/>
      <c r="AG749" s="212"/>
      <c r="AH749" s="212"/>
      <c r="AI749" s="212"/>
      <c r="AJ749" s="212"/>
      <c r="AK749" s="212"/>
      <c r="AL749" s="212"/>
      <c r="AM749" s="212"/>
      <c r="AN749" s="212"/>
      <c r="AO749" s="212"/>
      <c r="AP749" s="212"/>
      <c r="AQ749" s="212"/>
      <c r="AR749" s="212"/>
      <c r="AS749" s="212"/>
      <c r="AT749" s="212"/>
      <c r="AU749" s="212"/>
      <c r="AV749" s="212"/>
      <c r="AW749" s="212"/>
      <c r="AX749" s="212"/>
      <c r="AY749" s="212"/>
      <c r="AZ749" s="212"/>
      <c r="BA749" s="212"/>
      <c r="BB749" s="212"/>
      <c r="BC749" s="212"/>
      <c r="BD749" s="212"/>
      <c r="BE749" s="212"/>
      <c r="BF749" s="212"/>
      <c r="BG749" s="212"/>
      <c r="BH749" s="212"/>
      <c r="BI749" s="212"/>
    </row>
    <row r="750" spans="1:61" ht="24" customHeight="1">
      <c r="A750" s="218" t="s">
        <v>2409</v>
      </c>
      <c r="B750" s="218" t="s">
        <v>1465</v>
      </c>
      <c r="C750" s="228">
        <v>1</v>
      </c>
      <c r="D750" s="213" t="s">
        <v>1412</v>
      </c>
      <c r="E750" s="212"/>
      <c r="F750" s="217">
        <f>TRUNC(F751+F752+F753+F754,0)</f>
        <v>0</v>
      </c>
      <c r="G750" s="212"/>
      <c r="H750" s="217">
        <f>TRUNC(H751+H752+H753+H754,0)</f>
        <v>0</v>
      </c>
      <c r="I750" s="212"/>
      <c r="J750" s="217">
        <f>TRUNC(J751+J752+J753+J754,0)</f>
        <v>0</v>
      </c>
      <c r="K750" s="212"/>
      <c r="L750" s="217">
        <f>F750+H750+J750</f>
        <v>0</v>
      </c>
      <c r="M750" s="215" t="s">
        <v>1867</v>
      </c>
      <c r="N750" s="212" t="s">
        <v>68</v>
      </c>
      <c r="O750" s="212" t="s">
        <v>1466</v>
      </c>
      <c r="P750" s="212"/>
      <c r="Q750" s="212"/>
      <c r="R750" s="212"/>
      <c r="S750" s="212"/>
      <c r="T750" s="212"/>
      <c r="U750" s="212"/>
      <c r="V750" s="212"/>
      <c r="W750" s="212"/>
      <c r="X750" s="212"/>
      <c r="Y750" s="212"/>
      <c r="Z750" s="212"/>
      <c r="AA750" s="212"/>
      <c r="AB750" s="212"/>
      <c r="AC750" s="212"/>
      <c r="AD750" s="212"/>
      <c r="AE750" s="212"/>
      <c r="AF750" s="212"/>
      <c r="AG750" s="212"/>
      <c r="AH750" s="212"/>
      <c r="AI750" s="212"/>
      <c r="AJ750" s="212"/>
      <c r="AK750" s="212"/>
      <c r="AL750" s="212"/>
      <c r="AM750" s="212"/>
      <c r="AN750" s="212"/>
      <c r="AO750" s="212"/>
      <c r="AP750" s="212"/>
      <c r="AQ750" s="212"/>
      <c r="AR750" s="212"/>
      <c r="AS750" s="212"/>
      <c r="AT750" s="212"/>
      <c r="AU750" s="212"/>
      <c r="AV750" s="212"/>
      <c r="AW750" s="212"/>
      <c r="AX750" s="212"/>
      <c r="AY750" s="212"/>
      <c r="AZ750" s="212"/>
      <c r="BA750" s="212"/>
      <c r="BB750" s="212"/>
      <c r="BC750" s="212"/>
      <c r="BD750" s="212"/>
      <c r="BE750" s="212"/>
      <c r="BF750" s="212"/>
      <c r="BG750" s="212"/>
      <c r="BH750" s="212"/>
      <c r="BI750" s="212"/>
    </row>
    <row r="751" spans="1:61" ht="24" customHeight="1">
      <c r="A751" s="218" t="s">
        <v>2410</v>
      </c>
      <c r="B751" s="218" t="s">
        <v>2411</v>
      </c>
      <c r="C751" s="228">
        <v>1</v>
      </c>
      <c r="D751" s="213" t="s">
        <v>437</v>
      </c>
      <c r="E751" s="217">
        <f>자재조서!E111</f>
        <v>0</v>
      </c>
      <c r="F751" s="217">
        <f>TRUNC(E751*C751,0)</f>
        <v>0</v>
      </c>
      <c r="G751" s="217">
        <v>0</v>
      </c>
      <c r="H751" s="217"/>
      <c r="I751" s="217">
        <v>0</v>
      </c>
      <c r="J751" s="217"/>
      <c r="K751" s="217">
        <f>E751+G751+I751</f>
        <v>0</v>
      </c>
      <c r="L751" s="217">
        <f>F751+H751+J751</f>
        <v>0</v>
      </c>
      <c r="M751" s="215" t="s">
        <v>68</v>
      </c>
      <c r="N751" s="212" t="s">
        <v>68</v>
      </c>
      <c r="O751" s="212"/>
      <c r="P751" s="212" t="s">
        <v>1095</v>
      </c>
      <c r="Q751" s="212" t="s">
        <v>68</v>
      </c>
      <c r="R751" s="212" t="s">
        <v>2412</v>
      </c>
      <c r="S751" s="212"/>
      <c r="T751" s="212"/>
      <c r="U751" s="212"/>
      <c r="V751" s="212"/>
      <c r="W751" s="212"/>
      <c r="X751" s="212"/>
      <c r="Y751" s="212"/>
      <c r="Z751" s="212"/>
      <c r="AA751" s="212"/>
      <c r="AB751" s="212"/>
      <c r="AC751" s="212"/>
      <c r="AD751" s="212"/>
      <c r="AE751" s="212"/>
      <c r="AF751" s="212"/>
      <c r="AG751" s="212"/>
      <c r="AH751" s="212"/>
      <c r="AI751" s="212"/>
      <c r="AJ751" s="212"/>
      <c r="AK751" s="212"/>
      <c r="AL751" s="212"/>
      <c r="AM751" s="212"/>
      <c r="AN751" s="212"/>
      <c r="AO751" s="212"/>
      <c r="AP751" s="212"/>
      <c r="AQ751" s="212"/>
      <c r="AR751" s="212"/>
      <c r="AS751" s="212"/>
      <c r="AT751" s="212"/>
      <c r="AU751" s="212"/>
      <c r="AV751" s="212"/>
      <c r="AW751" s="212"/>
      <c r="AX751" s="212"/>
      <c r="AY751" s="212"/>
      <c r="AZ751" s="212"/>
      <c r="BA751" s="212"/>
      <c r="BB751" s="212"/>
      <c r="BC751" s="212"/>
      <c r="BD751" s="212"/>
      <c r="BE751" s="212"/>
      <c r="BF751" s="212"/>
      <c r="BG751" s="212"/>
      <c r="BH751" s="212"/>
      <c r="BI751" s="231" t="str">
        <f>HYPERLINK("#자재조서!A111","MZZ9000067 →")</f>
        <v>MZZ9000067 →</v>
      </c>
    </row>
    <row r="752" spans="1:61" ht="24" customHeight="1">
      <c r="A752" s="218" t="s">
        <v>2383</v>
      </c>
      <c r="B752" s="218" t="s">
        <v>1946</v>
      </c>
      <c r="C752" s="229">
        <v>0.69399999999999995</v>
      </c>
      <c r="D752" s="213" t="s">
        <v>1286</v>
      </c>
      <c r="E752" s="217">
        <v>0</v>
      </c>
      <c r="F752" s="217"/>
      <c r="G752" s="217">
        <f>노임!D22</f>
        <v>0</v>
      </c>
      <c r="H752" s="217">
        <f>TRUNC(G752*C752,0)</f>
        <v>0</v>
      </c>
      <c r="I752" s="217">
        <v>0</v>
      </c>
      <c r="J752" s="217"/>
      <c r="K752" s="217">
        <f>E752+G752+I752</f>
        <v>0</v>
      </c>
      <c r="L752" s="217">
        <f>F752+H752+J752</f>
        <v>0</v>
      </c>
      <c r="M752" s="215" t="s">
        <v>68</v>
      </c>
      <c r="N752" s="212" t="s">
        <v>68</v>
      </c>
      <c r="O752" s="212"/>
      <c r="P752" s="212" t="s">
        <v>1098</v>
      </c>
      <c r="Q752" s="212" t="s">
        <v>68</v>
      </c>
      <c r="R752" s="212" t="s">
        <v>2384</v>
      </c>
      <c r="S752" s="212"/>
      <c r="T752" s="212"/>
      <c r="U752" s="212"/>
      <c r="V752" s="212"/>
      <c r="W752" s="212"/>
      <c r="X752" s="212"/>
      <c r="Y752" s="212"/>
      <c r="Z752" s="212"/>
      <c r="AA752" s="212"/>
      <c r="AB752" s="212"/>
      <c r="AC752" s="212"/>
      <c r="AD752" s="212"/>
      <c r="AE752" s="212"/>
      <c r="AF752" s="212"/>
      <c r="AG752" s="212"/>
      <c r="AH752" s="212"/>
      <c r="AI752" s="212"/>
      <c r="AJ752" s="212"/>
      <c r="AK752" s="212"/>
      <c r="AL752" s="212"/>
      <c r="AM752" s="212"/>
      <c r="AN752" s="212"/>
      <c r="AO752" s="212"/>
      <c r="AP752" s="212"/>
      <c r="AQ752" s="212"/>
      <c r="AR752" s="212"/>
      <c r="AS752" s="212"/>
      <c r="AT752" s="212"/>
      <c r="AU752" s="212"/>
      <c r="AV752" s="212"/>
      <c r="AW752" s="212"/>
      <c r="AX752" s="212"/>
      <c r="AY752" s="212"/>
      <c r="AZ752" s="212"/>
      <c r="BA752" s="212"/>
      <c r="BB752" s="212"/>
      <c r="BC752" s="212"/>
      <c r="BD752" s="212"/>
      <c r="BE752" s="212"/>
      <c r="BF752" s="212"/>
      <c r="BG752" s="212"/>
      <c r="BH752" s="212"/>
      <c r="BI752" s="231" t="str">
        <f>HYPERLINK("#노임!A22","L001010101000042 →")</f>
        <v>L001010101000042 →</v>
      </c>
    </row>
    <row r="753" spans="1:61" ht="24" customHeight="1">
      <c r="A753" s="218" t="s">
        <v>1967</v>
      </c>
      <c r="B753" s="218" t="s">
        <v>1946</v>
      </c>
      <c r="C753" s="229">
        <v>0.2</v>
      </c>
      <c r="D753" s="213" t="s">
        <v>1286</v>
      </c>
      <c r="E753" s="217">
        <v>0</v>
      </c>
      <c r="F753" s="217"/>
      <c r="G753" s="217">
        <f>노임!D3</f>
        <v>0</v>
      </c>
      <c r="H753" s="217">
        <f>TRUNC(G753*C753,0)</f>
        <v>0</v>
      </c>
      <c r="I753" s="217">
        <v>0</v>
      </c>
      <c r="J753" s="217"/>
      <c r="K753" s="217">
        <f>E753+G753+I753</f>
        <v>0</v>
      </c>
      <c r="L753" s="217">
        <f>F753+H753+J753</f>
        <v>0</v>
      </c>
      <c r="M753" s="215" t="s">
        <v>68</v>
      </c>
      <c r="N753" s="212" t="s">
        <v>68</v>
      </c>
      <c r="O753" s="212"/>
      <c r="P753" s="212" t="s">
        <v>1101</v>
      </c>
      <c r="Q753" s="212" t="s">
        <v>68</v>
      </c>
      <c r="R753" s="212" t="s">
        <v>1968</v>
      </c>
      <c r="S753" s="212"/>
      <c r="T753" s="212"/>
      <c r="U753" s="212"/>
      <c r="V753" s="212"/>
      <c r="W753" s="212"/>
      <c r="X753" s="212"/>
      <c r="Y753" s="212"/>
      <c r="Z753" s="212"/>
      <c r="AA753" s="220" t="s">
        <v>1955</v>
      </c>
      <c r="AB753" s="212">
        <f>(호표!H752+호표!H753)*0.02</f>
        <v>0</v>
      </c>
      <c r="AC753" s="220" t="s">
        <v>1956</v>
      </c>
      <c r="AD753" s="212">
        <f>$AB753</f>
        <v>0</v>
      </c>
      <c r="AE753" s="212"/>
      <c r="AF753" s="212"/>
      <c r="AG753" s="212"/>
      <c r="AH753" s="212"/>
      <c r="AI753" s="212"/>
      <c r="AJ753" s="212"/>
      <c r="AK753" s="212"/>
      <c r="AL753" s="212"/>
      <c r="AM753" s="212"/>
      <c r="AN753" s="212"/>
      <c r="AO753" s="212"/>
      <c r="AP753" s="212"/>
      <c r="AQ753" s="212"/>
      <c r="AR753" s="212"/>
      <c r="AS753" s="212"/>
      <c r="AT753" s="212"/>
      <c r="AU753" s="212"/>
      <c r="AV753" s="212"/>
      <c r="AW753" s="212"/>
      <c r="AX753" s="212"/>
      <c r="AY753" s="212"/>
      <c r="AZ753" s="212"/>
      <c r="BA753" s="212"/>
      <c r="BB753" s="212"/>
      <c r="BC753" s="212"/>
      <c r="BD753" s="212"/>
      <c r="BE753" s="212"/>
      <c r="BF753" s="212"/>
      <c r="BG753" s="212"/>
      <c r="BH753" s="212"/>
      <c r="BI753" s="231" t="str">
        <f>HYPERLINK("#노임!A3","L001010101000002 →")</f>
        <v>L001010101000002 →</v>
      </c>
    </row>
    <row r="754" spans="1:61" ht="24" customHeight="1">
      <c r="A754" s="218" t="s">
        <v>1974</v>
      </c>
      <c r="B754" s="218" t="s">
        <v>1958</v>
      </c>
      <c r="C754" s="228">
        <v>2</v>
      </c>
      <c r="D754" s="213" t="s">
        <v>1950</v>
      </c>
      <c r="E754" s="213"/>
      <c r="F754" s="217">
        <v>0</v>
      </c>
      <c r="G754" s="213"/>
      <c r="H754" s="217">
        <v>0</v>
      </c>
      <c r="I754" s="213"/>
      <c r="J754" s="217">
        <f>TRUNC(((H752+H753)*0.02),0)</f>
        <v>0</v>
      </c>
      <c r="K754" s="217">
        <f>E754+G754+I754</f>
        <v>0</v>
      </c>
      <c r="L754" s="217">
        <f>F754+H754+J754</f>
        <v>0</v>
      </c>
      <c r="M754" s="215" t="s">
        <v>68</v>
      </c>
      <c r="N754" s="212" t="s">
        <v>68</v>
      </c>
      <c r="O754" s="212"/>
      <c r="P754" s="212" t="s">
        <v>1104</v>
      </c>
      <c r="Q754" s="212" t="s">
        <v>68</v>
      </c>
      <c r="R754" s="212" t="s">
        <v>1121</v>
      </c>
      <c r="S754" s="212"/>
      <c r="T754" s="212"/>
      <c r="U754" s="212"/>
      <c r="V754" s="212"/>
      <c r="W754" s="212"/>
      <c r="X754" s="212" t="s">
        <v>1986</v>
      </c>
      <c r="Y754" s="212"/>
      <c r="Z754" s="212"/>
      <c r="AA754" s="212"/>
      <c r="AB754" s="212"/>
      <c r="AC754" s="212"/>
      <c r="AD754" s="212"/>
      <c r="AE754" s="212"/>
      <c r="AF754" s="212"/>
      <c r="AG754" s="212"/>
      <c r="AH754" s="212"/>
      <c r="AI754" s="212"/>
      <c r="AJ754" s="212"/>
      <c r="AK754" s="212"/>
      <c r="AL754" s="212"/>
      <c r="AM754" s="212"/>
      <c r="AN754" s="212"/>
      <c r="AO754" s="212"/>
      <c r="AP754" s="212"/>
      <c r="AQ754" s="212"/>
      <c r="AR754" s="212"/>
      <c r="AS754" s="212"/>
      <c r="AT754" s="212"/>
      <c r="AU754" s="212"/>
      <c r="AV754" s="212"/>
      <c r="AW754" s="212"/>
      <c r="AX754" s="212"/>
      <c r="AY754" s="212"/>
      <c r="AZ754" s="212"/>
      <c r="BA754" s="212"/>
      <c r="BB754" s="212"/>
      <c r="BC754" s="212"/>
      <c r="BD754" s="212"/>
      <c r="BE754" s="212"/>
      <c r="BF754" s="212"/>
      <c r="BG754" s="212"/>
      <c r="BH754" s="212"/>
      <c r="BI754" s="212"/>
    </row>
    <row r="755" spans="1:61" ht="24" customHeight="1">
      <c r="A755" s="215"/>
      <c r="B755" s="215"/>
      <c r="C755" s="229"/>
      <c r="D755" s="213"/>
      <c r="E755" s="213"/>
      <c r="F755" s="213"/>
      <c r="G755" s="213"/>
      <c r="H755" s="213"/>
      <c r="I755" s="213"/>
      <c r="J755" s="213"/>
      <c r="K755" s="213"/>
      <c r="L755" s="213"/>
      <c r="M755" s="215"/>
      <c r="N755" s="212"/>
      <c r="O755" s="212"/>
      <c r="P755" s="212"/>
      <c r="Q755" s="212"/>
      <c r="R755" s="212"/>
      <c r="S755" s="212"/>
      <c r="T755" s="212"/>
      <c r="U755" s="212"/>
      <c r="V755" s="212"/>
      <c r="W755" s="212"/>
      <c r="X755" s="212"/>
      <c r="Y755" s="212"/>
      <c r="Z755" s="212"/>
      <c r="AA755" s="212"/>
      <c r="AB755" s="212"/>
      <c r="AC755" s="212"/>
      <c r="AD755" s="212"/>
      <c r="AE755" s="212"/>
      <c r="AF755" s="212"/>
      <c r="AG755" s="212"/>
      <c r="AH755" s="212"/>
      <c r="AI755" s="212"/>
      <c r="AJ755" s="212"/>
      <c r="AK755" s="212"/>
      <c r="AL755" s="212"/>
      <c r="AM755" s="212"/>
      <c r="AN755" s="212"/>
      <c r="AO755" s="212"/>
      <c r="AP755" s="212"/>
      <c r="AQ755" s="212"/>
      <c r="AR755" s="212"/>
      <c r="AS755" s="212"/>
      <c r="AT755" s="212"/>
      <c r="AU755" s="212"/>
      <c r="AV755" s="212"/>
      <c r="AW755" s="212"/>
      <c r="AX755" s="212"/>
      <c r="AY755" s="212"/>
      <c r="AZ755" s="212"/>
      <c r="BA755" s="212"/>
      <c r="BB755" s="212"/>
      <c r="BC755" s="212"/>
      <c r="BD755" s="212"/>
      <c r="BE755" s="212"/>
      <c r="BF755" s="212"/>
      <c r="BG755" s="212"/>
      <c r="BH755" s="212"/>
      <c r="BI755" s="212"/>
    </row>
    <row r="756" spans="1:61" ht="24" customHeight="1">
      <c r="A756" s="218" t="s">
        <v>2413</v>
      </c>
      <c r="B756" s="218" t="s">
        <v>1869</v>
      </c>
      <c r="C756" s="228">
        <v>1</v>
      </c>
      <c r="D756" s="213" t="s">
        <v>1412</v>
      </c>
      <c r="E756" s="212"/>
      <c r="F756" s="217">
        <f>TRUNC(F757+F758+F759,0)</f>
        <v>0</v>
      </c>
      <c r="G756" s="212"/>
      <c r="H756" s="217">
        <f>TRUNC(H757+H758+H759,0)</f>
        <v>0</v>
      </c>
      <c r="I756" s="212"/>
      <c r="J756" s="217">
        <f>TRUNC(J757+J758+J759,0)</f>
        <v>0</v>
      </c>
      <c r="K756" s="212"/>
      <c r="L756" s="217">
        <f>F756+H756+J756</f>
        <v>0</v>
      </c>
      <c r="M756" s="215" t="s">
        <v>1870</v>
      </c>
      <c r="N756" s="212" t="s">
        <v>68</v>
      </c>
      <c r="O756" s="212" t="s">
        <v>1468</v>
      </c>
      <c r="P756" s="212"/>
      <c r="Q756" s="212"/>
      <c r="R756" s="212"/>
      <c r="S756" s="212"/>
      <c r="T756" s="212"/>
      <c r="U756" s="212"/>
      <c r="V756" s="212"/>
      <c r="W756" s="212"/>
      <c r="X756" s="212"/>
      <c r="Y756" s="212"/>
      <c r="Z756" s="212"/>
      <c r="AA756" s="212"/>
      <c r="AB756" s="212"/>
      <c r="AC756" s="212"/>
      <c r="AD756" s="212"/>
      <c r="AE756" s="212"/>
      <c r="AF756" s="212"/>
      <c r="AG756" s="212"/>
      <c r="AH756" s="212"/>
      <c r="AI756" s="212"/>
      <c r="AJ756" s="212"/>
      <c r="AK756" s="212"/>
      <c r="AL756" s="212"/>
      <c r="AM756" s="212"/>
      <c r="AN756" s="212"/>
      <c r="AO756" s="212"/>
      <c r="AP756" s="212"/>
      <c r="AQ756" s="212"/>
      <c r="AR756" s="212"/>
      <c r="AS756" s="212"/>
      <c r="AT756" s="212"/>
      <c r="AU756" s="212"/>
      <c r="AV756" s="212"/>
      <c r="AW756" s="212"/>
      <c r="AX756" s="212"/>
      <c r="AY756" s="212"/>
      <c r="AZ756" s="212"/>
      <c r="BA756" s="212"/>
      <c r="BB756" s="212"/>
      <c r="BC756" s="212"/>
      <c r="BD756" s="212"/>
      <c r="BE756" s="212"/>
      <c r="BF756" s="212"/>
      <c r="BG756" s="212"/>
      <c r="BH756" s="212"/>
      <c r="BI756" s="212"/>
    </row>
    <row r="757" spans="1:61" ht="24" customHeight="1">
      <c r="A757" s="218" t="s">
        <v>2414</v>
      </c>
      <c r="B757" s="218" t="s">
        <v>2415</v>
      </c>
      <c r="C757" s="228">
        <v>1</v>
      </c>
      <c r="D757" s="213" t="s">
        <v>437</v>
      </c>
      <c r="E757" s="217">
        <f>자재조서!E112</f>
        <v>0</v>
      </c>
      <c r="F757" s="217">
        <f>TRUNC(E757*C757,0)</f>
        <v>0</v>
      </c>
      <c r="G757" s="217">
        <v>0</v>
      </c>
      <c r="H757" s="217"/>
      <c r="I757" s="217">
        <v>0</v>
      </c>
      <c r="J757" s="217"/>
      <c r="K757" s="217">
        <f>E757+G757+I757</f>
        <v>0</v>
      </c>
      <c r="L757" s="217">
        <f>F757+H757+J757</f>
        <v>0</v>
      </c>
      <c r="M757" s="215" t="s">
        <v>68</v>
      </c>
      <c r="N757" s="212" t="s">
        <v>68</v>
      </c>
      <c r="O757" s="212"/>
      <c r="P757" s="212" t="s">
        <v>1095</v>
      </c>
      <c r="Q757" s="212" t="s">
        <v>68</v>
      </c>
      <c r="R757" s="212" t="s">
        <v>2416</v>
      </c>
      <c r="S757" s="212"/>
      <c r="T757" s="212"/>
      <c r="U757" s="212"/>
      <c r="V757" s="212"/>
      <c r="W757" s="212"/>
      <c r="X757" s="212"/>
      <c r="Y757" s="212"/>
      <c r="Z757" s="212"/>
      <c r="AA757" s="212"/>
      <c r="AB757" s="212"/>
      <c r="AC757" s="212"/>
      <c r="AD757" s="212"/>
      <c r="AE757" s="212"/>
      <c r="AF757" s="212"/>
      <c r="AG757" s="212"/>
      <c r="AH757" s="212"/>
      <c r="AI757" s="212"/>
      <c r="AJ757" s="212"/>
      <c r="AK757" s="212"/>
      <c r="AL757" s="212"/>
      <c r="AM757" s="212"/>
      <c r="AN757" s="212"/>
      <c r="AO757" s="212"/>
      <c r="AP757" s="212"/>
      <c r="AQ757" s="212"/>
      <c r="AR757" s="212"/>
      <c r="AS757" s="212"/>
      <c r="AT757" s="212"/>
      <c r="AU757" s="212"/>
      <c r="AV757" s="212"/>
      <c r="AW757" s="212"/>
      <c r="AX757" s="212"/>
      <c r="AY757" s="212"/>
      <c r="AZ757" s="212"/>
      <c r="BA757" s="212"/>
      <c r="BB757" s="212"/>
      <c r="BC757" s="212"/>
      <c r="BD757" s="212"/>
      <c r="BE757" s="212"/>
      <c r="BF757" s="212"/>
      <c r="BG757" s="212"/>
      <c r="BH757" s="212"/>
      <c r="BI757" s="231" t="str">
        <f>HYPERLINK("#자재조서!A112","MZZ9000068 →")</f>
        <v>MZZ9000068 →</v>
      </c>
    </row>
    <row r="758" spans="1:61" ht="24" customHeight="1">
      <c r="A758" s="218" t="s">
        <v>2383</v>
      </c>
      <c r="B758" s="218" t="s">
        <v>1946</v>
      </c>
      <c r="C758" s="229">
        <v>7.0999999999999994E-2</v>
      </c>
      <c r="D758" s="213" t="s">
        <v>1286</v>
      </c>
      <c r="E758" s="217">
        <v>0</v>
      </c>
      <c r="F758" s="217"/>
      <c r="G758" s="217">
        <f>노임!D22</f>
        <v>0</v>
      </c>
      <c r="H758" s="217">
        <f>TRUNC(G758*C758,0)</f>
        <v>0</v>
      </c>
      <c r="I758" s="217">
        <v>0</v>
      </c>
      <c r="J758" s="217"/>
      <c r="K758" s="217">
        <f>E758+G758+I758</f>
        <v>0</v>
      </c>
      <c r="L758" s="217">
        <f>F758+H758+J758</f>
        <v>0</v>
      </c>
      <c r="M758" s="215" t="s">
        <v>68</v>
      </c>
      <c r="N758" s="212" t="s">
        <v>68</v>
      </c>
      <c r="O758" s="212"/>
      <c r="P758" s="212" t="s">
        <v>1098</v>
      </c>
      <c r="Q758" s="212" t="s">
        <v>68</v>
      </c>
      <c r="R758" s="212" t="s">
        <v>2384</v>
      </c>
      <c r="S758" s="212"/>
      <c r="T758" s="212"/>
      <c r="U758" s="212"/>
      <c r="V758" s="212"/>
      <c r="W758" s="212"/>
      <c r="X758" s="212"/>
      <c r="Y758" s="212"/>
      <c r="Z758" s="212"/>
      <c r="AA758" s="220" t="s">
        <v>1955</v>
      </c>
      <c r="AB758" s="212">
        <f>호표!H758*0.02</f>
        <v>0</v>
      </c>
      <c r="AC758" s="220" t="s">
        <v>1956</v>
      </c>
      <c r="AD758" s="212">
        <f>$AB758</f>
        <v>0</v>
      </c>
      <c r="AE758" s="212"/>
      <c r="AF758" s="212"/>
      <c r="AG758" s="212"/>
      <c r="AH758" s="212"/>
      <c r="AI758" s="212"/>
      <c r="AJ758" s="212"/>
      <c r="AK758" s="212"/>
      <c r="AL758" s="212"/>
      <c r="AM758" s="212"/>
      <c r="AN758" s="212"/>
      <c r="AO758" s="212"/>
      <c r="AP758" s="212"/>
      <c r="AQ758" s="212"/>
      <c r="AR758" s="212"/>
      <c r="AS758" s="212"/>
      <c r="AT758" s="212"/>
      <c r="AU758" s="212"/>
      <c r="AV758" s="212"/>
      <c r="AW758" s="212"/>
      <c r="AX758" s="212"/>
      <c r="AY758" s="212"/>
      <c r="AZ758" s="212"/>
      <c r="BA758" s="212"/>
      <c r="BB758" s="212"/>
      <c r="BC758" s="212"/>
      <c r="BD758" s="212"/>
      <c r="BE758" s="212"/>
      <c r="BF758" s="212"/>
      <c r="BG758" s="212"/>
      <c r="BH758" s="212"/>
      <c r="BI758" s="231" t="str">
        <f>HYPERLINK("#노임!A22","L001010101000042 →")</f>
        <v>L001010101000042 →</v>
      </c>
    </row>
    <row r="759" spans="1:61" ht="24" customHeight="1">
      <c r="A759" s="218" t="s">
        <v>1974</v>
      </c>
      <c r="B759" s="218" t="s">
        <v>1958</v>
      </c>
      <c r="C759" s="228">
        <v>2</v>
      </c>
      <c r="D759" s="213" t="s">
        <v>1950</v>
      </c>
      <c r="E759" s="213"/>
      <c r="F759" s="217">
        <v>0</v>
      </c>
      <c r="G759" s="213"/>
      <c r="H759" s="217">
        <v>0</v>
      </c>
      <c r="I759" s="213"/>
      <c r="J759" s="217">
        <f>TRUNC((H758*0.02),0)</f>
        <v>0</v>
      </c>
      <c r="K759" s="217">
        <f>E759+G759+I759</f>
        <v>0</v>
      </c>
      <c r="L759" s="217">
        <f>F759+H759+J759</f>
        <v>0</v>
      </c>
      <c r="M759" s="215" t="s">
        <v>68</v>
      </c>
      <c r="N759" s="212" t="s">
        <v>68</v>
      </c>
      <c r="O759" s="212"/>
      <c r="P759" s="212" t="s">
        <v>1101</v>
      </c>
      <c r="Q759" s="212" t="s">
        <v>68</v>
      </c>
      <c r="R759" s="212" t="s">
        <v>1121</v>
      </c>
      <c r="S759" s="212"/>
      <c r="T759" s="212"/>
      <c r="U759" s="212"/>
      <c r="V759" s="212"/>
      <c r="W759" s="212"/>
      <c r="X759" s="212" t="s">
        <v>2417</v>
      </c>
      <c r="Y759" s="212"/>
      <c r="Z759" s="212"/>
      <c r="AA759" s="212"/>
      <c r="AB759" s="212"/>
      <c r="AC759" s="212"/>
      <c r="AD759" s="212"/>
      <c r="AE759" s="212"/>
      <c r="AF759" s="212"/>
      <c r="AG759" s="212"/>
      <c r="AH759" s="212"/>
      <c r="AI759" s="212"/>
      <c r="AJ759" s="212"/>
      <c r="AK759" s="212"/>
      <c r="AL759" s="212"/>
      <c r="AM759" s="212"/>
      <c r="AN759" s="212"/>
      <c r="AO759" s="212"/>
      <c r="AP759" s="212"/>
      <c r="AQ759" s="212"/>
      <c r="AR759" s="212"/>
      <c r="AS759" s="212"/>
      <c r="AT759" s="212"/>
      <c r="AU759" s="212"/>
      <c r="AV759" s="212"/>
      <c r="AW759" s="212"/>
      <c r="AX759" s="212"/>
      <c r="AY759" s="212"/>
      <c r="AZ759" s="212"/>
      <c r="BA759" s="212"/>
      <c r="BB759" s="212"/>
      <c r="BC759" s="212"/>
      <c r="BD759" s="212"/>
      <c r="BE759" s="212"/>
      <c r="BF759" s="212"/>
      <c r="BG759" s="212"/>
      <c r="BH759" s="212"/>
      <c r="BI759" s="212"/>
    </row>
    <row r="760" spans="1:61" ht="24" customHeight="1">
      <c r="A760" s="215"/>
      <c r="B760" s="215"/>
      <c r="C760" s="229"/>
      <c r="D760" s="213"/>
      <c r="E760" s="213"/>
      <c r="F760" s="213"/>
      <c r="G760" s="213"/>
      <c r="H760" s="213"/>
      <c r="I760" s="213"/>
      <c r="J760" s="213"/>
      <c r="K760" s="213"/>
      <c r="L760" s="213"/>
      <c r="M760" s="215"/>
      <c r="N760" s="212"/>
      <c r="O760" s="212"/>
      <c r="P760" s="212"/>
      <c r="Q760" s="212"/>
      <c r="R760" s="212"/>
      <c r="S760" s="212"/>
      <c r="T760" s="212"/>
      <c r="U760" s="212"/>
      <c r="V760" s="212"/>
      <c r="W760" s="212"/>
      <c r="X760" s="212"/>
      <c r="Y760" s="212"/>
      <c r="Z760" s="212"/>
      <c r="AA760" s="212"/>
      <c r="AB760" s="212"/>
      <c r="AC760" s="212"/>
      <c r="AD760" s="212"/>
      <c r="AE760" s="212"/>
      <c r="AF760" s="212"/>
      <c r="AG760" s="212"/>
      <c r="AH760" s="212"/>
      <c r="AI760" s="212"/>
      <c r="AJ760" s="212"/>
      <c r="AK760" s="212"/>
      <c r="AL760" s="212"/>
      <c r="AM760" s="212"/>
      <c r="AN760" s="212"/>
      <c r="AO760" s="212"/>
      <c r="AP760" s="212"/>
      <c r="AQ760" s="212"/>
      <c r="AR760" s="212"/>
      <c r="AS760" s="212"/>
      <c r="AT760" s="212"/>
      <c r="AU760" s="212"/>
      <c r="AV760" s="212"/>
      <c r="AW760" s="212"/>
      <c r="AX760" s="212"/>
      <c r="AY760" s="212"/>
      <c r="AZ760" s="212"/>
      <c r="BA760" s="212"/>
      <c r="BB760" s="212"/>
      <c r="BC760" s="212"/>
      <c r="BD760" s="212"/>
      <c r="BE760" s="212"/>
      <c r="BF760" s="212"/>
      <c r="BG760" s="212"/>
      <c r="BH760" s="212"/>
      <c r="BI760" s="212"/>
    </row>
    <row r="761" spans="1:61" ht="24" customHeight="1">
      <c r="A761" s="218" t="s">
        <v>2418</v>
      </c>
      <c r="B761" s="218" t="s">
        <v>1474</v>
      </c>
      <c r="C761" s="228">
        <v>1</v>
      </c>
      <c r="D761" s="213" t="s">
        <v>9</v>
      </c>
      <c r="E761" s="212"/>
      <c r="F761" s="217">
        <f>TRUNC(F762+F765+F766,0)</f>
        <v>0</v>
      </c>
      <c r="G761" s="212"/>
      <c r="H761" s="217">
        <f>TRUNC(H762+H765+H766,0)</f>
        <v>0</v>
      </c>
      <c r="I761" s="212"/>
      <c r="J761" s="217">
        <f>TRUNC(J762+J765+J766,0)</f>
        <v>0</v>
      </c>
      <c r="K761" s="212"/>
      <c r="L761" s="217">
        <f t="shared" ref="L761:L766" si="81">F761+H761+J761</f>
        <v>0</v>
      </c>
      <c r="M761" s="215" t="s">
        <v>1872</v>
      </c>
      <c r="N761" s="212" t="s">
        <v>68</v>
      </c>
      <c r="O761" s="212" t="s">
        <v>1475</v>
      </c>
      <c r="P761" s="212"/>
      <c r="Q761" s="212"/>
      <c r="R761" s="212"/>
      <c r="S761" s="212"/>
      <c r="T761" s="212"/>
      <c r="U761" s="212"/>
      <c r="V761" s="212"/>
      <c r="W761" s="212"/>
      <c r="X761" s="212"/>
      <c r="Y761" s="212"/>
      <c r="Z761" s="212"/>
      <c r="AA761" s="212"/>
      <c r="AB761" s="212"/>
      <c r="AC761" s="212"/>
      <c r="AD761" s="212"/>
      <c r="AE761" s="212"/>
      <c r="AF761" s="212"/>
      <c r="AG761" s="212"/>
      <c r="AH761" s="212"/>
      <c r="AI761" s="212"/>
      <c r="AJ761" s="212"/>
      <c r="AK761" s="212"/>
      <c r="AL761" s="212"/>
      <c r="AM761" s="212"/>
      <c r="AN761" s="212"/>
      <c r="AO761" s="212"/>
      <c r="AP761" s="212"/>
      <c r="AQ761" s="212"/>
      <c r="AR761" s="212"/>
      <c r="AS761" s="212"/>
      <c r="AT761" s="212"/>
      <c r="AU761" s="212"/>
      <c r="AV761" s="212"/>
      <c r="AW761" s="212"/>
      <c r="AX761" s="212"/>
      <c r="AY761" s="212"/>
      <c r="AZ761" s="212"/>
      <c r="BA761" s="212"/>
      <c r="BB761" s="212"/>
      <c r="BC761" s="212"/>
      <c r="BD761" s="212"/>
      <c r="BE761" s="212"/>
      <c r="BF761" s="212"/>
      <c r="BG761" s="212"/>
      <c r="BH761" s="212"/>
      <c r="BI761" s="212"/>
    </row>
    <row r="762" spans="1:61" ht="24" customHeight="1">
      <c r="A762" s="218" t="s">
        <v>2266</v>
      </c>
      <c r="B762" s="218" t="s">
        <v>2419</v>
      </c>
      <c r="C762" s="229">
        <v>7.9299999999999995E-3</v>
      </c>
      <c r="D762" s="213" t="s">
        <v>1932</v>
      </c>
      <c r="E762" s="217">
        <f>자재조서!E8</f>
        <v>0</v>
      </c>
      <c r="F762" s="217">
        <f>TRUNC(E762*C762,0)</f>
        <v>0</v>
      </c>
      <c r="G762" s="217">
        <v>0</v>
      </c>
      <c r="H762" s="217"/>
      <c r="I762" s="217">
        <v>0</v>
      </c>
      <c r="J762" s="217"/>
      <c r="K762" s="217">
        <f>E762+G762+I762</f>
        <v>0</v>
      </c>
      <c r="L762" s="217">
        <f t="shared" si="81"/>
        <v>0</v>
      </c>
      <c r="M762" s="215" t="s">
        <v>68</v>
      </c>
      <c r="N762" s="212" t="s">
        <v>2420</v>
      </c>
      <c r="O762" s="212"/>
      <c r="P762" s="212" t="s">
        <v>1095</v>
      </c>
      <c r="Q762" s="212" t="s">
        <v>68</v>
      </c>
      <c r="R762" s="212" t="s">
        <v>2421</v>
      </c>
      <c r="S762" s="212"/>
      <c r="T762" s="212"/>
      <c r="U762" s="212"/>
      <c r="V762" s="212"/>
      <c r="W762" s="212"/>
      <c r="X762" s="212"/>
      <c r="Y762" s="212"/>
      <c r="Z762" s="212"/>
      <c r="AA762" s="212"/>
      <c r="AB762" s="212"/>
      <c r="AC762" s="212"/>
      <c r="AD762" s="212"/>
      <c r="AE762" s="212"/>
      <c r="AF762" s="212"/>
      <c r="AG762" s="212"/>
      <c r="AH762" s="212"/>
      <c r="AI762" s="212"/>
      <c r="AJ762" s="212"/>
      <c r="AK762" s="212"/>
      <c r="AL762" s="212"/>
      <c r="AM762" s="212"/>
      <c r="AN762" s="212"/>
      <c r="AO762" s="212"/>
      <c r="AP762" s="212"/>
      <c r="AQ762" s="212"/>
      <c r="AR762" s="212"/>
      <c r="AS762" s="212"/>
      <c r="AT762" s="212"/>
      <c r="AU762" s="212"/>
      <c r="AV762" s="212"/>
      <c r="AW762" s="212"/>
      <c r="AX762" s="212"/>
      <c r="AY762" s="212"/>
      <c r="AZ762" s="212"/>
      <c r="BA762" s="212"/>
      <c r="BB762" s="212"/>
      <c r="BC762" s="212"/>
      <c r="BD762" s="212"/>
      <c r="BE762" s="212"/>
      <c r="BF762" s="212"/>
      <c r="BG762" s="212"/>
      <c r="BH762" s="212"/>
      <c r="BI762" s="231" t="str">
        <f>HYPERLINK("#자재조서!A8","M0195015 →")</f>
        <v>M0195015 →</v>
      </c>
    </row>
    <row r="763" spans="1:61" ht="24" customHeight="1">
      <c r="A763" s="218" t="s">
        <v>2422</v>
      </c>
      <c r="B763" s="218" t="s">
        <v>1946</v>
      </c>
      <c r="C763" s="228">
        <v>3</v>
      </c>
      <c r="D763" s="213" t="s">
        <v>1286</v>
      </c>
      <c r="E763" s="217">
        <v>0</v>
      </c>
      <c r="F763" s="217"/>
      <c r="G763" s="217">
        <f>노임!D23</f>
        <v>0</v>
      </c>
      <c r="H763" s="217">
        <f>TRUNC(G763*C763,0)</f>
        <v>0</v>
      </c>
      <c r="I763" s="217">
        <v>0</v>
      </c>
      <c r="J763" s="217"/>
      <c r="K763" s="217">
        <f>E763+G763+I763</f>
        <v>0</v>
      </c>
      <c r="L763" s="217">
        <f t="shared" si="81"/>
        <v>0</v>
      </c>
      <c r="M763" s="215" t="s">
        <v>68</v>
      </c>
      <c r="N763" s="212" t="s">
        <v>68</v>
      </c>
      <c r="O763" s="212"/>
      <c r="P763" s="212" t="s">
        <v>1098</v>
      </c>
      <c r="Q763" s="212" t="s">
        <v>1105</v>
      </c>
      <c r="R763" s="212" t="s">
        <v>2423</v>
      </c>
      <c r="S763" s="212"/>
      <c r="T763" s="212"/>
      <c r="U763" s="212"/>
      <c r="V763" s="212"/>
      <c r="W763" s="212"/>
      <c r="X763" s="212"/>
      <c r="Y763" s="212"/>
      <c r="Z763" s="212"/>
      <c r="AA763" s="212"/>
      <c r="AB763" s="212"/>
      <c r="AC763" s="212"/>
      <c r="AD763" s="212"/>
      <c r="AE763" s="212"/>
      <c r="AF763" s="212"/>
      <c r="AG763" s="212"/>
      <c r="AH763" s="212"/>
      <c r="AI763" s="212"/>
      <c r="AJ763" s="212"/>
      <c r="AK763" s="212"/>
      <c r="AL763" s="212"/>
      <c r="AM763" s="212"/>
      <c r="AN763" s="212"/>
      <c r="AO763" s="212"/>
      <c r="AP763" s="212"/>
      <c r="AQ763" s="212"/>
      <c r="AR763" s="212"/>
      <c r="AS763" s="212"/>
      <c r="AT763" s="212"/>
      <c r="AU763" s="212"/>
      <c r="AV763" s="212"/>
      <c r="AW763" s="212"/>
      <c r="AX763" s="212"/>
      <c r="AY763" s="212"/>
      <c r="AZ763" s="212"/>
      <c r="BA763" s="212"/>
      <c r="BB763" s="212"/>
      <c r="BC763" s="212"/>
      <c r="BD763" s="212"/>
      <c r="BE763" s="212"/>
      <c r="BF763" s="212"/>
      <c r="BG763" s="212"/>
      <c r="BH763" s="212"/>
      <c r="BI763" s="231" t="str">
        <f>HYPERLINK("#노임!A23","L001010101000043 →")</f>
        <v>L001010101000043 →</v>
      </c>
    </row>
    <row r="764" spans="1:61" ht="24" customHeight="1">
      <c r="A764" s="218" t="s">
        <v>1967</v>
      </c>
      <c r="B764" s="218" t="s">
        <v>1946</v>
      </c>
      <c r="C764" s="228">
        <v>1</v>
      </c>
      <c r="D764" s="213" t="s">
        <v>1286</v>
      </c>
      <c r="E764" s="217">
        <v>0</v>
      </c>
      <c r="F764" s="217"/>
      <c r="G764" s="217">
        <f>노임!D3</f>
        <v>0</v>
      </c>
      <c r="H764" s="217">
        <f>TRUNC(G764*C764,0)</f>
        <v>0</v>
      </c>
      <c r="I764" s="217">
        <v>0</v>
      </c>
      <c r="J764" s="217"/>
      <c r="K764" s="217">
        <f>E764+G764+I764</f>
        <v>0</v>
      </c>
      <c r="L764" s="217">
        <f t="shared" si="81"/>
        <v>0</v>
      </c>
      <c r="M764" s="215" t="s">
        <v>68</v>
      </c>
      <c r="N764" s="212" t="s">
        <v>68</v>
      </c>
      <c r="O764" s="212"/>
      <c r="P764" s="212" t="s">
        <v>1101</v>
      </c>
      <c r="Q764" s="212" t="s">
        <v>1105</v>
      </c>
      <c r="R764" s="212" t="s">
        <v>1968</v>
      </c>
      <c r="S764" s="212"/>
      <c r="T764" s="212"/>
      <c r="U764" s="212"/>
      <c r="V764" s="212"/>
      <c r="W764" s="212"/>
      <c r="X764" s="212"/>
      <c r="Y764" s="212"/>
      <c r="Z764" s="212"/>
      <c r="AA764" s="220" t="s">
        <v>1123</v>
      </c>
      <c r="AB764" s="212">
        <f>(호표!H763+호표!H764)/11</f>
        <v>0</v>
      </c>
      <c r="AC764" s="220" t="s">
        <v>1124</v>
      </c>
      <c r="AD764" s="212">
        <f>$AB764</f>
        <v>0</v>
      </c>
      <c r="AE764" s="212"/>
      <c r="AF764" s="212"/>
      <c r="AG764" s="212"/>
      <c r="AH764" s="212"/>
      <c r="AI764" s="212"/>
      <c r="AJ764" s="212"/>
      <c r="AK764" s="212"/>
      <c r="AL764" s="212"/>
      <c r="AM764" s="212"/>
      <c r="AN764" s="212"/>
      <c r="AO764" s="212"/>
      <c r="AP764" s="212"/>
      <c r="AQ764" s="212"/>
      <c r="AR764" s="212"/>
      <c r="AS764" s="212"/>
      <c r="AT764" s="212"/>
      <c r="AU764" s="212"/>
      <c r="AV764" s="212"/>
      <c r="AW764" s="212"/>
      <c r="AX764" s="212"/>
      <c r="AY764" s="212"/>
      <c r="AZ764" s="212"/>
      <c r="BA764" s="212"/>
      <c r="BB764" s="212"/>
      <c r="BC764" s="212"/>
      <c r="BD764" s="212"/>
      <c r="BE764" s="212"/>
      <c r="BF764" s="212"/>
      <c r="BG764" s="212"/>
      <c r="BH764" s="212"/>
      <c r="BI764" s="231" t="str">
        <f>HYPERLINK("#노임!A3","L001010101000002 →")</f>
        <v>L001010101000002 →</v>
      </c>
    </row>
    <row r="765" spans="1:61" ht="24" customHeight="1">
      <c r="A765" s="218" t="s">
        <v>2424</v>
      </c>
      <c r="B765" s="218" t="s">
        <v>2425</v>
      </c>
      <c r="C765" s="228">
        <v>1</v>
      </c>
      <c r="D765" s="213" t="s">
        <v>9</v>
      </c>
      <c r="E765" s="213"/>
      <c r="F765" s="217">
        <v>0</v>
      </c>
      <c r="G765" s="213"/>
      <c r="H765" s="217">
        <f>TRUNC(((H763+H764)/11),0)</f>
        <v>0</v>
      </c>
      <c r="I765" s="213"/>
      <c r="J765" s="217">
        <v>0</v>
      </c>
      <c r="K765" s="217">
        <f>E765+G765+I765</f>
        <v>0</v>
      </c>
      <c r="L765" s="217">
        <f t="shared" si="81"/>
        <v>0</v>
      </c>
      <c r="M765" s="215" t="s">
        <v>68</v>
      </c>
      <c r="N765" s="212" t="s">
        <v>68</v>
      </c>
      <c r="O765" s="212"/>
      <c r="P765" s="212" t="s">
        <v>1104</v>
      </c>
      <c r="Q765" s="212" t="s">
        <v>68</v>
      </c>
      <c r="R765" s="212" t="s">
        <v>1121</v>
      </c>
      <c r="S765" s="212"/>
      <c r="T765" s="212"/>
      <c r="U765" s="212"/>
      <c r="V765" s="212"/>
      <c r="W765" s="212"/>
      <c r="X765" s="212" t="s">
        <v>2426</v>
      </c>
      <c r="Y765" s="212"/>
      <c r="Z765" s="212"/>
      <c r="AA765" s="220" t="s">
        <v>1955</v>
      </c>
      <c r="AB765" s="212">
        <f>호표!H765*0.02</f>
        <v>0</v>
      </c>
      <c r="AC765" s="220" t="s">
        <v>1956</v>
      </c>
      <c r="AD765" s="212">
        <f>$AB765</f>
        <v>0</v>
      </c>
      <c r="AE765" s="212"/>
      <c r="AF765" s="212"/>
      <c r="AG765" s="212"/>
      <c r="AH765" s="212"/>
      <c r="AI765" s="212"/>
      <c r="AJ765" s="212"/>
      <c r="AK765" s="212"/>
      <c r="AL765" s="212"/>
      <c r="AM765" s="212"/>
      <c r="AN765" s="212"/>
      <c r="AO765" s="212"/>
      <c r="AP765" s="212"/>
      <c r="AQ765" s="212"/>
      <c r="AR765" s="212"/>
      <c r="AS765" s="212"/>
      <c r="AT765" s="212"/>
      <c r="AU765" s="212"/>
      <c r="AV765" s="212"/>
      <c r="AW765" s="212"/>
      <c r="AX765" s="212"/>
      <c r="AY765" s="212"/>
      <c r="AZ765" s="212"/>
      <c r="BA765" s="212"/>
      <c r="BB765" s="212"/>
      <c r="BC765" s="212"/>
      <c r="BD765" s="212"/>
      <c r="BE765" s="212"/>
      <c r="BF765" s="212"/>
      <c r="BG765" s="212"/>
      <c r="BH765" s="212"/>
      <c r="BI765" s="212"/>
    </row>
    <row r="766" spans="1:61" ht="24" customHeight="1">
      <c r="A766" s="218" t="s">
        <v>1974</v>
      </c>
      <c r="B766" s="218" t="s">
        <v>1958</v>
      </c>
      <c r="C766" s="228">
        <v>2</v>
      </c>
      <c r="D766" s="213" t="s">
        <v>1950</v>
      </c>
      <c r="E766" s="213"/>
      <c r="F766" s="217">
        <v>0</v>
      </c>
      <c r="G766" s="213"/>
      <c r="H766" s="217">
        <v>0</v>
      </c>
      <c r="I766" s="213"/>
      <c r="J766" s="217">
        <f>TRUNC((H765*0.02),0)</f>
        <v>0</v>
      </c>
      <c r="K766" s="217">
        <f>E766+G766+I766</f>
        <v>0</v>
      </c>
      <c r="L766" s="217">
        <f t="shared" si="81"/>
        <v>0</v>
      </c>
      <c r="M766" s="215" t="s">
        <v>68</v>
      </c>
      <c r="N766" s="212" t="s">
        <v>68</v>
      </c>
      <c r="O766" s="212"/>
      <c r="P766" s="212" t="s">
        <v>1107</v>
      </c>
      <c r="Q766" s="212" t="s">
        <v>68</v>
      </c>
      <c r="R766" s="212" t="s">
        <v>1121</v>
      </c>
      <c r="S766" s="212"/>
      <c r="T766" s="212"/>
      <c r="U766" s="212"/>
      <c r="V766" s="212"/>
      <c r="W766" s="212"/>
      <c r="X766" s="212" t="s">
        <v>2427</v>
      </c>
      <c r="Y766" s="212"/>
      <c r="Z766" s="212"/>
      <c r="AA766" s="212"/>
      <c r="AB766" s="212"/>
      <c r="AC766" s="212"/>
      <c r="AD766" s="212"/>
      <c r="AE766" s="212"/>
      <c r="AF766" s="212"/>
      <c r="AG766" s="212"/>
      <c r="AH766" s="212"/>
      <c r="AI766" s="212"/>
      <c r="AJ766" s="212"/>
      <c r="AK766" s="212"/>
      <c r="AL766" s="212"/>
      <c r="AM766" s="212"/>
      <c r="AN766" s="212"/>
      <c r="AO766" s="212"/>
      <c r="AP766" s="212"/>
      <c r="AQ766" s="212"/>
      <c r="AR766" s="212"/>
      <c r="AS766" s="212"/>
      <c r="AT766" s="212"/>
      <c r="AU766" s="212"/>
      <c r="AV766" s="212"/>
      <c r="AW766" s="212"/>
      <c r="AX766" s="212"/>
      <c r="AY766" s="212"/>
      <c r="AZ766" s="212"/>
      <c r="BA766" s="212"/>
      <c r="BB766" s="212"/>
      <c r="BC766" s="212"/>
      <c r="BD766" s="212"/>
      <c r="BE766" s="212"/>
      <c r="BF766" s="212"/>
      <c r="BG766" s="212"/>
      <c r="BH766" s="212"/>
      <c r="BI766" s="212"/>
    </row>
    <row r="767" spans="1:61" ht="24" customHeight="1">
      <c r="A767" s="215"/>
      <c r="B767" s="215"/>
      <c r="C767" s="229"/>
      <c r="D767" s="213"/>
      <c r="E767" s="213"/>
      <c r="F767" s="213"/>
      <c r="G767" s="213"/>
      <c r="H767" s="213"/>
      <c r="I767" s="213"/>
      <c r="J767" s="213"/>
      <c r="K767" s="213"/>
      <c r="L767" s="213"/>
      <c r="M767" s="215"/>
      <c r="N767" s="212"/>
      <c r="O767" s="212"/>
      <c r="P767" s="212"/>
      <c r="Q767" s="212"/>
      <c r="R767" s="212"/>
      <c r="S767" s="212"/>
      <c r="T767" s="212"/>
      <c r="U767" s="212"/>
      <c r="V767" s="212"/>
      <c r="W767" s="212"/>
      <c r="X767" s="212"/>
      <c r="Y767" s="212"/>
      <c r="Z767" s="212"/>
      <c r="AA767" s="212"/>
      <c r="AB767" s="212"/>
      <c r="AC767" s="212"/>
      <c r="AD767" s="212"/>
      <c r="AE767" s="212"/>
      <c r="AF767" s="212"/>
      <c r="AG767" s="212"/>
      <c r="AH767" s="212"/>
      <c r="AI767" s="212"/>
      <c r="AJ767" s="212"/>
      <c r="AK767" s="212"/>
      <c r="AL767" s="212"/>
      <c r="AM767" s="212"/>
      <c r="AN767" s="212"/>
      <c r="AO767" s="212"/>
      <c r="AP767" s="212"/>
      <c r="AQ767" s="212"/>
      <c r="AR767" s="212"/>
      <c r="AS767" s="212"/>
      <c r="AT767" s="212"/>
      <c r="AU767" s="212"/>
      <c r="AV767" s="212"/>
      <c r="AW767" s="212"/>
      <c r="AX767" s="212"/>
      <c r="AY767" s="212"/>
      <c r="AZ767" s="212"/>
      <c r="BA767" s="212"/>
      <c r="BB767" s="212"/>
      <c r="BC767" s="212"/>
      <c r="BD767" s="212"/>
      <c r="BE767" s="212"/>
      <c r="BF767" s="212"/>
      <c r="BG767" s="212"/>
      <c r="BH767" s="212"/>
      <c r="BI767" s="212"/>
    </row>
    <row r="768" spans="1:61" ht="24" customHeight="1">
      <c r="A768" s="218" t="s">
        <v>2428</v>
      </c>
      <c r="B768" s="218" t="s">
        <v>1476</v>
      </c>
      <c r="C768" s="228">
        <v>1</v>
      </c>
      <c r="D768" s="213" t="s">
        <v>1033</v>
      </c>
      <c r="E768" s="212"/>
      <c r="F768" s="217">
        <f>TRUNC(F769+F772+F773,0)</f>
        <v>0</v>
      </c>
      <c r="G768" s="212"/>
      <c r="H768" s="217">
        <f>TRUNC(H769+H772+H773,0)</f>
        <v>0</v>
      </c>
      <c r="I768" s="212"/>
      <c r="J768" s="217">
        <f>TRUNC(J769+J772+J773,0)</f>
        <v>0</v>
      </c>
      <c r="K768" s="212"/>
      <c r="L768" s="217">
        <f t="shared" ref="L768:L773" si="82">F768+H768+J768</f>
        <v>0</v>
      </c>
      <c r="M768" s="215" t="s">
        <v>1874</v>
      </c>
      <c r="N768" s="212" t="s">
        <v>68</v>
      </c>
      <c r="O768" s="212" t="s">
        <v>1477</v>
      </c>
      <c r="P768" s="212"/>
      <c r="Q768" s="212"/>
      <c r="R768" s="212"/>
      <c r="S768" s="212"/>
      <c r="T768" s="212"/>
      <c r="U768" s="212"/>
      <c r="V768" s="212"/>
      <c r="W768" s="212"/>
      <c r="X768" s="212"/>
      <c r="Y768" s="212"/>
      <c r="Z768" s="212"/>
      <c r="AA768" s="212"/>
      <c r="AB768" s="212"/>
      <c r="AC768" s="212"/>
      <c r="AD768" s="212"/>
      <c r="AE768" s="212"/>
      <c r="AF768" s="212"/>
      <c r="AG768" s="212"/>
      <c r="AH768" s="212"/>
      <c r="AI768" s="212"/>
      <c r="AJ768" s="212"/>
      <c r="AK768" s="212"/>
      <c r="AL768" s="212"/>
      <c r="AM768" s="212"/>
      <c r="AN768" s="212"/>
      <c r="AO768" s="212"/>
      <c r="AP768" s="212"/>
      <c r="AQ768" s="212"/>
      <c r="AR768" s="212"/>
      <c r="AS768" s="212"/>
      <c r="AT768" s="212"/>
      <c r="AU768" s="212"/>
      <c r="AV768" s="212"/>
      <c r="AW768" s="212"/>
      <c r="AX768" s="212"/>
      <c r="AY768" s="212"/>
      <c r="AZ768" s="212"/>
      <c r="BA768" s="212"/>
      <c r="BB768" s="212"/>
      <c r="BC768" s="212"/>
      <c r="BD768" s="212"/>
      <c r="BE768" s="212"/>
      <c r="BF768" s="212"/>
      <c r="BG768" s="212"/>
      <c r="BH768" s="212"/>
      <c r="BI768" s="212"/>
    </row>
    <row r="769" spans="1:61" ht="24" customHeight="1">
      <c r="A769" s="218" t="s">
        <v>2429</v>
      </c>
      <c r="B769" s="218" t="s">
        <v>2430</v>
      </c>
      <c r="C769" s="228">
        <v>1</v>
      </c>
      <c r="D769" s="213" t="s">
        <v>1400</v>
      </c>
      <c r="E769" s="217">
        <f>자재조서!E15</f>
        <v>0</v>
      </c>
      <c r="F769" s="217">
        <f>TRUNC(E769*C769,0)</f>
        <v>0</v>
      </c>
      <c r="G769" s="217">
        <v>0</v>
      </c>
      <c r="H769" s="217"/>
      <c r="I769" s="217">
        <v>0</v>
      </c>
      <c r="J769" s="217"/>
      <c r="K769" s="217">
        <f>E769+G769+I769</f>
        <v>0</v>
      </c>
      <c r="L769" s="217">
        <f t="shared" si="82"/>
        <v>0</v>
      </c>
      <c r="M769" s="215" t="s">
        <v>68</v>
      </c>
      <c r="N769" s="212" t="s">
        <v>68</v>
      </c>
      <c r="O769" s="212"/>
      <c r="P769" s="212" t="s">
        <v>2245</v>
      </c>
      <c r="Q769" s="212" t="s">
        <v>68</v>
      </c>
      <c r="R769" s="212" t="s">
        <v>2431</v>
      </c>
      <c r="S769" s="212"/>
      <c r="T769" s="212"/>
      <c r="U769" s="212"/>
      <c r="V769" s="212"/>
      <c r="W769" s="212"/>
      <c r="X769" s="212"/>
      <c r="Y769" s="212"/>
      <c r="Z769" s="212"/>
      <c r="AA769" s="212"/>
      <c r="AB769" s="212"/>
      <c r="AC769" s="212"/>
      <c r="AD769" s="212"/>
      <c r="AE769" s="212"/>
      <c r="AF769" s="212"/>
      <c r="AG769" s="212"/>
      <c r="AH769" s="212"/>
      <c r="AI769" s="212"/>
      <c r="AJ769" s="212"/>
      <c r="AK769" s="212"/>
      <c r="AL769" s="212"/>
      <c r="AM769" s="212"/>
      <c r="AN769" s="212"/>
      <c r="AO769" s="212"/>
      <c r="AP769" s="212"/>
      <c r="AQ769" s="212"/>
      <c r="AR769" s="212"/>
      <c r="AS769" s="212"/>
      <c r="AT769" s="212"/>
      <c r="AU769" s="212"/>
      <c r="AV769" s="212"/>
      <c r="AW769" s="212"/>
      <c r="AX769" s="212"/>
      <c r="AY769" s="212"/>
      <c r="AZ769" s="212"/>
      <c r="BA769" s="212"/>
      <c r="BB769" s="212"/>
      <c r="BC769" s="212"/>
      <c r="BD769" s="212"/>
      <c r="BE769" s="212"/>
      <c r="BF769" s="212"/>
      <c r="BG769" s="212"/>
      <c r="BH769" s="212"/>
      <c r="BI769" s="231" t="str">
        <f>HYPERLINK("#자재조서!A15","M1775021 →")</f>
        <v>M1775021 →</v>
      </c>
    </row>
    <row r="770" spans="1:61" ht="24" customHeight="1">
      <c r="A770" s="218" t="s">
        <v>2422</v>
      </c>
      <c r="B770" s="218" t="s">
        <v>1946</v>
      </c>
      <c r="C770" s="228">
        <v>3</v>
      </c>
      <c r="D770" s="213" t="s">
        <v>1286</v>
      </c>
      <c r="E770" s="217">
        <v>0</v>
      </c>
      <c r="F770" s="217"/>
      <c r="G770" s="217">
        <f>노임!D23</f>
        <v>0</v>
      </c>
      <c r="H770" s="217">
        <f>TRUNC(G770*C770,0)</f>
        <v>0</v>
      </c>
      <c r="I770" s="217">
        <v>0</v>
      </c>
      <c r="J770" s="217"/>
      <c r="K770" s="217">
        <f>E770+G770+I770</f>
        <v>0</v>
      </c>
      <c r="L770" s="217">
        <f t="shared" si="82"/>
        <v>0</v>
      </c>
      <c r="M770" s="215" t="s">
        <v>68</v>
      </c>
      <c r="N770" s="212" t="s">
        <v>68</v>
      </c>
      <c r="O770" s="212"/>
      <c r="P770" s="212" t="s">
        <v>1095</v>
      </c>
      <c r="Q770" s="212" t="s">
        <v>1105</v>
      </c>
      <c r="R770" s="212" t="s">
        <v>2423</v>
      </c>
      <c r="S770" s="212"/>
      <c r="T770" s="212"/>
      <c r="U770" s="212"/>
      <c r="V770" s="212"/>
      <c r="W770" s="212"/>
      <c r="X770" s="212"/>
      <c r="Y770" s="212"/>
      <c r="Z770" s="212"/>
      <c r="AA770" s="212"/>
      <c r="AB770" s="212"/>
      <c r="AC770" s="212"/>
      <c r="AD770" s="212"/>
      <c r="AE770" s="212"/>
      <c r="AF770" s="212"/>
      <c r="AG770" s="212"/>
      <c r="AH770" s="212"/>
      <c r="AI770" s="212"/>
      <c r="AJ770" s="212"/>
      <c r="AK770" s="212"/>
      <c r="AL770" s="212"/>
      <c r="AM770" s="212"/>
      <c r="AN770" s="212"/>
      <c r="AO770" s="212"/>
      <c r="AP770" s="212"/>
      <c r="AQ770" s="212"/>
      <c r="AR770" s="212"/>
      <c r="AS770" s="212"/>
      <c r="AT770" s="212"/>
      <c r="AU770" s="212"/>
      <c r="AV770" s="212"/>
      <c r="AW770" s="212"/>
      <c r="AX770" s="212"/>
      <c r="AY770" s="212"/>
      <c r="AZ770" s="212"/>
      <c r="BA770" s="212"/>
      <c r="BB770" s="212"/>
      <c r="BC770" s="212"/>
      <c r="BD770" s="212"/>
      <c r="BE770" s="212"/>
      <c r="BF770" s="212"/>
      <c r="BG770" s="212"/>
      <c r="BH770" s="212"/>
      <c r="BI770" s="231" t="str">
        <f>HYPERLINK("#노임!A23","L001010101000043 →")</f>
        <v>L001010101000043 →</v>
      </c>
    </row>
    <row r="771" spans="1:61" ht="24" customHeight="1">
      <c r="A771" s="218" t="s">
        <v>1967</v>
      </c>
      <c r="B771" s="218" t="s">
        <v>1946</v>
      </c>
      <c r="C771" s="228">
        <v>1</v>
      </c>
      <c r="D771" s="213" t="s">
        <v>1286</v>
      </c>
      <c r="E771" s="217">
        <v>0</v>
      </c>
      <c r="F771" s="217"/>
      <c r="G771" s="217">
        <f>노임!D3</f>
        <v>0</v>
      </c>
      <c r="H771" s="217">
        <f>TRUNC(G771*C771,0)</f>
        <v>0</v>
      </c>
      <c r="I771" s="217">
        <v>0</v>
      </c>
      <c r="J771" s="217"/>
      <c r="K771" s="217">
        <f>E771+G771+I771</f>
        <v>0</v>
      </c>
      <c r="L771" s="217">
        <f t="shared" si="82"/>
        <v>0</v>
      </c>
      <c r="M771" s="215" t="s">
        <v>68</v>
      </c>
      <c r="N771" s="212" t="s">
        <v>68</v>
      </c>
      <c r="O771" s="212"/>
      <c r="P771" s="212" t="s">
        <v>1098</v>
      </c>
      <c r="Q771" s="212" t="s">
        <v>1105</v>
      </c>
      <c r="R771" s="212" t="s">
        <v>1968</v>
      </c>
      <c r="S771" s="212"/>
      <c r="T771" s="212"/>
      <c r="U771" s="212"/>
      <c r="V771" s="212"/>
      <c r="W771" s="212"/>
      <c r="X771" s="212"/>
      <c r="Y771" s="212"/>
      <c r="Z771" s="212"/>
      <c r="AA771" s="220" t="s">
        <v>1123</v>
      </c>
      <c r="AB771" s="212">
        <f>(호표!H770+호표!H771)/22</f>
        <v>0</v>
      </c>
      <c r="AC771" s="220" t="s">
        <v>1124</v>
      </c>
      <c r="AD771" s="212">
        <f>$AB771</f>
        <v>0</v>
      </c>
      <c r="AE771" s="212"/>
      <c r="AF771" s="212"/>
      <c r="AG771" s="212"/>
      <c r="AH771" s="212"/>
      <c r="AI771" s="212"/>
      <c r="AJ771" s="212"/>
      <c r="AK771" s="212"/>
      <c r="AL771" s="212"/>
      <c r="AM771" s="212"/>
      <c r="AN771" s="212"/>
      <c r="AO771" s="212"/>
      <c r="AP771" s="212"/>
      <c r="AQ771" s="212"/>
      <c r="AR771" s="212"/>
      <c r="AS771" s="212"/>
      <c r="AT771" s="212"/>
      <c r="AU771" s="212"/>
      <c r="AV771" s="212"/>
      <c r="AW771" s="212"/>
      <c r="AX771" s="212"/>
      <c r="AY771" s="212"/>
      <c r="AZ771" s="212"/>
      <c r="BA771" s="212"/>
      <c r="BB771" s="212"/>
      <c r="BC771" s="212"/>
      <c r="BD771" s="212"/>
      <c r="BE771" s="212"/>
      <c r="BF771" s="212"/>
      <c r="BG771" s="212"/>
      <c r="BH771" s="212"/>
      <c r="BI771" s="231" t="str">
        <f>HYPERLINK("#노임!A3","L001010101000002 →")</f>
        <v>L001010101000002 →</v>
      </c>
    </row>
    <row r="772" spans="1:61" ht="24" customHeight="1">
      <c r="A772" s="218" t="s">
        <v>2432</v>
      </c>
      <c r="B772" s="218" t="s">
        <v>2433</v>
      </c>
      <c r="C772" s="228">
        <v>1</v>
      </c>
      <c r="D772" s="213" t="s">
        <v>1094</v>
      </c>
      <c r="E772" s="213"/>
      <c r="F772" s="217">
        <v>0</v>
      </c>
      <c r="G772" s="213"/>
      <c r="H772" s="217">
        <f>TRUNC(((H770+H771)/22),0)</f>
        <v>0</v>
      </c>
      <c r="I772" s="213"/>
      <c r="J772" s="217">
        <v>0</v>
      </c>
      <c r="K772" s="217">
        <f>E772+G772+I772</f>
        <v>0</v>
      </c>
      <c r="L772" s="217">
        <f t="shared" si="82"/>
        <v>0</v>
      </c>
      <c r="M772" s="215" t="s">
        <v>68</v>
      </c>
      <c r="N772" s="212" t="s">
        <v>68</v>
      </c>
      <c r="O772" s="212"/>
      <c r="P772" s="212" t="s">
        <v>1101</v>
      </c>
      <c r="Q772" s="212" t="s">
        <v>68</v>
      </c>
      <c r="R772" s="212" t="s">
        <v>1121</v>
      </c>
      <c r="S772" s="212"/>
      <c r="T772" s="212"/>
      <c r="U772" s="212"/>
      <c r="V772" s="212"/>
      <c r="W772" s="212"/>
      <c r="X772" s="212" t="s">
        <v>2434</v>
      </c>
      <c r="Y772" s="212"/>
      <c r="Z772" s="212"/>
      <c r="AA772" s="220" t="s">
        <v>1955</v>
      </c>
      <c r="AB772" s="212">
        <f>호표!H772*0.02</f>
        <v>0</v>
      </c>
      <c r="AC772" s="220" t="s">
        <v>1956</v>
      </c>
      <c r="AD772" s="212">
        <f>$AB772</f>
        <v>0</v>
      </c>
      <c r="AE772" s="212"/>
      <c r="AF772" s="212"/>
      <c r="AG772" s="212"/>
      <c r="AH772" s="212"/>
      <c r="AI772" s="212"/>
      <c r="AJ772" s="212"/>
      <c r="AK772" s="212"/>
      <c r="AL772" s="212"/>
      <c r="AM772" s="212"/>
      <c r="AN772" s="212"/>
      <c r="AO772" s="212"/>
      <c r="AP772" s="212"/>
      <c r="AQ772" s="212"/>
      <c r="AR772" s="212"/>
      <c r="AS772" s="212"/>
      <c r="AT772" s="212"/>
      <c r="AU772" s="212"/>
      <c r="AV772" s="212"/>
      <c r="AW772" s="212"/>
      <c r="AX772" s="212"/>
      <c r="AY772" s="212"/>
      <c r="AZ772" s="212"/>
      <c r="BA772" s="212"/>
      <c r="BB772" s="212"/>
      <c r="BC772" s="212"/>
      <c r="BD772" s="212"/>
      <c r="BE772" s="212"/>
      <c r="BF772" s="212"/>
      <c r="BG772" s="212"/>
      <c r="BH772" s="212"/>
      <c r="BI772" s="212"/>
    </row>
    <row r="773" spans="1:61" ht="24" customHeight="1">
      <c r="A773" s="218" t="s">
        <v>1974</v>
      </c>
      <c r="B773" s="218" t="s">
        <v>1958</v>
      </c>
      <c r="C773" s="228">
        <v>2</v>
      </c>
      <c r="D773" s="213" t="s">
        <v>1950</v>
      </c>
      <c r="E773" s="213"/>
      <c r="F773" s="217">
        <v>0</v>
      </c>
      <c r="G773" s="213"/>
      <c r="H773" s="217">
        <v>0</v>
      </c>
      <c r="I773" s="213"/>
      <c r="J773" s="217">
        <f>TRUNC((H772*0.02),0)</f>
        <v>0</v>
      </c>
      <c r="K773" s="217">
        <f>E773+G773+I773</f>
        <v>0</v>
      </c>
      <c r="L773" s="217">
        <f t="shared" si="82"/>
        <v>0</v>
      </c>
      <c r="M773" s="215" t="s">
        <v>68</v>
      </c>
      <c r="N773" s="212" t="s">
        <v>68</v>
      </c>
      <c r="O773" s="212"/>
      <c r="P773" s="212" t="s">
        <v>1104</v>
      </c>
      <c r="Q773" s="212" t="s">
        <v>68</v>
      </c>
      <c r="R773" s="212" t="s">
        <v>1121</v>
      </c>
      <c r="S773" s="212"/>
      <c r="T773" s="212"/>
      <c r="U773" s="212"/>
      <c r="V773" s="212"/>
      <c r="W773" s="212"/>
      <c r="X773" s="212" t="s">
        <v>2435</v>
      </c>
      <c r="Y773" s="212"/>
      <c r="Z773" s="212"/>
      <c r="AA773" s="212"/>
      <c r="AB773" s="212"/>
      <c r="AC773" s="212"/>
      <c r="AD773" s="212"/>
      <c r="AE773" s="212"/>
      <c r="AF773" s="212"/>
      <c r="AG773" s="212"/>
      <c r="AH773" s="212"/>
      <c r="AI773" s="212"/>
      <c r="AJ773" s="212"/>
      <c r="AK773" s="212"/>
      <c r="AL773" s="212"/>
      <c r="AM773" s="212"/>
      <c r="AN773" s="212"/>
      <c r="AO773" s="212"/>
      <c r="AP773" s="212"/>
      <c r="AQ773" s="212"/>
      <c r="AR773" s="212"/>
      <c r="AS773" s="212"/>
      <c r="AT773" s="212"/>
      <c r="AU773" s="212"/>
      <c r="AV773" s="212"/>
      <c r="AW773" s="212"/>
      <c r="AX773" s="212"/>
      <c r="AY773" s="212"/>
      <c r="AZ773" s="212"/>
      <c r="BA773" s="212"/>
      <c r="BB773" s="212"/>
      <c r="BC773" s="212"/>
      <c r="BD773" s="212"/>
      <c r="BE773" s="212"/>
      <c r="BF773" s="212"/>
      <c r="BG773" s="212"/>
      <c r="BH773" s="212"/>
      <c r="BI773" s="212"/>
    </row>
    <row r="774" spans="1:61" ht="24" customHeight="1">
      <c r="A774" s="215"/>
      <c r="B774" s="215"/>
      <c r="C774" s="229"/>
      <c r="D774" s="213"/>
      <c r="E774" s="213"/>
      <c r="F774" s="213"/>
      <c r="G774" s="213"/>
      <c r="H774" s="213"/>
      <c r="I774" s="213"/>
      <c r="J774" s="213"/>
      <c r="K774" s="213"/>
      <c r="L774" s="213"/>
      <c r="M774" s="215"/>
      <c r="N774" s="212"/>
      <c r="O774" s="212"/>
      <c r="P774" s="212"/>
      <c r="Q774" s="212"/>
      <c r="R774" s="212"/>
      <c r="S774" s="212"/>
      <c r="T774" s="212"/>
      <c r="U774" s="212"/>
      <c r="V774" s="212"/>
      <c r="W774" s="212"/>
      <c r="X774" s="212"/>
      <c r="Y774" s="212"/>
      <c r="Z774" s="212"/>
      <c r="AA774" s="212"/>
      <c r="AB774" s="212"/>
      <c r="AC774" s="212"/>
      <c r="AD774" s="212"/>
      <c r="AE774" s="212"/>
      <c r="AF774" s="212"/>
      <c r="AG774" s="212"/>
      <c r="AH774" s="212"/>
      <c r="AI774" s="212"/>
      <c r="AJ774" s="212"/>
      <c r="AK774" s="212"/>
      <c r="AL774" s="212"/>
      <c r="AM774" s="212"/>
      <c r="AN774" s="212"/>
      <c r="AO774" s="212"/>
      <c r="AP774" s="212"/>
      <c r="AQ774" s="212"/>
      <c r="AR774" s="212"/>
      <c r="AS774" s="212"/>
      <c r="AT774" s="212"/>
      <c r="AU774" s="212"/>
      <c r="AV774" s="212"/>
      <c r="AW774" s="212"/>
      <c r="AX774" s="212"/>
      <c r="AY774" s="212"/>
      <c r="AZ774" s="212"/>
      <c r="BA774" s="212"/>
      <c r="BB774" s="212"/>
      <c r="BC774" s="212"/>
      <c r="BD774" s="212"/>
      <c r="BE774" s="212"/>
      <c r="BF774" s="212"/>
      <c r="BG774" s="212"/>
      <c r="BH774" s="212"/>
      <c r="BI774" s="212"/>
    </row>
    <row r="775" spans="1:61" ht="24" customHeight="1">
      <c r="A775" s="218" t="s">
        <v>2436</v>
      </c>
      <c r="B775" s="218" t="s">
        <v>1523</v>
      </c>
      <c r="C775" s="228">
        <v>1</v>
      </c>
      <c r="D775" s="213" t="s">
        <v>378</v>
      </c>
      <c r="E775" s="212"/>
      <c r="F775" s="217">
        <f>TRUNC(F778,0)</f>
        <v>0</v>
      </c>
      <c r="G775" s="212"/>
      <c r="H775" s="217">
        <f>TRUNC(H778,0)</f>
        <v>0</v>
      </c>
      <c r="I775" s="212"/>
      <c r="J775" s="217">
        <f>TRUNC(J778,0)</f>
        <v>0</v>
      </c>
      <c r="K775" s="212"/>
      <c r="L775" s="217">
        <f>F775+H775+J775</f>
        <v>0</v>
      </c>
      <c r="M775" s="215" t="s">
        <v>1682</v>
      </c>
      <c r="N775" s="212" t="s">
        <v>68</v>
      </c>
      <c r="O775" s="212" t="s">
        <v>1524</v>
      </c>
      <c r="P775" s="212"/>
      <c r="Q775" s="212"/>
      <c r="R775" s="212"/>
      <c r="S775" s="212"/>
      <c r="T775" s="212"/>
      <c r="U775" s="212"/>
      <c r="V775" s="212"/>
      <c r="W775" s="212"/>
      <c r="X775" s="212"/>
      <c r="Y775" s="212"/>
      <c r="Z775" s="212"/>
      <c r="AA775" s="212"/>
      <c r="AB775" s="212"/>
      <c r="AC775" s="212"/>
      <c r="AD775" s="212"/>
      <c r="AE775" s="212"/>
      <c r="AF775" s="212"/>
      <c r="AG775" s="212"/>
      <c r="AH775" s="212"/>
      <c r="AI775" s="212"/>
      <c r="AJ775" s="212"/>
      <c r="AK775" s="212"/>
      <c r="AL775" s="212"/>
      <c r="AM775" s="212"/>
      <c r="AN775" s="212"/>
      <c r="AO775" s="212"/>
      <c r="AP775" s="212"/>
      <c r="AQ775" s="212"/>
      <c r="AR775" s="212"/>
      <c r="AS775" s="212"/>
      <c r="AT775" s="212"/>
      <c r="AU775" s="212"/>
      <c r="AV775" s="212"/>
      <c r="AW775" s="212"/>
      <c r="AX775" s="212"/>
      <c r="AY775" s="212"/>
      <c r="AZ775" s="212"/>
      <c r="BA775" s="212"/>
      <c r="BB775" s="212"/>
      <c r="BC775" s="212"/>
      <c r="BD775" s="212"/>
      <c r="BE775" s="212"/>
      <c r="BF775" s="212"/>
      <c r="BG775" s="212"/>
      <c r="BH775" s="212"/>
      <c r="BI775" s="212"/>
    </row>
    <row r="776" spans="1:61" ht="24" customHeight="1">
      <c r="A776" s="218" t="s">
        <v>2026</v>
      </c>
      <c r="B776" s="218" t="s">
        <v>1946</v>
      </c>
      <c r="C776" s="229">
        <v>0.313</v>
      </c>
      <c r="D776" s="213" t="s">
        <v>1286</v>
      </c>
      <c r="E776" s="217">
        <v>0</v>
      </c>
      <c r="F776" s="217"/>
      <c r="G776" s="217">
        <f>노임!D13</f>
        <v>0</v>
      </c>
      <c r="H776" s="217">
        <f>TRUNC(G776*C776,0)</f>
        <v>0</v>
      </c>
      <c r="I776" s="217">
        <v>0</v>
      </c>
      <c r="J776" s="217"/>
      <c r="K776" s="217">
        <f>E776+G776+I776</f>
        <v>0</v>
      </c>
      <c r="L776" s="217">
        <f>F776+H776+J776</f>
        <v>0</v>
      </c>
      <c r="M776" s="215" t="s">
        <v>68</v>
      </c>
      <c r="N776" s="212" t="s">
        <v>68</v>
      </c>
      <c r="O776" s="212"/>
      <c r="P776" s="212" t="s">
        <v>1095</v>
      </c>
      <c r="Q776" s="212" t="s">
        <v>1105</v>
      </c>
      <c r="R776" s="212" t="s">
        <v>2027</v>
      </c>
      <c r="S776" s="212"/>
      <c r="T776" s="212"/>
      <c r="U776" s="212"/>
      <c r="V776" s="212"/>
      <c r="W776" s="212"/>
      <c r="X776" s="212"/>
      <c r="Y776" s="212"/>
      <c r="Z776" s="212"/>
      <c r="AA776" s="212"/>
      <c r="AB776" s="212"/>
      <c r="AC776" s="212"/>
      <c r="AD776" s="212"/>
      <c r="AE776" s="212"/>
      <c r="AF776" s="212"/>
      <c r="AG776" s="212"/>
      <c r="AH776" s="212"/>
      <c r="AI776" s="212"/>
      <c r="AJ776" s="212"/>
      <c r="AK776" s="212"/>
      <c r="AL776" s="212"/>
      <c r="AM776" s="212"/>
      <c r="AN776" s="212"/>
      <c r="AO776" s="212"/>
      <c r="AP776" s="212"/>
      <c r="AQ776" s="212"/>
      <c r="AR776" s="212"/>
      <c r="AS776" s="212"/>
      <c r="AT776" s="212"/>
      <c r="AU776" s="212"/>
      <c r="AV776" s="212"/>
      <c r="AW776" s="212"/>
      <c r="AX776" s="212"/>
      <c r="AY776" s="212"/>
      <c r="AZ776" s="212"/>
      <c r="BA776" s="212"/>
      <c r="BB776" s="212"/>
      <c r="BC776" s="212"/>
      <c r="BD776" s="212"/>
      <c r="BE776" s="212"/>
      <c r="BF776" s="212"/>
      <c r="BG776" s="212"/>
      <c r="BH776" s="212"/>
      <c r="BI776" s="231" t="str">
        <f>HYPERLINK("#노임!A13","L001010101000024 →")</f>
        <v>L001010101000024 →</v>
      </c>
    </row>
    <row r="777" spans="1:61" ht="24" customHeight="1">
      <c r="A777" s="218" t="s">
        <v>1967</v>
      </c>
      <c r="B777" s="218" t="s">
        <v>1946</v>
      </c>
      <c r="C777" s="229">
        <v>6.4000000000000001E-2</v>
      </c>
      <c r="D777" s="213" t="s">
        <v>1286</v>
      </c>
      <c r="E777" s="217">
        <v>0</v>
      </c>
      <c r="F777" s="217"/>
      <c r="G777" s="217">
        <f>노임!D3</f>
        <v>0</v>
      </c>
      <c r="H777" s="217">
        <f>TRUNC(G777*C777,0)</f>
        <v>0</v>
      </c>
      <c r="I777" s="217">
        <v>0</v>
      </c>
      <c r="J777" s="217"/>
      <c r="K777" s="217">
        <f>E777+G777+I777</f>
        <v>0</v>
      </c>
      <c r="L777" s="217">
        <f>F777+H777+J777</f>
        <v>0</v>
      </c>
      <c r="M777" s="215" t="s">
        <v>68</v>
      </c>
      <c r="N777" s="212" t="s">
        <v>68</v>
      </c>
      <c r="O777" s="212"/>
      <c r="P777" s="212" t="s">
        <v>1098</v>
      </c>
      <c r="Q777" s="212" t="s">
        <v>1105</v>
      </c>
      <c r="R777" s="212" t="s">
        <v>1968</v>
      </c>
      <c r="S777" s="212"/>
      <c r="T777" s="212"/>
      <c r="U777" s="212"/>
      <c r="V777" s="212"/>
      <c r="W777" s="212"/>
      <c r="X777" s="212"/>
      <c r="Y777" s="212"/>
      <c r="Z777" s="212"/>
      <c r="AA777" s="220" t="s">
        <v>1955</v>
      </c>
      <c r="AB777" s="212">
        <f>(호표!H776+호표!H777)*0.3</f>
        <v>0</v>
      </c>
      <c r="AC777" s="220" t="s">
        <v>1956</v>
      </c>
      <c r="AD777" s="212">
        <f>$AB777</f>
        <v>0</v>
      </c>
      <c r="AE777" s="212"/>
      <c r="AF777" s="212"/>
      <c r="AG777" s="212"/>
      <c r="AH777" s="212"/>
      <c r="AI777" s="212"/>
      <c r="AJ777" s="212"/>
      <c r="AK777" s="212"/>
      <c r="AL777" s="212"/>
      <c r="AM777" s="212"/>
      <c r="AN777" s="212"/>
      <c r="AO777" s="212"/>
      <c r="AP777" s="212"/>
      <c r="AQ777" s="212"/>
      <c r="AR777" s="212"/>
      <c r="AS777" s="212"/>
      <c r="AT777" s="212"/>
      <c r="AU777" s="212"/>
      <c r="AV777" s="212"/>
      <c r="AW777" s="212"/>
      <c r="AX777" s="212"/>
      <c r="AY777" s="212"/>
      <c r="AZ777" s="212"/>
      <c r="BA777" s="212"/>
      <c r="BB777" s="212"/>
      <c r="BC777" s="212"/>
      <c r="BD777" s="212"/>
      <c r="BE777" s="212"/>
      <c r="BF777" s="212"/>
      <c r="BG777" s="212"/>
      <c r="BH777" s="212"/>
      <c r="BI777" s="231" t="str">
        <f>HYPERLINK("#노임!A3","L001010101000002 →")</f>
        <v>L001010101000002 →</v>
      </c>
    </row>
    <row r="778" spans="1:61" ht="24" customHeight="1">
      <c r="A778" s="218" t="s">
        <v>2111</v>
      </c>
      <c r="B778" s="218" t="s">
        <v>2112</v>
      </c>
      <c r="C778" s="228">
        <v>30</v>
      </c>
      <c r="D778" s="213" t="s">
        <v>1950</v>
      </c>
      <c r="E778" s="213"/>
      <c r="F778" s="217">
        <v>0</v>
      </c>
      <c r="G778" s="213"/>
      <c r="H778" s="217">
        <v>0</v>
      </c>
      <c r="I778" s="213"/>
      <c r="J778" s="217">
        <f>TRUNC(((H776+H777)*0.3),0)</f>
        <v>0</v>
      </c>
      <c r="K778" s="217">
        <f>E778+G778+I778</f>
        <v>0</v>
      </c>
      <c r="L778" s="217">
        <f>F778+H778+J778</f>
        <v>0</v>
      </c>
      <c r="M778" s="215" t="s">
        <v>68</v>
      </c>
      <c r="N778" s="212" t="s">
        <v>68</v>
      </c>
      <c r="O778" s="212"/>
      <c r="P778" s="212" t="s">
        <v>1101</v>
      </c>
      <c r="Q778" s="212" t="s">
        <v>68</v>
      </c>
      <c r="R778" s="212" t="s">
        <v>1121</v>
      </c>
      <c r="S778" s="212"/>
      <c r="T778" s="212"/>
      <c r="U778" s="212"/>
      <c r="V778" s="212"/>
      <c r="W778" s="212"/>
      <c r="X778" s="212" t="s">
        <v>2437</v>
      </c>
      <c r="Y778" s="212"/>
      <c r="Z778" s="212"/>
      <c r="AA778" s="212"/>
      <c r="AB778" s="212"/>
      <c r="AC778" s="212"/>
      <c r="AD778" s="212"/>
      <c r="AE778" s="212"/>
      <c r="AF778" s="212"/>
      <c r="AG778" s="212"/>
      <c r="AH778" s="212"/>
      <c r="AI778" s="212"/>
      <c r="AJ778" s="212"/>
      <c r="AK778" s="212"/>
      <c r="AL778" s="212"/>
      <c r="AM778" s="212"/>
      <c r="AN778" s="212"/>
      <c r="AO778" s="212"/>
      <c r="AP778" s="212"/>
      <c r="AQ778" s="212"/>
      <c r="AR778" s="212"/>
      <c r="AS778" s="212"/>
      <c r="AT778" s="212"/>
      <c r="AU778" s="212"/>
      <c r="AV778" s="212"/>
      <c r="AW778" s="212"/>
      <c r="AX778" s="212"/>
      <c r="AY778" s="212"/>
      <c r="AZ778" s="212"/>
      <c r="BA778" s="212"/>
      <c r="BB778" s="212"/>
      <c r="BC778" s="212"/>
      <c r="BD778" s="212"/>
      <c r="BE778" s="212"/>
      <c r="BF778" s="212"/>
      <c r="BG778" s="212"/>
      <c r="BH778" s="212"/>
      <c r="BI778" s="212"/>
    </row>
    <row r="779" spans="1:61" ht="24" customHeight="1">
      <c r="A779" s="215"/>
      <c r="B779" s="215"/>
      <c r="C779" s="229"/>
      <c r="D779" s="213"/>
      <c r="E779" s="213"/>
      <c r="F779" s="213"/>
      <c r="G779" s="213"/>
      <c r="H779" s="213"/>
      <c r="I779" s="213"/>
      <c r="J779" s="213"/>
      <c r="K779" s="213"/>
      <c r="L779" s="213"/>
      <c r="M779" s="215"/>
      <c r="N779" s="212"/>
      <c r="O779" s="212"/>
      <c r="P779" s="212"/>
      <c r="Q779" s="212"/>
      <c r="R779" s="212"/>
      <c r="S779" s="212"/>
      <c r="T779" s="212"/>
      <c r="U779" s="212"/>
      <c r="V779" s="212"/>
      <c r="W779" s="212"/>
      <c r="X779" s="212"/>
      <c r="Y779" s="212"/>
      <c r="Z779" s="212"/>
      <c r="AA779" s="212"/>
      <c r="AB779" s="212"/>
      <c r="AC779" s="212"/>
      <c r="AD779" s="212"/>
      <c r="AE779" s="212"/>
      <c r="AF779" s="212"/>
      <c r="AG779" s="212"/>
      <c r="AH779" s="212"/>
      <c r="AI779" s="212"/>
      <c r="AJ779" s="212"/>
      <c r="AK779" s="212"/>
      <c r="AL779" s="212"/>
      <c r="AM779" s="212"/>
      <c r="AN779" s="212"/>
      <c r="AO779" s="212"/>
      <c r="AP779" s="212"/>
      <c r="AQ779" s="212"/>
      <c r="AR779" s="212"/>
      <c r="AS779" s="212"/>
      <c r="AT779" s="212"/>
      <c r="AU779" s="212"/>
      <c r="AV779" s="212"/>
      <c r="AW779" s="212"/>
      <c r="AX779" s="212"/>
      <c r="AY779" s="212"/>
      <c r="AZ779" s="212"/>
      <c r="BA779" s="212"/>
      <c r="BB779" s="212"/>
      <c r="BC779" s="212"/>
      <c r="BD779" s="212"/>
      <c r="BE779" s="212"/>
      <c r="BF779" s="212"/>
      <c r="BG779" s="212"/>
      <c r="BH779" s="212"/>
      <c r="BI779" s="212"/>
    </row>
    <row r="780" spans="1:61" ht="24" customHeight="1">
      <c r="A780" s="218" t="s">
        <v>2438</v>
      </c>
      <c r="B780" s="218" t="s">
        <v>1529</v>
      </c>
      <c r="C780" s="228">
        <v>1</v>
      </c>
      <c r="D780" s="213" t="s">
        <v>9</v>
      </c>
      <c r="E780" s="212"/>
      <c r="F780" s="217">
        <f>TRUNC(F781+F782+F783+F784+F785,0)</f>
        <v>0</v>
      </c>
      <c r="G780" s="212"/>
      <c r="H780" s="217">
        <f>TRUNC(H781+H782+H783+H784+H785,0)</f>
        <v>0</v>
      </c>
      <c r="I780" s="212"/>
      <c r="J780" s="217">
        <f>TRUNC(J781+J782+J783+J784+J785,0)</f>
        <v>0</v>
      </c>
      <c r="K780" s="212"/>
      <c r="L780" s="217">
        <f t="shared" ref="L780:L785" si="83">F780+H780+J780</f>
        <v>0</v>
      </c>
      <c r="M780" s="215" t="s">
        <v>1877</v>
      </c>
      <c r="N780" s="212" t="s">
        <v>68</v>
      </c>
      <c r="O780" s="212" t="s">
        <v>1530</v>
      </c>
      <c r="P780" s="212"/>
      <c r="Q780" s="212"/>
      <c r="R780" s="212"/>
      <c r="S780" s="212"/>
      <c r="T780" s="212"/>
      <c r="U780" s="212"/>
      <c r="V780" s="212"/>
      <c r="W780" s="212"/>
      <c r="X780" s="212"/>
      <c r="Y780" s="212"/>
      <c r="Z780" s="212"/>
      <c r="AA780" s="212"/>
      <c r="AB780" s="212"/>
      <c r="AC780" s="212"/>
      <c r="AD780" s="212"/>
      <c r="AE780" s="212"/>
      <c r="AF780" s="212"/>
      <c r="AG780" s="212"/>
      <c r="AH780" s="212"/>
      <c r="AI780" s="212"/>
      <c r="AJ780" s="212"/>
      <c r="AK780" s="212"/>
      <c r="AL780" s="212"/>
      <c r="AM780" s="212"/>
      <c r="AN780" s="212"/>
      <c r="AO780" s="212"/>
      <c r="AP780" s="212"/>
      <c r="AQ780" s="212"/>
      <c r="AR780" s="212"/>
      <c r="AS780" s="212"/>
      <c r="AT780" s="212"/>
      <c r="AU780" s="212"/>
      <c r="AV780" s="212"/>
      <c r="AW780" s="212"/>
      <c r="AX780" s="212"/>
      <c r="AY780" s="212"/>
      <c r="AZ780" s="212"/>
      <c r="BA780" s="212"/>
      <c r="BB780" s="212"/>
      <c r="BC780" s="212"/>
      <c r="BD780" s="212"/>
      <c r="BE780" s="212"/>
      <c r="BF780" s="212"/>
      <c r="BG780" s="212"/>
      <c r="BH780" s="212"/>
      <c r="BI780" s="212"/>
    </row>
    <row r="781" spans="1:61" ht="24" customHeight="1">
      <c r="A781" s="218" t="s">
        <v>2439</v>
      </c>
      <c r="B781" s="218" t="s">
        <v>2440</v>
      </c>
      <c r="C781" s="229">
        <v>0.04</v>
      </c>
      <c r="D781" s="213" t="s">
        <v>15</v>
      </c>
      <c r="E781" s="217">
        <f>자재조서!E13</f>
        <v>0</v>
      </c>
      <c r="F781" s="217">
        <f>TRUNC(E781*C781,0)</f>
        <v>0</v>
      </c>
      <c r="G781" s="217">
        <v>0</v>
      </c>
      <c r="H781" s="217"/>
      <c r="I781" s="217">
        <v>0</v>
      </c>
      <c r="J781" s="217"/>
      <c r="K781" s="217">
        <f>E781+G781+I781</f>
        <v>0</v>
      </c>
      <c r="L781" s="217">
        <f t="shared" si="83"/>
        <v>0</v>
      </c>
      <c r="M781" s="215" t="s">
        <v>68</v>
      </c>
      <c r="N781" s="212" t="s">
        <v>68</v>
      </c>
      <c r="O781" s="212"/>
      <c r="P781" s="212" t="s">
        <v>1095</v>
      </c>
      <c r="Q781" s="212" t="s">
        <v>68</v>
      </c>
      <c r="R781" s="212" t="s">
        <v>2441</v>
      </c>
      <c r="S781" s="212"/>
      <c r="T781" s="212"/>
      <c r="U781" s="212"/>
      <c r="V781" s="212"/>
      <c r="W781" s="212"/>
      <c r="X781" s="212"/>
      <c r="Y781" s="212"/>
      <c r="Z781" s="212"/>
      <c r="AA781" s="212"/>
      <c r="AB781" s="212"/>
      <c r="AC781" s="212"/>
      <c r="AD781" s="212"/>
      <c r="AE781" s="212"/>
      <c r="AF781" s="212"/>
      <c r="AG781" s="212"/>
      <c r="AH781" s="212"/>
      <c r="AI781" s="212"/>
      <c r="AJ781" s="212"/>
      <c r="AK781" s="212"/>
      <c r="AL781" s="212"/>
      <c r="AM781" s="212"/>
      <c r="AN781" s="212"/>
      <c r="AO781" s="212"/>
      <c r="AP781" s="212"/>
      <c r="AQ781" s="212"/>
      <c r="AR781" s="212"/>
      <c r="AS781" s="212"/>
      <c r="AT781" s="212"/>
      <c r="AU781" s="212"/>
      <c r="AV781" s="212"/>
      <c r="AW781" s="212"/>
      <c r="AX781" s="212"/>
      <c r="AY781" s="212"/>
      <c r="AZ781" s="212"/>
      <c r="BA781" s="212"/>
      <c r="BB781" s="212"/>
      <c r="BC781" s="212"/>
      <c r="BD781" s="212"/>
      <c r="BE781" s="212"/>
      <c r="BF781" s="212"/>
      <c r="BG781" s="212"/>
      <c r="BH781" s="212"/>
      <c r="BI781" s="231" t="str">
        <f>HYPERLINK("#자재조서!A13","M0882021 →")</f>
        <v>M0882021 →</v>
      </c>
    </row>
    <row r="782" spans="1:61" ht="24" customHeight="1">
      <c r="A782" s="218" t="s">
        <v>2121</v>
      </c>
      <c r="B782" s="218" t="s">
        <v>1946</v>
      </c>
      <c r="C782" s="229">
        <v>0.1</v>
      </c>
      <c r="D782" s="213" t="s">
        <v>1286</v>
      </c>
      <c r="E782" s="217">
        <v>0</v>
      </c>
      <c r="F782" s="217"/>
      <c r="G782" s="217">
        <f>노임!D12</f>
        <v>0</v>
      </c>
      <c r="H782" s="217">
        <f>TRUNC(G782*C782,0)</f>
        <v>0</v>
      </c>
      <c r="I782" s="217">
        <v>0</v>
      </c>
      <c r="J782" s="217"/>
      <c r="K782" s="217">
        <f>E782+G782+I782</f>
        <v>0</v>
      </c>
      <c r="L782" s="217">
        <f t="shared" si="83"/>
        <v>0</v>
      </c>
      <c r="M782" s="215" t="s">
        <v>68</v>
      </c>
      <c r="N782" s="212" t="s">
        <v>68</v>
      </c>
      <c r="O782" s="212"/>
      <c r="P782" s="212" t="s">
        <v>1098</v>
      </c>
      <c r="Q782" s="212" t="s">
        <v>68</v>
      </c>
      <c r="R782" s="212" t="s">
        <v>2122</v>
      </c>
      <c r="S782" s="212"/>
      <c r="T782" s="212"/>
      <c r="U782" s="212"/>
      <c r="V782" s="212"/>
      <c r="W782" s="212"/>
      <c r="X782" s="212"/>
      <c r="Y782" s="212"/>
      <c r="Z782" s="212"/>
      <c r="AA782" s="212"/>
      <c r="AB782" s="212"/>
      <c r="AC782" s="212"/>
      <c r="AD782" s="212"/>
      <c r="AE782" s="212"/>
      <c r="AF782" s="212"/>
      <c r="AG782" s="212"/>
      <c r="AH782" s="212"/>
      <c r="AI782" s="212"/>
      <c r="AJ782" s="212"/>
      <c r="AK782" s="212"/>
      <c r="AL782" s="212"/>
      <c r="AM782" s="212"/>
      <c r="AN782" s="212"/>
      <c r="AO782" s="212"/>
      <c r="AP782" s="212"/>
      <c r="AQ782" s="212"/>
      <c r="AR782" s="212"/>
      <c r="AS782" s="212"/>
      <c r="AT782" s="212"/>
      <c r="AU782" s="212"/>
      <c r="AV782" s="212"/>
      <c r="AW782" s="212"/>
      <c r="AX782" s="212"/>
      <c r="AY782" s="212"/>
      <c r="AZ782" s="212"/>
      <c r="BA782" s="212"/>
      <c r="BB782" s="212"/>
      <c r="BC782" s="212"/>
      <c r="BD782" s="212"/>
      <c r="BE782" s="212"/>
      <c r="BF782" s="212"/>
      <c r="BG782" s="212"/>
      <c r="BH782" s="212"/>
      <c r="BI782" s="231" t="str">
        <f>HYPERLINK("#노임!A12","L001010101000023 →")</f>
        <v>L001010101000023 →</v>
      </c>
    </row>
    <row r="783" spans="1:61" ht="24" customHeight="1">
      <c r="A783" s="218" t="s">
        <v>1967</v>
      </c>
      <c r="B783" s="218" t="s">
        <v>1946</v>
      </c>
      <c r="C783" s="229">
        <v>0.05</v>
      </c>
      <c r="D783" s="213" t="s">
        <v>1286</v>
      </c>
      <c r="E783" s="217">
        <v>0</v>
      </c>
      <c r="F783" s="217"/>
      <c r="G783" s="217">
        <f>노임!D3</f>
        <v>0</v>
      </c>
      <c r="H783" s="217">
        <f>TRUNC(G783*C783,0)</f>
        <v>0</v>
      </c>
      <c r="I783" s="217">
        <v>0</v>
      </c>
      <c r="J783" s="217"/>
      <c r="K783" s="217">
        <f>E783+G783+I783</f>
        <v>0</v>
      </c>
      <c r="L783" s="217">
        <f t="shared" si="83"/>
        <v>0</v>
      </c>
      <c r="M783" s="215" t="s">
        <v>68</v>
      </c>
      <c r="N783" s="212" t="s">
        <v>68</v>
      </c>
      <c r="O783" s="212"/>
      <c r="P783" s="212" t="s">
        <v>1101</v>
      </c>
      <c r="Q783" s="212" t="s">
        <v>68</v>
      </c>
      <c r="R783" s="212" t="s">
        <v>1968</v>
      </c>
      <c r="S783" s="212"/>
      <c r="T783" s="212"/>
      <c r="U783" s="212"/>
      <c r="V783" s="212"/>
      <c r="W783" s="212"/>
      <c r="X783" s="212"/>
      <c r="Y783" s="212"/>
      <c r="Z783" s="212"/>
      <c r="AA783" s="220" t="s">
        <v>1955</v>
      </c>
      <c r="AB783" s="212">
        <f>(호표!H782+호표!H783)*0.03</f>
        <v>0</v>
      </c>
      <c r="AC783" s="220" t="s">
        <v>1956</v>
      </c>
      <c r="AD783" s="212">
        <f>$AB783</f>
        <v>0</v>
      </c>
      <c r="AE783" s="212"/>
      <c r="AF783" s="212"/>
      <c r="AG783" s="212"/>
      <c r="AH783" s="212"/>
      <c r="AI783" s="212"/>
      <c r="AJ783" s="212"/>
      <c r="AK783" s="212"/>
      <c r="AL783" s="212"/>
      <c r="AM783" s="212"/>
      <c r="AN783" s="212"/>
      <c r="AO783" s="212"/>
      <c r="AP783" s="212"/>
      <c r="AQ783" s="212"/>
      <c r="AR783" s="212"/>
      <c r="AS783" s="212"/>
      <c r="AT783" s="212"/>
      <c r="AU783" s="212"/>
      <c r="AV783" s="212"/>
      <c r="AW783" s="212"/>
      <c r="AX783" s="212"/>
      <c r="AY783" s="212"/>
      <c r="AZ783" s="212"/>
      <c r="BA783" s="212"/>
      <c r="BB783" s="212"/>
      <c r="BC783" s="212"/>
      <c r="BD783" s="212"/>
      <c r="BE783" s="212"/>
      <c r="BF783" s="212"/>
      <c r="BG783" s="212"/>
      <c r="BH783" s="212"/>
      <c r="BI783" s="231" t="str">
        <f>HYPERLINK("#노임!A3","L001010101000002 →")</f>
        <v>L001010101000002 →</v>
      </c>
    </row>
    <row r="784" spans="1:61" ht="24" customHeight="1">
      <c r="A784" s="218" t="s">
        <v>1974</v>
      </c>
      <c r="B784" s="218" t="s">
        <v>1949</v>
      </c>
      <c r="C784" s="228">
        <v>3</v>
      </c>
      <c r="D784" s="213" t="s">
        <v>1950</v>
      </c>
      <c r="E784" s="213"/>
      <c r="F784" s="217">
        <v>0</v>
      </c>
      <c r="G784" s="213"/>
      <c r="H784" s="217">
        <v>0</v>
      </c>
      <c r="I784" s="213"/>
      <c r="J784" s="217">
        <f>TRUNC(((H782+H783)*0.03),0)</f>
        <v>0</v>
      </c>
      <c r="K784" s="217">
        <f>E784+G784+I784</f>
        <v>0</v>
      </c>
      <c r="L784" s="217">
        <f t="shared" si="83"/>
        <v>0</v>
      </c>
      <c r="M784" s="215" t="s">
        <v>68</v>
      </c>
      <c r="N784" s="212" t="s">
        <v>68</v>
      </c>
      <c r="O784" s="212"/>
      <c r="P784" s="212" t="s">
        <v>1104</v>
      </c>
      <c r="Q784" s="212" t="s">
        <v>68</v>
      </c>
      <c r="R784" s="212" t="s">
        <v>1121</v>
      </c>
      <c r="S784" s="212"/>
      <c r="T784" s="212"/>
      <c r="U784" s="212"/>
      <c r="V784" s="212"/>
      <c r="W784" s="212"/>
      <c r="X784" s="212" t="s">
        <v>2164</v>
      </c>
      <c r="Y784" s="212"/>
      <c r="Z784" s="212"/>
      <c r="AA784" s="220" t="s">
        <v>1117</v>
      </c>
      <c r="AB784" s="212">
        <f>호표!F781*0.05</f>
        <v>0</v>
      </c>
      <c r="AC784" s="220" t="s">
        <v>1118</v>
      </c>
      <c r="AD784" s="212">
        <f>$AB784</f>
        <v>0</v>
      </c>
      <c r="AE784" s="212"/>
      <c r="AF784" s="212"/>
      <c r="AG784" s="212"/>
      <c r="AH784" s="212"/>
      <c r="AI784" s="212"/>
      <c r="AJ784" s="212"/>
      <c r="AK784" s="212"/>
      <c r="AL784" s="212"/>
      <c r="AM784" s="212"/>
      <c r="AN784" s="212"/>
      <c r="AO784" s="212"/>
      <c r="AP784" s="212"/>
      <c r="AQ784" s="212"/>
      <c r="AR784" s="212"/>
      <c r="AS784" s="212"/>
      <c r="AT784" s="212"/>
      <c r="AU784" s="212"/>
      <c r="AV784" s="212"/>
      <c r="AW784" s="212"/>
      <c r="AX784" s="212"/>
      <c r="AY784" s="212"/>
      <c r="AZ784" s="212"/>
      <c r="BA784" s="212"/>
      <c r="BB784" s="212"/>
      <c r="BC784" s="212"/>
      <c r="BD784" s="212"/>
      <c r="BE784" s="212"/>
      <c r="BF784" s="212"/>
      <c r="BG784" s="212"/>
      <c r="BH784" s="212"/>
      <c r="BI784" s="212"/>
    </row>
    <row r="785" spans="1:61" ht="24" customHeight="1">
      <c r="A785" s="218" t="s">
        <v>2442</v>
      </c>
      <c r="B785" s="218" t="s">
        <v>2443</v>
      </c>
      <c r="C785" s="228">
        <v>5</v>
      </c>
      <c r="D785" s="213" t="s">
        <v>1950</v>
      </c>
      <c r="E785" s="213"/>
      <c r="F785" s="217">
        <f>TRUNC((F781*0.05),0)</f>
        <v>0</v>
      </c>
      <c r="G785" s="213"/>
      <c r="H785" s="217">
        <v>0</v>
      </c>
      <c r="I785" s="213"/>
      <c r="J785" s="217">
        <v>0</v>
      </c>
      <c r="K785" s="217">
        <f>E785+G785+I785</f>
        <v>0</v>
      </c>
      <c r="L785" s="217">
        <f t="shared" si="83"/>
        <v>0</v>
      </c>
      <c r="M785" s="215" t="s">
        <v>68</v>
      </c>
      <c r="N785" s="212" t="s">
        <v>68</v>
      </c>
      <c r="O785" s="212"/>
      <c r="P785" s="212" t="s">
        <v>1107</v>
      </c>
      <c r="Q785" s="212" t="s">
        <v>68</v>
      </c>
      <c r="R785" s="212" t="s">
        <v>1121</v>
      </c>
      <c r="S785" s="212"/>
      <c r="T785" s="212"/>
      <c r="U785" s="212"/>
      <c r="V785" s="212"/>
      <c r="W785" s="212"/>
      <c r="X785" s="212" t="s">
        <v>2444</v>
      </c>
      <c r="Y785" s="212"/>
      <c r="Z785" s="212"/>
      <c r="AA785" s="212"/>
      <c r="AB785" s="212"/>
      <c r="AC785" s="212"/>
      <c r="AD785" s="212"/>
      <c r="AE785" s="212"/>
      <c r="AF785" s="212"/>
      <c r="AG785" s="212"/>
      <c r="AH785" s="212"/>
      <c r="AI785" s="212"/>
      <c r="AJ785" s="212"/>
      <c r="AK785" s="212"/>
      <c r="AL785" s="212"/>
      <c r="AM785" s="212"/>
      <c r="AN785" s="212"/>
      <c r="AO785" s="212"/>
      <c r="AP785" s="212"/>
      <c r="AQ785" s="212"/>
      <c r="AR785" s="212"/>
      <c r="AS785" s="212"/>
      <c r="AT785" s="212"/>
      <c r="AU785" s="212"/>
      <c r="AV785" s="212"/>
      <c r="AW785" s="212"/>
      <c r="AX785" s="212"/>
      <c r="AY785" s="212"/>
      <c r="AZ785" s="212"/>
      <c r="BA785" s="212"/>
      <c r="BB785" s="212"/>
      <c r="BC785" s="212"/>
      <c r="BD785" s="212"/>
      <c r="BE785" s="212"/>
      <c r="BF785" s="212"/>
      <c r="BG785" s="212"/>
      <c r="BH785" s="212"/>
      <c r="BI785" s="212"/>
    </row>
    <row r="786" spans="1:61" ht="24" customHeight="1">
      <c r="A786" s="215"/>
      <c r="B786" s="215"/>
      <c r="C786" s="229"/>
      <c r="D786" s="213"/>
      <c r="E786" s="213"/>
      <c r="F786" s="213"/>
      <c r="G786" s="213"/>
      <c r="H786" s="213"/>
      <c r="I786" s="213"/>
      <c r="J786" s="213"/>
      <c r="K786" s="213"/>
      <c r="L786" s="213"/>
      <c r="M786" s="215"/>
      <c r="N786" s="212"/>
      <c r="O786" s="212"/>
      <c r="P786" s="212"/>
      <c r="Q786" s="212"/>
      <c r="R786" s="212"/>
      <c r="S786" s="212"/>
      <c r="T786" s="212"/>
      <c r="U786" s="212"/>
      <c r="V786" s="212"/>
      <c r="W786" s="212"/>
      <c r="X786" s="212"/>
      <c r="Y786" s="212"/>
      <c r="Z786" s="212"/>
      <c r="AA786" s="212"/>
      <c r="AB786" s="212"/>
      <c r="AC786" s="212"/>
      <c r="AD786" s="212"/>
      <c r="AE786" s="212"/>
      <c r="AF786" s="212"/>
      <c r="AG786" s="212"/>
      <c r="AH786" s="212"/>
      <c r="AI786" s="212"/>
      <c r="AJ786" s="212"/>
      <c r="AK786" s="212"/>
      <c r="AL786" s="212"/>
      <c r="AM786" s="212"/>
      <c r="AN786" s="212"/>
      <c r="AO786" s="212"/>
      <c r="AP786" s="212"/>
      <c r="AQ786" s="212"/>
      <c r="AR786" s="212"/>
      <c r="AS786" s="212"/>
      <c r="AT786" s="212"/>
      <c r="AU786" s="212"/>
      <c r="AV786" s="212"/>
      <c r="AW786" s="212"/>
      <c r="AX786" s="212"/>
      <c r="AY786" s="212"/>
      <c r="AZ786" s="212"/>
      <c r="BA786" s="212"/>
      <c r="BB786" s="212"/>
      <c r="BC786" s="212"/>
      <c r="BD786" s="212"/>
      <c r="BE786" s="212"/>
      <c r="BF786" s="212"/>
      <c r="BG786" s="212"/>
      <c r="BH786" s="212"/>
      <c r="BI786" s="212"/>
    </row>
    <row r="787" spans="1:61" ht="24" customHeight="1">
      <c r="A787" s="218" t="s">
        <v>2445</v>
      </c>
      <c r="B787" s="218" t="s">
        <v>1531</v>
      </c>
      <c r="C787" s="228">
        <v>1</v>
      </c>
      <c r="D787" s="213" t="s">
        <v>9</v>
      </c>
      <c r="E787" s="212"/>
      <c r="F787" s="217">
        <f>TRUNC(F788+F789+F790+F791,0)</f>
        <v>0</v>
      </c>
      <c r="G787" s="212"/>
      <c r="H787" s="217">
        <f>TRUNC(H788+H789+H790+H791,0)</f>
        <v>0</v>
      </c>
      <c r="I787" s="212"/>
      <c r="J787" s="217">
        <f>TRUNC(J788+J789+J790+J791,0)</f>
        <v>0</v>
      </c>
      <c r="K787" s="212"/>
      <c r="L787" s="217">
        <f>F787+H787+J787</f>
        <v>0</v>
      </c>
      <c r="M787" s="215" t="s">
        <v>1826</v>
      </c>
      <c r="N787" s="212" t="s">
        <v>68</v>
      </c>
      <c r="O787" s="212" t="s">
        <v>1532</v>
      </c>
      <c r="P787" s="212"/>
      <c r="Q787" s="212"/>
      <c r="R787" s="212"/>
      <c r="S787" s="212"/>
      <c r="T787" s="212"/>
      <c r="U787" s="212"/>
      <c r="V787" s="212"/>
      <c r="W787" s="212"/>
      <c r="X787" s="212"/>
      <c r="Y787" s="212"/>
      <c r="Z787" s="212"/>
      <c r="AA787" s="212"/>
      <c r="AB787" s="212"/>
      <c r="AC787" s="212"/>
      <c r="AD787" s="212"/>
      <c r="AE787" s="212"/>
      <c r="AF787" s="212"/>
      <c r="AG787" s="212"/>
      <c r="AH787" s="212"/>
      <c r="AI787" s="212"/>
      <c r="AJ787" s="212"/>
      <c r="AK787" s="212"/>
      <c r="AL787" s="212"/>
      <c r="AM787" s="212"/>
      <c r="AN787" s="212"/>
      <c r="AO787" s="212"/>
      <c r="AP787" s="212"/>
      <c r="AQ787" s="212"/>
      <c r="AR787" s="212"/>
      <c r="AS787" s="212"/>
      <c r="AT787" s="212"/>
      <c r="AU787" s="212"/>
      <c r="AV787" s="212"/>
      <c r="AW787" s="212"/>
      <c r="AX787" s="212"/>
      <c r="AY787" s="212"/>
      <c r="AZ787" s="212"/>
      <c r="BA787" s="212"/>
      <c r="BB787" s="212"/>
      <c r="BC787" s="212"/>
      <c r="BD787" s="212"/>
      <c r="BE787" s="212"/>
      <c r="BF787" s="212"/>
      <c r="BG787" s="212"/>
      <c r="BH787" s="212"/>
      <c r="BI787" s="212"/>
    </row>
    <row r="788" spans="1:61" ht="24" customHeight="1">
      <c r="A788" s="218" t="s">
        <v>2303</v>
      </c>
      <c r="B788" s="218" t="s">
        <v>2304</v>
      </c>
      <c r="C788" s="229">
        <v>1.05</v>
      </c>
      <c r="D788" s="213" t="s">
        <v>9</v>
      </c>
      <c r="E788" s="217">
        <f>자재조서!E23</f>
        <v>0</v>
      </c>
      <c r="F788" s="217">
        <f>TRUNC(E788*C788,0)</f>
        <v>0</v>
      </c>
      <c r="G788" s="217">
        <v>0</v>
      </c>
      <c r="H788" s="217"/>
      <c r="I788" s="217">
        <v>0</v>
      </c>
      <c r="J788" s="217"/>
      <c r="K788" s="217">
        <f>E788+G788+I788</f>
        <v>0</v>
      </c>
      <c r="L788" s="217">
        <f>F788+H788+J788</f>
        <v>0</v>
      </c>
      <c r="M788" s="215" t="s">
        <v>68</v>
      </c>
      <c r="N788" s="212" t="s">
        <v>68</v>
      </c>
      <c r="O788" s="212"/>
      <c r="P788" s="212" t="s">
        <v>1095</v>
      </c>
      <c r="Q788" s="212" t="s">
        <v>68</v>
      </c>
      <c r="R788" s="212" t="s">
        <v>2305</v>
      </c>
      <c r="S788" s="212"/>
      <c r="T788" s="212"/>
      <c r="U788" s="212"/>
      <c r="V788" s="212"/>
      <c r="W788" s="212"/>
      <c r="X788" s="212"/>
      <c r="Y788" s="212"/>
      <c r="Z788" s="212"/>
      <c r="AA788" s="212"/>
      <c r="AB788" s="212"/>
      <c r="AC788" s="212"/>
      <c r="AD788" s="212"/>
      <c r="AE788" s="212"/>
      <c r="AF788" s="212"/>
      <c r="AG788" s="212"/>
      <c r="AH788" s="212"/>
      <c r="AI788" s="212"/>
      <c r="AJ788" s="212"/>
      <c r="AK788" s="212"/>
      <c r="AL788" s="212"/>
      <c r="AM788" s="212"/>
      <c r="AN788" s="212"/>
      <c r="AO788" s="212"/>
      <c r="AP788" s="212"/>
      <c r="AQ788" s="212"/>
      <c r="AR788" s="212"/>
      <c r="AS788" s="212"/>
      <c r="AT788" s="212"/>
      <c r="AU788" s="212"/>
      <c r="AV788" s="212"/>
      <c r="AW788" s="212"/>
      <c r="AX788" s="212"/>
      <c r="AY788" s="212"/>
      <c r="AZ788" s="212"/>
      <c r="BA788" s="212"/>
      <c r="BB788" s="212"/>
      <c r="BC788" s="212"/>
      <c r="BD788" s="212"/>
      <c r="BE788" s="212"/>
      <c r="BF788" s="212"/>
      <c r="BG788" s="212"/>
      <c r="BH788" s="212"/>
      <c r="BI788" s="231" t="str">
        <f>HYPERLINK("#자재조서!A23","M4329005 →")</f>
        <v>M4329005 →</v>
      </c>
    </row>
    <row r="789" spans="1:61" ht="24" customHeight="1">
      <c r="A789" s="218" t="s">
        <v>2121</v>
      </c>
      <c r="B789" s="218" t="s">
        <v>1946</v>
      </c>
      <c r="C789" s="229">
        <v>0.05</v>
      </c>
      <c r="D789" s="213" t="s">
        <v>1286</v>
      </c>
      <c r="E789" s="217">
        <v>0</v>
      </c>
      <c r="F789" s="217"/>
      <c r="G789" s="217">
        <f>노임!D12</f>
        <v>0</v>
      </c>
      <c r="H789" s="217">
        <f>TRUNC(G789*C789,0)</f>
        <v>0</v>
      </c>
      <c r="I789" s="217">
        <v>0</v>
      </c>
      <c r="J789" s="217"/>
      <c r="K789" s="217">
        <f>E789+G789+I789</f>
        <v>0</v>
      </c>
      <c r="L789" s="217">
        <f>F789+H789+J789</f>
        <v>0</v>
      </c>
      <c r="M789" s="215" t="s">
        <v>68</v>
      </c>
      <c r="N789" s="212" t="s">
        <v>68</v>
      </c>
      <c r="O789" s="212"/>
      <c r="P789" s="212" t="s">
        <v>1098</v>
      </c>
      <c r="Q789" s="212" t="s">
        <v>68</v>
      </c>
      <c r="R789" s="212" t="s">
        <v>2122</v>
      </c>
      <c r="S789" s="212"/>
      <c r="T789" s="212"/>
      <c r="U789" s="212"/>
      <c r="V789" s="212"/>
      <c r="W789" s="212"/>
      <c r="X789" s="212"/>
      <c r="Y789" s="212"/>
      <c r="Z789" s="212"/>
      <c r="AA789" s="212"/>
      <c r="AB789" s="212"/>
      <c r="AC789" s="212"/>
      <c r="AD789" s="212"/>
      <c r="AE789" s="212"/>
      <c r="AF789" s="212"/>
      <c r="AG789" s="212"/>
      <c r="AH789" s="212"/>
      <c r="AI789" s="212"/>
      <c r="AJ789" s="212"/>
      <c r="AK789" s="212"/>
      <c r="AL789" s="212"/>
      <c r="AM789" s="212"/>
      <c r="AN789" s="212"/>
      <c r="AO789" s="212"/>
      <c r="AP789" s="212"/>
      <c r="AQ789" s="212"/>
      <c r="AR789" s="212"/>
      <c r="AS789" s="212"/>
      <c r="AT789" s="212"/>
      <c r="AU789" s="212"/>
      <c r="AV789" s="212"/>
      <c r="AW789" s="212"/>
      <c r="AX789" s="212"/>
      <c r="AY789" s="212"/>
      <c r="AZ789" s="212"/>
      <c r="BA789" s="212"/>
      <c r="BB789" s="212"/>
      <c r="BC789" s="212"/>
      <c r="BD789" s="212"/>
      <c r="BE789" s="212"/>
      <c r="BF789" s="212"/>
      <c r="BG789" s="212"/>
      <c r="BH789" s="212"/>
      <c r="BI789" s="231" t="str">
        <f>HYPERLINK("#노임!A12","L001010101000023 →")</f>
        <v>L001010101000023 →</v>
      </c>
    </row>
    <row r="790" spans="1:61" ht="24" customHeight="1">
      <c r="A790" s="218" t="s">
        <v>1967</v>
      </c>
      <c r="B790" s="218" t="s">
        <v>1946</v>
      </c>
      <c r="C790" s="229">
        <v>2.5000000000000001E-2</v>
      </c>
      <c r="D790" s="213" t="s">
        <v>1286</v>
      </c>
      <c r="E790" s="217">
        <v>0</v>
      </c>
      <c r="F790" s="217"/>
      <c r="G790" s="217">
        <f>노임!D3</f>
        <v>0</v>
      </c>
      <c r="H790" s="217">
        <f>TRUNC(G790*C790,0)</f>
        <v>0</v>
      </c>
      <c r="I790" s="217">
        <v>0</v>
      </c>
      <c r="J790" s="217"/>
      <c r="K790" s="217">
        <f>E790+G790+I790</f>
        <v>0</v>
      </c>
      <c r="L790" s="217">
        <f>F790+H790+J790</f>
        <v>0</v>
      </c>
      <c r="M790" s="215" t="s">
        <v>68</v>
      </c>
      <c r="N790" s="212" t="s">
        <v>68</v>
      </c>
      <c r="O790" s="212"/>
      <c r="P790" s="212" t="s">
        <v>1101</v>
      </c>
      <c r="Q790" s="212" t="s">
        <v>68</v>
      </c>
      <c r="R790" s="212" t="s">
        <v>1968</v>
      </c>
      <c r="S790" s="212"/>
      <c r="T790" s="212"/>
      <c r="U790" s="212"/>
      <c r="V790" s="212"/>
      <c r="W790" s="212"/>
      <c r="X790" s="212"/>
      <c r="Y790" s="212"/>
      <c r="Z790" s="212"/>
      <c r="AA790" s="220" t="s">
        <v>1955</v>
      </c>
      <c r="AB790" s="212">
        <f>(호표!H789+호표!H790)*0.02</f>
        <v>0</v>
      </c>
      <c r="AC790" s="220" t="s">
        <v>1956</v>
      </c>
      <c r="AD790" s="212">
        <f>$AB790</f>
        <v>0</v>
      </c>
      <c r="AE790" s="212"/>
      <c r="AF790" s="212"/>
      <c r="AG790" s="212"/>
      <c r="AH790" s="212"/>
      <c r="AI790" s="212"/>
      <c r="AJ790" s="212"/>
      <c r="AK790" s="212"/>
      <c r="AL790" s="212"/>
      <c r="AM790" s="212"/>
      <c r="AN790" s="212"/>
      <c r="AO790" s="212"/>
      <c r="AP790" s="212"/>
      <c r="AQ790" s="212"/>
      <c r="AR790" s="212"/>
      <c r="AS790" s="212"/>
      <c r="AT790" s="212"/>
      <c r="AU790" s="212"/>
      <c r="AV790" s="212"/>
      <c r="AW790" s="212"/>
      <c r="AX790" s="212"/>
      <c r="AY790" s="212"/>
      <c r="AZ790" s="212"/>
      <c r="BA790" s="212"/>
      <c r="BB790" s="212"/>
      <c r="BC790" s="212"/>
      <c r="BD790" s="212"/>
      <c r="BE790" s="212"/>
      <c r="BF790" s="212"/>
      <c r="BG790" s="212"/>
      <c r="BH790" s="212"/>
      <c r="BI790" s="231" t="str">
        <f>HYPERLINK("#노임!A3","L001010101000002 →")</f>
        <v>L001010101000002 →</v>
      </c>
    </row>
    <row r="791" spans="1:61" ht="24" customHeight="1">
      <c r="A791" s="218" t="s">
        <v>1974</v>
      </c>
      <c r="B791" s="218" t="s">
        <v>1958</v>
      </c>
      <c r="C791" s="228">
        <v>2</v>
      </c>
      <c r="D791" s="213" t="s">
        <v>1950</v>
      </c>
      <c r="E791" s="213"/>
      <c r="F791" s="217">
        <v>0</v>
      </c>
      <c r="G791" s="213"/>
      <c r="H791" s="217">
        <v>0</v>
      </c>
      <c r="I791" s="213"/>
      <c r="J791" s="217">
        <f>TRUNC(((H789+H790)*0.02),0)</f>
        <v>0</v>
      </c>
      <c r="K791" s="217">
        <f>E791+G791+I791</f>
        <v>0</v>
      </c>
      <c r="L791" s="217">
        <f>F791+H791+J791</f>
        <v>0</v>
      </c>
      <c r="M791" s="215" t="s">
        <v>68</v>
      </c>
      <c r="N791" s="212" t="s">
        <v>68</v>
      </c>
      <c r="O791" s="212"/>
      <c r="P791" s="212" t="s">
        <v>1104</v>
      </c>
      <c r="Q791" s="212" t="s">
        <v>68</v>
      </c>
      <c r="R791" s="212" t="s">
        <v>1121</v>
      </c>
      <c r="S791" s="212"/>
      <c r="T791" s="212"/>
      <c r="U791" s="212"/>
      <c r="V791" s="212"/>
      <c r="W791" s="212"/>
      <c r="X791" s="212" t="s">
        <v>1986</v>
      </c>
      <c r="Y791" s="212"/>
      <c r="Z791" s="212"/>
      <c r="AA791" s="212"/>
      <c r="AB791" s="212"/>
      <c r="AC791" s="212"/>
      <c r="AD791" s="212"/>
      <c r="AE791" s="212"/>
      <c r="AF791" s="212"/>
      <c r="AG791" s="212"/>
      <c r="AH791" s="212"/>
      <c r="AI791" s="212"/>
      <c r="AJ791" s="212"/>
      <c r="AK791" s="212"/>
      <c r="AL791" s="212"/>
      <c r="AM791" s="212"/>
      <c r="AN791" s="212"/>
      <c r="AO791" s="212"/>
      <c r="AP791" s="212"/>
      <c r="AQ791" s="212"/>
      <c r="AR791" s="212"/>
      <c r="AS791" s="212"/>
      <c r="AT791" s="212"/>
      <c r="AU791" s="212"/>
      <c r="AV791" s="212"/>
      <c r="AW791" s="212"/>
      <c r="AX791" s="212"/>
      <c r="AY791" s="212"/>
      <c r="AZ791" s="212"/>
      <c r="BA791" s="212"/>
      <c r="BB791" s="212"/>
      <c r="BC791" s="212"/>
      <c r="BD791" s="212"/>
      <c r="BE791" s="212"/>
      <c r="BF791" s="212"/>
      <c r="BG791" s="212"/>
      <c r="BH791" s="212"/>
      <c r="BI791" s="212"/>
    </row>
    <row r="792" spans="1:61" ht="24" customHeight="1">
      <c r="A792" s="215"/>
      <c r="B792" s="215"/>
      <c r="C792" s="229"/>
      <c r="D792" s="213"/>
      <c r="E792" s="213"/>
      <c r="F792" s="213"/>
      <c r="G792" s="213"/>
      <c r="H792" s="213"/>
      <c r="I792" s="213"/>
      <c r="J792" s="213"/>
      <c r="K792" s="213"/>
      <c r="L792" s="213"/>
      <c r="M792" s="215"/>
      <c r="N792" s="212"/>
      <c r="O792" s="212"/>
      <c r="P792" s="212"/>
      <c r="Q792" s="212"/>
      <c r="R792" s="212"/>
      <c r="S792" s="212"/>
      <c r="T792" s="212"/>
      <c r="U792" s="212"/>
      <c r="V792" s="212"/>
      <c r="W792" s="212"/>
      <c r="X792" s="212"/>
      <c r="Y792" s="212"/>
      <c r="Z792" s="212"/>
      <c r="AA792" s="212"/>
      <c r="AB792" s="212"/>
      <c r="AC792" s="212"/>
      <c r="AD792" s="212"/>
      <c r="AE792" s="212"/>
      <c r="AF792" s="212"/>
      <c r="AG792" s="212"/>
      <c r="AH792" s="212"/>
      <c r="AI792" s="212"/>
      <c r="AJ792" s="212"/>
      <c r="AK792" s="212"/>
      <c r="AL792" s="212"/>
      <c r="AM792" s="212"/>
      <c r="AN792" s="212"/>
      <c r="AO792" s="212"/>
      <c r="AP792" s="212"/>
      <c r="AQ792" s="212"/>
      <c r="AR792" s="212"/>
      <c r="AS792" s="212"/>
      <c r="AT792" s="212"/>
      <c r="AU792" s="212"/>
      <c r="AV792" s="212"/>
      <c r="AW792" s="212"/>
      <c r="AX792" s="212"/>
      <c r="AY792" s="212"/>
      <c r="AZ792" s="212"/>
      <c r="BA792" s="212"/>
      <c r="BB792" s="212"/>
      <c r="BC792" s="212"/>
      <c r="BD792" s="212"/>
      <c r="BE792" s="212"/>
      <c r="BF792" s="212"/>
      <c r="BG792" s="212"/>
      <c r="BH792" s="212"/>
      <c r="BI792" s="212"/>
    </row>
    <row r="793" spans="1:61" ht="24" customHeight="1">
      <c r="A793" s="218" t="s">
        <v>2446</v>
      </c>
      <c r="B793" s="218" t="s">
        <v>1537</v>
      </c>
      <c r="C793" s="228">
        <v>1</v>
      </c>
      <c r="D793" s="213" t="s">
        <v>9</v>
      </c>
      <c r="E793" s="212"/>
      <c r="F793" s="217">
        <f>TRUNC(F794+F795+F796+F797,0)</f>
        <v>0</v>
      </c>
      <c r="G793" s="212"/>
      <c r="H793" s="217">
        <f>TRUNC(H794+H795+H796+H797,0)</f>
        <v>0</v>
      </c>
      <c r="I793" s="212"/>
      <c r="J793" s="217">
        <f>TRUNC(J794+J795+J796+J797,0)</f>
        <v>0</v>
      </c>
      <c r="K793" s="212"/>
      <c r="L793" s="217">
        <f>F793+H793+J793</f>
        <v>0</v>
      </c>
      <c r="M793" s="215" t="s">
        <v>1880</v>
      </c>
      <c r="N793" s="212" t="s">
        <v>68</v>
      </c>
      <c r="O793" s="212" t="s">
        <v>1539</v>
      </c>
      <c r="P793" s="212"/>
      <c r="Q793" s="212"/>
      <c r="R793" s="212"/>
      <c r="S793" s="212"/>
      <c r="T793" s="212"/>
      <c r="U793" s="212"/>
      <c r="V793" s="212"/>
      <c r="W793" s="212"/>
      <c r="X793" s="212"/>
      <c r="Y793" s="212"/>
      <c r="Z793" s="212"/>
      <c r="AA793" s="212"/>
      <c r="AB793" s="212"/>
      <c r="AC793" s="212"/>
      <c r="AD793" s="212"/>
      <c r="AE793" s="212"/>
      <c r="AF793" s="212"/>
      <c r="AG793" s="212"/>
      <c r="AH793" s="212"/>
      <c r="AI793" s="212"/>
      <c r="AJ793" s="212"/>
      <c r="AK793" s="212"/>
      <c r="AL793" s="212"/>
      <c r="AM793" s="212"/>
      <c r="AN793" s="212"/>
      <c r="AO793" s="212"/>
      <c r="AP793" s="212"/>
      <c r="AQ793" s="212"/>
      <c r="AR793" s="212"/>
      <c r="AS793" s="212"/>
      <c r="AT793" s="212"/>
      <c r="AU793" s="212"/>
      <c r="AV793" s="212"/>
      <c r="AW793" s="212"/>
      <c r="AX793" s="212"/>
      <c r="AY793" s="212"/>
      <c r="AZ793" s="212"/>
      <c r="BA793" s="212"/>
      <c r="BB793" s="212"/>
      <c r="BC793" s="212"/>
      <c r="BD793" s="212"/>
      <c r="BE793" s="212"/>
      <c r="BF793" s="212"/>
      <c r="BG793" s="212"/>
      <c r="BH793" s="212"/>
      <c r="BI793" s="212"/>
    </row>
    <row r="794" spans="1:61" ht="24" customHeight="1">
      <c r="A794" s="218" t="s">
        <v>2447</v>
      </c>
      <c r="B794" s="218" t="s">
        <v>2448</v>
      </c>
      <c r="C794" s="229">
        <v>1.1000000000000001</v>
      </c>
      <c r="D794" s="213" t="s">
        <v>9</v>
      </c>
      <c r="E794" s="217">
        <f>자재조서!E18</f>
        <v>0</v>
      </c>
      <c r="F794" s="217">
        <f>TRUNC(E794*C794,0)</f>
        <v>0</v>
      </c>
      <c r="G794" s="217">
        <v>0</v>
      </c>
      <c r="H794" s="217"/>
      <c r="I794" s="217">
        <v>0</v>
      </c>
      <c r="J794" s="217"/>
      <c r="K794" s="217">
        <f>E794+G794+I794</f>
        <v>0</v>
      </c>
      <c r="L794" s="217">
        <f>F794+H794+J794</f>
        <v>0</v>
      </c>
      <c r="M794" s="215" t="s">
        <v>68</v>
      </c>
      <c r="N794" s="212" t="s">
        <v>68</v>
      </c>
      <c r="O794" s="212"/>
      <c r="P794" s="212" t="s">
        <v>2245</v>
      </c>
      <c r="Q794" s="212" t="s">
        <v>68</v>
      </c>
      <c r="R794" s="212" t="s">
        <v>2449</v>
      </c>
      <c r="S794" s="212"/>
      <c r="T794" s="212"/>
      <c r="U794" s="212"/>
      <c r="V794" s="212"/>
      <c r="W794" s="212"/>
      <c r="X794" s="212"/>
      <c r="Y794" s="212"/>
      <c r="Z794" s="212"/>
      <c r="AA794" s="212"/>
      <c r="AB794" s="212"/>
      <c r="AC794" s="212"/>
      <c r="AD794" s="212"/>
      <c r="AE794" s="212"/>
      <c r="AF794" s="212"/>
      <c r="AG794" s="212"/>
      <c r="AH794" s="212"/>
      <c r="AI794" s="212"/>
      <c r="AJ794" s="212"/>
      <c r="AK794" s="212"/>
      <c r="AL794" s="212"/>
      <c r="AM794" s="212"/>
      <c r="AN794" s="212"/>
      <c r="AO794" s="212"/>
      <c r="AP794" s="212"/>
      <c r="AQ794" s="212"/>
      <c r="AR794" s="212"/>
      <c r="AS794" s="212"/>
      <c r="AT794" s="212"/>
      <c r="AU794" s="212"/>
      <c r="AV794" s="212"/>
      <c r="AW794" s="212"/>
      <c r="AX794" s="212"/>
      <c r="AY794" s="212"/>
      <c r="AZ794" s="212"/>
      <c r="BA794" s="212"/>
      <c r="BB794" s="212"/>
      <c r="BC794" s="212"/>
      <c r="BD794" s="212"/>
      <c r="BE794" s="212"/>
      <c r="BF794" s="212"/>
      <c r="BG794" s="212"/>
      <c r="BH794" s="212"/>
      <c r="BI794" s="231" t="str">
        <f>HYPERLINK("#자재조서!A18","M3144012 →")</f>
        <v>M3144012 →</v>
      </c>
    </row>
    <row r="795" spans="1:61" ht="24" customHeight="1">
      <c r="A795" s="218" t="s">
        <v>1961</v>
      </c>
      <c r="B795" s="218" t="s">
        <v>1946</v>
      </c>
      <c r="C795" s="229">
        <v>3.9E-2</v>
      </c>
      <c r="D795" s="213" t="s">
        <v>1286</v>
      </c>
      <c r="E795" s="217">
        <v>0</v>
      </c>
      <c r="F795" s="217"/>
      <c r="G795" s="217">
        <f>노임!D6</f>
        <v>0</v>
      </c>
      <c r="H795" s="217">
        <f>TRUNC(G795*C795,0)</f>
        <v>0</v>
      </c>
      <c r="I795" s="217">
        <v>0</v>
      </c>
      <c r="J795" s="217"/>
      <c r="K795" s="217">
        <f>E795+G795+I795</f>
        <v>0</v>
      </c>
      <c r="L795" s="217">
        <f>F795+H795+J795</f>
        <v>0</v>
      </c>
      <c r="M795" s="215" t="s">
        <v>68</v>
      </c>
      <c r="N795" s="212" t="s">
        <v>68</v>
      </c>
      <c r="O795" s="212"/>
      <c r="P795" s="212" t="s">
        <v>1095</v>
      </c>
      <c r="Q795" s="212" t="s">
        <v>68</v>
      </c>
      <c r="R795" s="212" t="s">
        <v>1962</v>
      </c>
      <c r="S795" s="212"/>
      <c r="T795" s="212"/>
      <c r="U795" s="212"/>
      <c r="V795" s="212"/>
      <c r="W795" s="212"/>
      <c r="X795" s="212"/>
      <c r="Y795" s="212"/>
      <c r="Z795" s="212"/>
      <c r="AA795" s="212"/>
      <c r="AB795" s="212"/>
      <c r="AC795" s="212"/>
      <c r="AD795" s="212"/>
      <c r="AE795" s="212"/>
      <c r="AF795" s="212"/>
      <c r="AG795" s="212"/>
      <c r="AH795" s="212"/>
      <c r="AI795" s="212"/>
      <c r="AJ795" s="212"/>
      <c r="AK795" s="212"/>
      <c r="AL795" s="212"/>
      <c r="AM795" s="212"/>
      <c r="AN795" s="212"/>
      <c r="AO795" s="212"/>
      <c r="AP795" s="212"/>
      <c r="AQ795" s="212"/>
      <c r="AR795" s="212"/>
      <c r="AS795" s="212"/>
      <c r="AT795" s="212"/>
      <c r="AU795" s="212"/>
      <c r="AV795" s="212"/>
      <c r="AW795" s="212"/>
      <c r="AX795" s="212"/>
      <c r="AY795" s="212"/>
      <c r="AZ795" s="212"/>
      <c r="BA795" s="212"/>
      <c r="BB795" s="212"/>
      <c r="BC795" s="212"/>
      <c r="BD795" s="212"/>
      <c r="BE795" s="212"/>
      <c r="BF795" s="212"/>
      <c r="BG795" s="212"/>
      <c r="BH795" s="212"/>
      <c r="BI795" s="231" t="str">
        <f>HYPERLINK("#노임!A6","L001010101000009 →")</f>
        <v>L001010101000009 →</v>
      </c>
    </row>
    <row r="796" spans="1:61" ht="24" customHeight="1">
      <c r="A796" s="218" t="s">
        <v>1967</v>
      </c>
      <c r="B796" s="218" t="s">
        <v>1946</v>
      </c>
      <c r="C796" s="229">
        <v>2.4E-2</v>
      </c>
      <c r="D796" s="213" t="s">
        <v>1286</v>
      </c>
      <c r="E796" s="217">
        <v>0</v>
      </c>
      <c r="F796" s="217"/>
      <c r="G796" s="217">
        <f>노임!D3</f>
        <v>0</v>
      </c>
      <c r="H796" s="217">
        <f>TRUNC(G796*C796,0)</f>
        <v>0</v>
      </c>
      <c r="I796" s="217">
        <v>0</v>
      </c>
      <c r="J796" s="217"/>
      <c r="K796" s="217">
        <f>E796+G796+I796</f>
        <v>0</v>
      </c>
      <c r="L796" s="217">
        <f>F796+H796+J796</f>
        <v>0</v>
      </c>
      <c r="M796" s="215" t="s">
        <v>68</v>
      </c>
      <c r="N796" s="212" t="s">
        <v>68</v>
      </c>
      <c r="O796" s="212"/>
      <c r="P796" s="212" t="s">
        <v>1098</v>
      </c>
      <c r="Q796" s="212" t="s">
        <v>68</v>
      </c>
      <c r="R796" s="212" t="s">
        <v>1968</v>
      </c>
      <c r="S796" s="212"/>
      <c r="T796" s="212"/>
      <c r="U796" s="212"/>
      <c r="V796" s="212"/>
      <c r="W796" s="212"/>
      <c r="X796" s="212"/>
      <c r="Y796" s="212"/>
      <c r="Z796" s="212"/>
      <c r="AA796" s="220" t="s">
        <v>1955</v>
      </c>
      <c r="AB796" s="212">
        <f>(호표!H795+호표!H796)*0.03</f>
        <v>0</v>
      </c>
      <c r="AC796" s="220" t="s">
        <v>1956</v>
      </c>
      <c r="AD796" s="212">
        <f>$AB796</f>
        <v>0</v>
      </c>
      <c r="AE796" s="212"/>
      <c r="AF796" s="212"/>
      <c r="AG796" s="212"/>
      <c r="AH796" s="212"/>
      <c r="AI796" s="212"/>
      <c r="AJ796" s="212"/>
      <c r="AK796" s="212"/>
      <c r="AL796" s="212"/>
      <c r="AM796" s="212"/>
      <c r="AN796" s="212"/>
      <c r="AO796" s="212"/>
      <c r="AP796" s="212"/>
      <c r="AQ796" s="212"/>
      <c r="AR796" s="212"/>
      <c r="AS796" s="212"/>
      <c r="AT796" s="212"/>
      <c r="AU796" s="212"/>
      <c r="AV796" s="212"/>
      <c r="AW796" s="212"/>
      <c r="AX796" s="212"/>
      <c r="AY796" s="212"/>
      <c r="AZ796" s="212"/>
      <c r="BA796" s="212"/>
      <c r="BB796" s="212"/>
      <c r="BC796" s="212"/>
      <c r="BD796" s="212"/>
      <c r="BE796" s="212"/>
      <c r="BF796" s="212"/>
      <c r="BG796" s="212"/>
      <c r="BH796" s="212"/>
      <c r="BI796" s="231" t="str">
        <f>HYPERLINK("#노임!A3","L001010101000002 →")</f>
        <v>L001010101000002 →</v>
      </c>
    </row>
    <row r="797" spans="1:61" ht="24" customHeight="1">
      <c r="A797" s="218" t="s">
        <v>1948</v>
      </c>
      <c r="B797" s="218" t="s">
        <v>1949</v>
      </c>
      <c r="C797" s="228">
        <v>3</v>
      </c>
      <c r="D797" s="213" t="s">
        <v>1950</v>
      </c>
      <c r="E797" s="213"/>
      <c r="F797" s="217">
        <v>0</v>
      </c>
      <c r="G797" s="213"/>
      <c r="H797" s="217">
        <v>0</v>
      </c>
      <c r="I797" s="213"/>
      <c r="J797" s="217">
        <f>TRUNC(((H795+H796)*0.03),0)</f>
        <v>0</v>
      </c>
      <c r="K797" s="217">
        <f>E797+G797+I797</f>
        <v>0</v>
      </c>
      <c r="L797" s="217">
        <f>F797+H797+J797</f>
        <v>0</v>
      </c>
      <c r="M797" s="215" t="s">
        <v>68</v>
      </c>
      <c r="N797" s="212" t="s">
        <v>68</v>
      </c>
      <c r="O797" s="212"/>
      <c r="P797" s="212" t="s">
        <v>1101</v>
      </c>
      <c r="Q797" s="212" t="s">
        <v>68</v>
      </c>
      <c r="R797" s="212" t="s">
        <v>1121</v>
      </c>
      <c r="S797" s="212"/>
      <c r="T797" s="212"/>
      <c r="U797" s="212"/>
      <c r="V797" s="212"/>
      <c r="W797" s="212"/>
      <c r="X797" s="212" t="s">
        <v>2130</v>
      </c>
      <c r="Y797" s="212"/>
      <c r="Z797" s="212"/>
      <c r="AA797" s="212"/>
      <c r="AB797" s="212"/>
      <c r="AC797" s="212"/>
      <c r="AD797" s="212"/>
      <c r="AE797" s="212"/>
      <c r="AF797" s="212"/>
      <c r="AG797" s="212"/>
      <c r="AH797" s="212"/>
      <c r="AI797" s="212"/>
      <c r="AJ797" s="212"/>
      <c r="AK797" s="212"/>
      <c r="AL797" s="212"/>
      <c r="AM797" s="212"/>
      <c r="AN797" s="212"/>
      <c r="AO797" s="212"/>
      <c r="AP797" s="212"/>
      <c r="AQ797" s="212"/>
      <c r="AR797" s="212"/>
      <c r="AS797" s="212"/>
      <c r="AT797" s="212"/>
      <c r="AU797" s="212"/>
      <c r="AV797" s="212"/>
      <c r="AW797" s="212"/>
      <c r="AX797" s="212"/>
      <c r="AY797" s="212"/>
      <c r="AZ797" s="212"/>
      <c r="BA797" s="212"/>
      <c r="BB797" s="212"/>
      <c r="BC797" s="212"/>
      <c r="BD797" s="212"/>
      <c r="BE797" s="212"/>
      <c r="BF797" s="212"/>
      <c r="BG797" s="212"/>
      <c r="BH797" s="212"/>
      <c r="BI797" s="212"/>
    </row>
    <row r="798" spans="1:61" ht="24" customHeight="1">
      <c r="A798" s="215"/>
      <c r="B798" s="215"/>
      <c r="C798" s="229"/>
      <c r="D798" s="213"/>
      <c r="E798" s="213"/>
      <c r="F798" s="213"/>
      <c r="G798" s="213"/>
      <c r="H798" s="213"/>
      <c r="I798" s="213"/>
      <c r="J798" s="213"/>
      <c r="K798" s="213"/>
      <c r="L798" s="213"/>
      <c r="M798" s="215"/>
      <c r="N798" s="212"/>
      <c r="O798" s="212"/>
      <c r="P798" s="212"/>
      <c r="Q798" s="212"/>
      <c r="R798" s="212"/>
      <c r="S798" s="212"/>
      <c r="T798" s="212"/>
      <c r="U798" s="212"/>
      <c r="V798" s="212"/>
      <c r="W798" s="212"/>
      <c r="X798" s="212"/>
      <c r="Y798" s="212"/>
      <c r="Z798" s="212"/>
      <c r="AA798" s="212"/>
      <c r="AB798" s="212"/>
      <c r="AC798" s="212"/>
      <c r="AD798" s="212"/>
      <c r="AE798" s="212"/>
      <c r="AF798" s="212"/>
      <c r="AG798" s="212"/>
      <c r="AH798" s="212"/>
      <c r="AI798" s="212"/>
      <c r="AJ798" s="212"/>
      <c r="AK798" s="212"/>
      <c r="AL798" s="212"/>
      <c r="AM798" s="212"/>
      <c r="AN798" s="212"/>
      <c r="AO798" s="212"/>
      <c r="AP798" s="212"/>
      <c r="AQ798" s="212"/>
      <c r="AR798" s="212"/>
      <c r="AS798" s="212"/>
      <c r="AT798" s="212"/>
      <c r="AU798" s="212"/>
      <c r="AV798" s="212"/>
      <c r="AW798" s="212"/>
      <c r="AX798" s="212"/>
      <c r="AY798" s="212"/>
      <c r="AZ798" s="212"/>
      <c r="BA798" s="212"/>
      <c r="BB798" s="212"/>
      <c r="BC798" s="212"/>
      <c r="BD798" s="212"/>
      <c r="BE798" s="212"/>
      <c r="BF798" s="212"/>
      <c r="BG798" s="212"/>
      <c r="BH798" s="212"/>
      <c r="BI798" s="212"/>
    </row>
    <row r="799" spans="1:61" ht="24" customHeight="1">
      <c r="A799" s="218" t="s">
        <v>2450</v>
      </c>
      <c r="B799" s="218" t="s">
        <v>1543</v>
      </c>
      <c r="C799" s="228">
        <v>1</v>
      </c>
      <c r="D799" s="213" t="s">
        <v>9</v>
      </c>
      <c r="E799" s="212"/>
      <c r="F799" s="217">
        <f>TRUNC(F800+F801+F802+F803,0)</f>
        <v>0</v>
      </c>
      <c r="G799" s="212"/>
      <c r="H799" s="217">
        <f>TRUNC(H800+H801+H802+H803,0)</f>
        <v>0</v>
      </c>
      <c r="I799" s="212"/>
      <c r="J799" s="217">
        <f>TRUNC(J800+J801+J802+J803,0)</f>
        <v>0</v>
      </c>
      <c r="K799" s="212"/>
      <c r="L799" s="217">
        <f>F799+H799+J799</f>
        <v>0</v>
      </c>
      <c r="M799" s="215" t="s">
        <v>1882</v>
      </c>
      <c r="N799" s="212" t="s">
        <v>68</v>
      </c>
      <c r="O799" s="212" t="s">
        <v>1544</v>
      </c>
      <c r="P799" s="212"/>
      <c r="Q799" s="212"/>
      <c r="R799" s="212"/>
      <c r="S799" s="212"/>
      <c r="T799" s="212"/>
      <c r="U799" s="212"/>
      <c r="V799" s="212"/>
      <c r="W799" s="212"/>
      <c r="X799" s="212"/>
      <c r="Y799" s="212"/>
      <c r="Z799" s="212"/>
      <c r="AA799" s="212"/>
      <c r="AB799" s="212"/>
      <c r="AC799" s="212"/>
      <c r="AD799" s="212"/>
      <c r="AE799" s="212"/>
      <c r="AF799" s="212"/>
      <c r="AG799" s="212"/>
      <c r="AH799" s="212"/>
      <c r="AI799" s="212"/>
      <c r="AJ799" s="212"/>
      <c r="AK799" s="212"/>
      <c r="AL799" s="212"/>
      <c r="AM799" s="212"/>
      <c r="AN799" s="212"/>
      <c r="AO799" s="212"/>
      <c r="AP799" s="212"/>
      <c r="AQ799" s="212"/>
      <c r="AR799" s="212"/>
      <c r="AS799" s="212"/>
      <c r="AT799" s="212"/>
      <c r="AU799" s="212"/>
      <c r="AV799" s="212"/>
      <c r="AW799" s="212"/>
      <c r="AX799" s="212"/>
      <c r="AY799" s="212"/>
      <c r="AZ799" s="212"/>
      <c r="BA799" s="212"/>
      <c r="BB799" s="212"/>
      <c r="BC799" s="212"/>
      <c r="BD799" s="212"/>
      <c r="BE799" s="212"/>
      <c r="BF799" s="212"/>
      <c r="BG799" s="212"/>
      <c r="BH799" s="212"/>
      <c r="BI799" s="212"/>
    </row>
    <row r="800" spans="1:61" ht="24" customHeight="1">
      <c r="A800" s="218" t="s">
        <v>401</v>
      </c>
      <c r="B800" s="218" t="s">
        <v>1543</v>
      </c>
      <c r="C800" s="228">
        <v>1</v>
      </c>
      <c r="D800" s="213" t="s">
        <v>9</v>
      </c>
      <c r="E800" s="217">
        <f>자재!D80</f>
        <v>0</v>
      </c>
      <c r="F800" s="217">
        <f>TRUNC(E800*C800,0)</f>
        <v>0</v>
      </c>
      <c r="G800" s="217">
        <v>0</v>
      </c>
      <c r="H800" s="217"/>
      <c r="I800" s="217">
        <v>0</v>
      </c>
      <c r="J800" s="217"/>
      <c r="K800" s="217">
        <f>E800+G800+I800</f>
        <v>0</v>
      </c>
      <c r="L800" s="217">
        <f>F800+H800+J800</f>
        <v>0</v>
      </c>
      <c r="M800" s="215" t="s">
        <v>68</v>
      </c>
      <c r="N800" s="212" t="s">
        <v>68</v>
      </c>
      <c r="O800" s="212"/>
      <c r="P800" s="212" t="s">
        <v>2245</v>
      </c>
      <c r="Q800" s="212" t="s">
        <v>68</v>
      </c>
      <c r="R800" s="212" t="s">
        <v>2451</v>
      </c>
      <c r="S800" s="212"/>
      <c r="T800" s="212"/>
      <c r="U800" s="212"/>
      <c r="V800" s="212"/>
      <c r="W800" s="212"/>
      <c r="X800" s="212"/>
      <c r="Y800" s="212"/>
      <c r="Z800" s="212"/>
      <c r="AA800" s="212"/>
      <c r="AB800" s="212"/>
      <c r="AC800" s="212"/>
      <c r="AD800" s="212"/>
      <c r="AE800" s="212"/>
      <c r="AF800" s="212"/>
      <c r="AG800" s="212"/>
      <c r="AH800" s="212"/>
      <c r="AI800" s="212"/>
      <c r="AJ800" s="212"/>
      <c r="AK800" s="212"/>
      <c r="AL800" s="212"/>
      <c r="AM800" s="212"/>
      <c r="AN800" s="212"/>
      <c r="AO800" s="212"/>
      <c r="AP800" s="212"/>
      <c r="AQ800" s="212"/>
      <c r="AR800" s="212"/>
      <c r="AS800" s="212"/>
      <c r="AT800" s="212"/>
      <c r="AU800" s="212"/>
      <c r="AV800" s="212"/>
      <c r="AW800" s="212"/>
      <c r="AX800" s="212"/>
      <c r="AY800" s="212"/>
      <c r="AZ800" s="212"/>
      <c r="BA800" s="212"/>
      <c r="BB800" s="212"/>
      <c r="BC800" s="212"/>
      <c r="BD800" s="212"/>
      <c r="BE800" s="212"/>
      <c r="BF800" s="212"/>
      <c r="BG800" s="212"/>
      <c r="BH800" s="212"/>
      <c r="BI800" s="231" t="str">
        <f>HYPERLINK("#자재!A80","MZZ90000171 →")</f>
        <v>MZZ90000171 →</v>
      </c>
    </row>
    <row r="801" spans="1:61" ht="24" customHeight="1">
      <c r="A801" s="218" t="s">
        <v>2007</v>
      </c>
      <c r="B801" s="218" t="s">
        <v>1946</v>
      </c>
      <c r="C801" s="229">
        <v>0.154</v>
      </c>
      <c r="D801" s="213" t="s">
        <v>1286</v>
      </c>
      <c r="E801" s="217">
        <v>0</v>
      </c>
      <c r="F801" s="217"/>
      <c r="G801" s="217">
        <f>노임!D16</f>
        <v>0</v>
      </c>
      <c r="H801" s="217">
        <f>TRUNC(G801*C801,0)</f>
        <v>0</v>
      </c>
      <c r="I801" s="217">
        <v>0</v>
      </c>
      <c r="J801" s="217"/>
      <c r="K801" s="217">
        <f>E801+G801+I801</f>
        <v>0</v>
      </c>
      <c r="L801" s="217">
        <f>F801+H801+J801</f>
        <v>0</v>
      </c>
      <c r="M801" s="215" t="s">
        <v>68</v>
      </c>
      <c r="N801" s="212" t="s">
        <v>68</v>
      </c>
      <c r="O801" s="212"/>
      <c r="P801" s="212" t="s">
        <v>1095</v>
      </c>
      <c r="Q801" s="212" t="s">
        <v>68</v>
      </c>
      <c r="R801" s="212" t="s">
        <v>2008</v>
      </c>
      <c r="S801" s="212"/>
      <c r="T801" s="212"/>
      <c r="U801" s="212"/>
      <c r="V801" s="212"/>
      <c r="W801" s="212"/>
      <c r="X801" s="212"/>
      <c r="Y801" s="212"/>
      <c r="Z801" s="212"/>
      <c r="AA801" s="212"/>
      <c r="AB801" s="212"/>
      <c r="AC801" s="212"/>
      <c r="AD801" s="212"/>
      <c r="AE801" s="212"/>
      <c r="AF801" s="212"/>
      <c r="AG801" s="212"/>
      <c r="AH801" s="212"/>
      <c r="AI801" s="212"/>
      <c r="AJ801" s="212"/>
      <c r="AK801" s="212"/>
      <c r="AL801" s="212"/>
      <c r="AM801" s="212"/>
      <c r="AN801" s="212"/>
      <c r="AO801" s="212"/>
      <c r="AP801" s="212"/>
      <c r="AQ801" s="212"/>
      <c r="AR801" s="212"/>
      <c r="AS801" s="212"/>
      <c r="AT801" s="212"/>
      <c r="AU801" s="212"/>
      <c r="AV801" s="212"/>
      <c r="AW801" s="212"/>
      <c r="AX801" s="212"/>
      <c r="AY801" s="212"/>
      <c r="AZ801" s="212"/>
      <c r="BA801" s="212"/>
      <c r="BB801" s="212"/>
      <c r="BC801" s="212"/>
      <c r="BD801" s="212"/>
      <c r="BE801" s="212"/>
      <c r="BF801" s="212"/>
      <c r="BG801" s="212"/>
      <c r="BH801" s="212"/>
      <c r="BI801" s="231" t="str">
        <f>HYPERLINK("#노임!A16","L001010101000028 →")</f>
        <v>L001010101000028 →</v>
      </c>
    </row>
    <row r="802" spans="1:61" ht="24" customHeight="1">
      <c r="A802" s="218" t="s">
        <v>1967</v>
      </c>
      <c r="B802" s="218" t="s">
        <v>1946</v>
      </c>
      <c r="C802" s="229">
        <v>7.6999999999999999E-2</v>
      </c>
      <c r="D802" s="213" t="s">
        <v>1286</v>
      </c>
      <c r="E802" s="217">
        <v>0</v>
      </c>
      <c r="F802" s="217"/>
      <c r="G802" s="217">
        <f>노임!D3</f>
        <v>0</v>
      </c>
      <c r="H802" s="217">
        <f>TRUNC(G802*C802,0)</f>
        <v>0</v>
      </c>
      <c r="I802" s="217">
        <v>0</v>
      </c>
      <c r="J802" s="217"/>
      <c r="K802" s="217">
        <f>E802+G802+I802</f>
        <v>0</v>
      </c>
      <c r="L802" s="217">
        <f>F802+H802+J802</f>
        <v>0</v>
      </c>
      <c r="M802" s="215" t="s">
        <v>68</v>
      </c>
      <c r="N802" s="212" t="s">
        <v>68</v>
      </c>
      <c r="O802" s="212"/>
      <c r="P802" s="212" t="s">
        <v>1098</v>
      </c>
      <c r="Q802" s="212" t="s">
        <v>68</v>
      </c>
      <c r="R802" s="212" t="s">
        <v>1968</v>
      </c>
      <c r="S802" s="212"/>
      <c r="T802" s="212"/>
      <c r="U802" s="212"/>
      <c r="V802" s="212"/>
      <c r="W802" s="212"/>
      <c r="X802" s="212"/>
      <c r="Y802" s="212"/>
      <c r="Z802" s="212"/>
      <c r="AA802" s="220" t="s">
        <v>1955</v>
      </c>
      <c r="AB802" s="212">
        <f>(호표!H801+호표!H802)*0.03</f>
        <v>0</v>
      </c>
      <c r="AC802" s="220" t="s">
        <v>1956</v>
      </c>
      <c r="AD802" s="212">
        <f>$AB802</f>
        <v>0</v>
      </c>
      <c r="AE802" s="212"/>
      <c r="AF802" s="212"/>
      <c r="AG802" s="212"/>
      <c r="AH802" s="212"/>
      <c r="AI802" s="212"/>
      <c r="AJ802" s="212"/>
      <c r="AK802" s="212"/>
      <c r="AL802" s="212"/>
      <c r="AM802" s="212"/>
      <c r="AN802" s="212"/>
      <c r="AO802" s="212"/>
      <c r="AP802" s="212"/>
      <c r="AQ802" s="212"/>
      <c r="AR802" s="212"/>
      <c r="AS802" s="212"/>
      <c r="AT802" s="212"/>
      <c r="AU802" s="212"/>
      <c r="AV802" s="212"/>
      <c r="AW802" s="212"/>
      <c r="AX802" s="212"/>
      <c r="AY802" s="212"/>
      <c r="AZ802" s="212"/>
      <c r="BA802" s="212"/>
      <c r="BB802" s="212"/>
      <c r="BC802" s="212"/>
      <c r="BD802" s="212"/>
      <c r="BE802" s="212"/>
      <c r="BF802" s="212"/>
      <c r="BG802" s="212"/>
      <c r="BH802" s="212"/>
      <c r="BI802" s="231" t="str">
        <f>HYPERLINK("#노임!A3","L001010101000002 →")</f>
        <v>L001010101000002 →</v>
      </c>
    </row>
    <row r="803" spans="1:61" ht="24" customHeight="1">
      <c r="A803" s="218" t="s">
        <v>1974</v>
      </c>
      <c r="B803" s="218" t="s">
        <v>1949</v>
      </c>
      <c r="C803" s="228">
        <v>3</v>
      </c>
      <c r="D803" s="213" t="s">
        <v>1950</v>
      </c>
      <c r="E803" s="213"/>
      <c r="F803" s="217">
        <v>0</v>
      </c>
      <c r="G803" s="213"/>
      <c r="H803" s="217">
        <v>0</v>
      </c>
      <c r="I803" s="213"/>
      <c r="J803" s="217">
        <f>TRUNC(((H801+H802)*0.03),0)</f>
        <v>0</v>
      </c>
      <c r="K803" s="217">
        <f>E803+G803+I803</f>
        <v>0</v>
      </c>
      <c r="L803" s="217">
        <f>F803+H803+J803</f>
        <v>0</v>
      </c>
      <c r="M803" s="215" t="s">
        <v>68</v>
      </c>
      <c r="N803" s="212" t="s">
        <v>68</v>
      </c>
      <c r="O803" s="212"/>
      <c r="P803" s="212" t="s">
        <v>1104</v>
      </c>
      <c r="Q803" s="212" t="s">
        <v>68</v>
      </c>
      <c r="R803" s="212" t="s">
        <v>1121</v>
      </c>
      <c r="S803" s="212"/>
      <c r="T803" s="212"/>
      <c r="U803" s="212"/>
      <c r="V803" s="212"/>
      <c r="W803" s="212"/>
      <c r="X803" s="212" t="s">
        <v>2130</v>
      </c>
      <c r="Y803" s="212"/>
      <c r="Z803" s="212"/>
      <c r="AA803" s="212"/>
      <c r="AB803" s="212"/>
      <c r="AC803" s="212"/>
      <c r="AD803" s="212"/>
      <c r="AE803" s="212"/>
      <c r="AF803" s="212"/>
      <c r="AG803" s="212"/>
      <c r="AH803" s="212"/>
      <c r="AI803" s="212"/>
      <c r="AJ803" s="212"/>
      <c r="AK803" s="212"/>
      <c r="AL803" s="212"/>
      <c r="AM803" s="212"/>
      <c r="AN803" s="212"/>
      <c r="AO803" s="212"/>
      <c r="AP803" s="212"/>
      <c r="AQ803" s="212"/>
      <c r="AR803" s="212"/>
      <c r="AS803" s="212"/>
      <c r="AT803" s="212"/>
      <c r="AU803" s="212"/>
      <c r="AV803" s="212"/>
      <c r="AW803" s="212"/>
      <c r="AX803" s="212"/>
      <c r="AY803" s="212"/>
      <c r="AZ803" s="212"/>
      <c r="BA803" s="212"/>
      <c r="BB803" s="212"/>
      <c r="BC803" s="212"/>
      <c r="BD803" s="212"/>
      <c r="BE803" s="212"/>
      <c r="BF803" s="212"/>
      <c r="BG803" s="212"/>
      <c r="BH803" s="212"/>
      <c r="BI803" s="212"/>
    </row>
    <row r="804" spans="1:61" ht="24" customHeight="1">
      <c r="A804" s="215"/>
      <c r="B804" s="215"/>
      <c r="C804" s="229"/>
      <c r="D804" s="213"/>
      <c r="E804" s="213"/>
      <c r="F804" s="213"/>
      <c r="G804" s="213"/>
      <c r="H804" s="213"/>
      <c r="I804" s="213"/>
      <c r="J804" s="213"/>
      <c r="K804" s="213"/>
      <c r="L804" s="213"/>
      <c r="M804" s="215"/>
      <c r="N804" s="212"/>
      <c r="O804" s="212"/>
      <c r="P804" s="212"/>
      <c r="Q804" s="212"/>
      <c r="R804" s="212"/>
      <c r="S804" s="212"/>
      <c r="T804" s="212"/>
      <c r="U804" s="212"/>
      <c r="V804" s="212"/>
      <c r="W804" s="212"/>
      <c r="X804" s="212"/>
      <c r="Y804" s="212"/>
      <c r="Z804" s="212"/>
      <c r="AA804" s="212"/>
      <c r="AB804" s="212"/>
      <c r="AC804" s="212"/>
      <c r="AD804" s="212"/>
      <c r="AE804" s="212"/>
      <c r="AF804" s="212"/>
      <c r="AG804" s="212"/>
      <c r="AH804" s="212"/>
      <c r="AI804" s="212"/>
      <c r="AJ804" s="212"/>
      <c r="AK804" s="212"/>
      <c r="AL804" s="212"/>
      <c r="AM804" s="212"/>
      <c r="AN804" s="212"/>
      <c r="AO804" s="212"/>
      <c r="AP804" s="212"/>
      <c r="AQ804" s="212"/>
      <c r="AR804" s="212"/>
      <c r="AS804" s="212"/>
      <c r="AT804" s="212"/>
      <c r="AU804" s="212"/>
      <c r="AV804" s="212"/>
      <c r="AW804" s="212"/>
      <c r="AX804" s="212"/>
      <c r="AY804" s="212"/>
      <c r="AZ804" s="212"/>
      <c r="BA804" s="212"/>
      <c r="BB804" s="212"/>
      <c r="BC804" s="212"/>
      <c r="BD804" s="212"/>
      <c r="BE804" s="212"/>
      <c r="BF804" s="212"/>
      <c r="BG804" s="212"/>
      <c r="BH804" s="212"/>
      <c r="BI804" s="212"/>
    </row>
    <row r="805" spans="1:61" ht="24" customHeight="1">
      <c r="A805" s="218" t="s">
        <v>2452</v>
      </c>
      <c r="B805" s="218" t="s">
        <v>1545</v>
      </c>
      <c r="C805" s="228">
        <v>1</v>
      </c>
      <c r="D805" s="213" t="s">
        <v>437</v>
      </c>
      <c r="E805" s="212"/>
      <c r="F805" s="217">
        <f>TRUNC(F806+F807+F808+F809+F810,0)</f>
        <v>0</v>
      </c>
      <c r="G805" s="212"/>
      <c r="H805" s="217">
        <f>TRUNC(H806+H807+H808+H809+H810,0)</f>
        <v>0</v>
      </c>
      <c r="I805" s="212"/>
      <c r="J805" s="217">
        <f>TRUNC(J806+J807+J808+J809+J810,0)</f>
        <v>0</v>
      </c>
      <c r="K805" s="212"/>
      <c r="L805" s="217">
        <f t="shared" ref="L805:L810" si="84">F805+H805+J805</f>
        <v>0</v>
      </c>
      <c r="M805" s="215" t="s">
        <v>68</v>
      </c>
      <c r="N805" s="212" t="s">
        <v>68</v>
      </c>
      <c r="O805" s="212" t="s">
        <v>1546</v>
      </c>
      <c r="P805" s="212"/>
      <c r="Q805" s="212"/>
      <c r="R805" s="212"/>
      <c r="S805" s="212"/>
      <c r="T805" s="212"/>
      <c r="U805" s="212"/>
      <c r="V805" s="212"/>
      <c r="W805" s="212"/>
      <c r="X805" s="212"/>
      <c r="Y805" s="212"/>
      <c r="Z805" s="212"/>
      <c r="AA805" s="212"/>
      <c r="AB805" s="212"/>
      <c r="AC805" s="212"/>
      <c r="AD805" s="212"/>
      <c r="AE805" s="212"/>
      <c r="AF805" s="212"/>
      <c r="AG805" s="212"/>
      <c r="AH805" s="212"/>
      <c r="AI805" s="212"/>
      <c r="AJ805" s="212"/>
      <c r="AK805" s="212"/>
      <c r="AL805" s="212"/>
      <c r="AM805" s="212"/>
      <c r="AN805" s="212"/>
      <c r="AO805" s="212"/>
      <c r="AP805" s="212"/>
      <c r="AQ805" s="212"/>
      <c r="AR805" s="212"/>
      <c r="AS805" s="212"/>
      <c r="AT805" s="212"/>
      <c r="AU805" s="212"/>
      <c r="AV805" s="212"/>
      <c r="AW805" s="212"/>
      <c r="AX805" s="212"/>
      <c r="AY805" s="212"/>
      <c r="AZ805" s="212"/>
      <c r="BA805" s="212"/>
      <c r="BB805" s="212"/>
      <c r="BC805" s="212"/>
      <c r="BD805" s="212"/>
      <c r="BE805" s="212"/>
      <c r="BF805" s="212"/>
      <c r="BG805" s="212"/>
      <c r="BH805" s="212"/>
      <c r="BI805" s="212"/>
    </row>
    <row r="806" spans="1:61" ht="24" customHeight="1">
      <c r="A806" s="218" t="s">
        <v>1323</v>
      </c>
      <c r="B806" s="218" t="s">
        <v>1545</v>
      </c>
      <c r="C806" s="228">
        <v>1</v>
      </c>
      <c r="D806" s="213" t="s">
        <v>437</v>
      </c>
      <c r="E806" s="217">
        <f>자재!D85</f>
        <v>0</v>
      </c>
      <c r="F806" s="217">
        <f>TRUNC(E806*C806,0)</f>
        <v>0</v>
      </c>
      <c r="G806" s="217">
        <v>0</v>
      </c>
      <c r="H806" s="217"/>
      <c r="I806" s="217">
        <v>0</v>
      </c>
      <c r="J806" s="217"/>
      <c r="K806" s="217">
        <f>E806+G806+I806</f>
        <v>0</v>
      </c>
      <c r="L806" s="217">
        <f t="shared" si="84"/>
        <v>0</v>
      </c>
      <c r="M806" s="215" t="s">
        <v>68</v>
      </c>
      <c r="N806" s="212" t="s">
        <v>68</v>
      </c>
      <c r="O806" s="212"/>
      <c r="P806" s="212" t="s">
        <v>1095</v>
      </c>
      <c r="Q806" s="212" t="s">
        <v>68</v>
      </c>
      <c r="R806" s="212" t="s">
        <v>2261</v>
      </c>
      <c r="S806" s="212"/>
      <c r="T806" s="212"/>
      <c r="U806" s="212"/>
      <c r="V806" s="212"/>
      <c r="W806" s="212"/>
      <c r="X806" s="212"/>
      <c r="Y806" s="212"/>
      <c r="Z806" s="212"/>
      <c r="AA806" s="212"/>
      <c r="AB806" s="212"/>
      <c r="AC806" s="212"/>
      <c r="AD806" s="212"/>
      <c r="AE806" s="212"/>
      <c r="AF806" s="212"/>
      <c r="AG806" s="212"/>
      <c r="AH806" s="212"/>
      <c r="AI806" s="212"/>
      <c r="AJ806" s="212"/>
      <c r="AK806" s="212"/>
      <c r="AL806" s="212"/>
      <c r="AM806" s="212"/>
      <c r="AN806" s="212"/>
      <c r="AO806" s="212"/>
      <c r="AP806" s="212"/>
      <c r="AQ806" s="212"/>
      <c r="AR806" s="212"/>
      <c r="AS806" s="212"/>
      <c r="AT806" s="212"/>
      <c r="AU806" s="212"/>
      <c r="AV806" s="212"/>
      <c r="AW806" s="212"/>
      <c r="AX806" s="212"/>
      <c r="AY806" s="212"/>
      <c r="AZ806" s="212"/>
      <c r="BA806" s="212"/>
      <c r="BB806" s="212"/>
      <c r="BC806" s="212"/>
      <c r="BD806" s="212"/>
      <c r="BE806" s="212"/>
      <c r="BF806" s="212"/>
      <c r="BG806" s="212"/>
      <c r="BH806" s="212"/>
      <c r="BI806" s="231" t="str">
        <f>HYPERLINK("#자재!A85","MZZ9000023 →")</f>
        <v>MZZ9000023 →</v>
      </c>
    </row>
    <row r="807" spans="1:61" ht="24" customHeight="1">
      <c r="A807" s="218" t="s">
        <v>2038</v>
      </c>
      <c r="B807" s="218" t="s">
        <v>1523</v>
      </c>
      <c r="C807" s="228">
        <v>1</v>
      </c>
      <c r="D807" s="213" t="s">
        <v>378</v>
      </c>
      <c r="E807" s="217">
        <f>일위목록!E75</f>
        <v>0</v>
      </c>
      <c r="F807" s="217">
        <f>TRUNC(E807*C807,0)</f>
        <v>0</v>
      </c>
      <c r="G807" s="217">
        <f>일위목록!F75</f>
        <v>0</v>
      </c>
      <c r="H807" s="217">
        <f>TRUNC(G807*C807,0)</f>
        <v>0</v>
      </c>
      <c r="I807" s="217">
        <f>일위목록!G75</f>
        <v>0</v>
      </c>
      <c r="J807" s="217">
        <f>TRUNC(I807*C807,0)</f>
        <v>0</v>
      </c>
      <c r="K807" s="217">
        <f>E807+G807+I807</f>
        <v>0</v>
      </c>
      <c r="L807" s="217">
        <f t="shared" si="84"/>
        <v>0</v>
      </c>
      <c r="M807" s="215" t="s">
        <v>68</v>
      </c>
      <c r="N807" s="212" t="s">
        <v>68</v>
      </c>
      <c r="O807" s="212"/>
      <c r="P807" s="212" t="s">
        <v>1098</v>
      </c>
      <c r="Q807" s="212" t="s">
        <v>68</v>
      </c>
      <c r="R807" s="212" t="s">
        <v>1776</v>
      </c>
      <c r="S807" s="212"/>
      <c r="T807" s="212" t="s">
        <v>1129</v>
      </c>
      <c r="U807" s="212"/>
      <c r="V807" s="212"/>
      <c r="W807" s="212"/>
      <c r="X807" s="212"/>
      <c r="Y807" s="212"/>
      <c r="Z807" s="212"/>
      <c r="AA807" s="212"/>
      <c r="AB807" s="212"/>
      <c r="AC807" s="212"/>
      <c r="AD807" s="212"/>
      <c r="AE807" s="212"/>
      <c r="AF807" s="212"/>
      <c r="AG807" s="212"/>
      <c r="AH807" s="212"/>
      <c r="AI807" s="212"/>
      <c r="AJ807" s="212"/>
      <c r="AK807" s="212"/>
      <c r="AL807" s="212"/>
      <c r="AM807" s="212"/>
      <c r="AN807" s="212"/>
      <c r="AO807" s="212"/>
      <c r="AP807" s="212"/>
      <c r="AQ807" s="212"/>
      <c r="AR807" s="212"/>
      <c r="AS807" s="212"/>
      <c r="AT807" s="212"/>
      <c r="AU807" s="212"/>
      <c r="AV807" s="212"/>
      <c r="AW807" s="212"/>
      <c r="AX807" s="212"/>
      <c r="AY807" s="212"/>
      <c r="AZ807" s="212"/>
      <c r="BA807" s="212"/>
      <c r="BB807" s="212"/>
      <c r="BC807" s="212"/>
      <c r="BD807" s="212"/>
      <c r="BE807" s="212"/>
      <c r="BF807" s="212"/>
      <c r="BG807" s="212"/>
      <c r="BH807" s="212"/>
      <c r="BI807" s="231" t="str">
        <f>HYPERLINK("#일위대가목록!A75","PP10-1-1/2 →")</f>
        <v>PP10-1-1/2 →</v>
      </c>
    </row>
    <row r="808" spans="1:61" ht="24" customHeight="1">
      <c r="A808" s="218" t="s">
        <v>2249</v>
      </c>
      <c r="B808" s="218" t="s">
        <v>2250</v>
      </c>
      <c r="C808" s="228">
        <v>3</v>
      </c>
      <c r="D808" s="213" t="s">
        <v>437</v>
      </c>
      <c r="E808" s="217">
        <f>자재조서!E20</f>
        <v>0</v>
      </c>
      <c r="F808" s="217">
        <f>TRUNC(E808*C808,0)</f>
        <v>0</v>
      </c>
      <c r="G808" s="217">
        <v>0</v>
      </c>
      <c r="H808" s="217"/>
      <c r="I808" s="217">
        <v>0</v>
      </c>
      <c r="J808" s="217"/>
      <c r="K808" s="217">
        <f>E808+G808+I808</f>
        <v>0</v>
      </c>
      <c r="L808" s="217">
        <f t="shared" si="84"/>
        <v>0</v>
      </c>
      <c r="M808" s="215" t="s">
        <v>68</v>
      </c>
      <c r="N808" s="212" t="s">
        <v>2251</v>
      </c>
      <c r="O808" s="212"/>
      <c r="P808" s="212" t="s">
        <v>1101</v>
      </c>
      <c r="Q808" s="212" t="s">
        <v>68</v>
      </c>
      <c r="R808" s="212" t="s">
        <v>2252</v>
      </c>
      <c r="S808" s="212"/>
      <c r="T808" s="212"/>
      <c r="U808" s="212"/>
      <c r="V808" s="212"/>
      <c r="W808" s="212"/>
      <c r="X808" s="212"/>
      <c r="Y808" s="212"/>
      <c r="Z808" s="212"/>
      <c r="AA808" s="212"/>
      <c r="AB808" s="212"/>
      <c r="AC808" s="212"/>
      <c r="AD808" s="212"/>
      <c r="AE808" s="212"/>
      <c r="AF808" s="212"/>
      <c r="AG808" s="212"/>
      <c r="AH808" s="212"/>
      <c r="AI808" s="212"/>
      <c r="AJ808" s="212"/>
      <c r="AK808" s="212"/>
      <c r="AL808" s="212"/>
      <c r="AM808" s="212"/>
      <c r="AN808" s="212"/>
      <c r="AO808" s="212"/>
      <c r="AP808" s="212"/>
      <c r="AQ808" s="212"/>
      <c r="AR808" s="212"/>
      <c r="AS808" s="212"/>
      <c r="AT808" s="212"/>
      <c r="AU808" s="212"/>
      <c r="AV808" s="212"/>
      <c r="AW808" s="212"/>
      <c r="AX808" s="212"/>
      <c r="AY808" s="212"/>
      <c r="AZ808" s="212"/>
      <c r="BA808" s="212"/>
      <c r="BB808" s="212"/>
      <c r="BC808" s="212"/>
      <c r="BD808" s="212"/>
      <c r="BE808" s="212"/>
      <c r="BF808" s="212"/>
      <c r="BG808" s="212"/>
      <c r="BH808" s="212"/>
      <c r="BI808" s="231" t="str">
        <f>HYPERLINK("#자재조서!A20","M3894003 →")</f>
        <v>M3894003 →</v>
      </c>
    </row>
    <row r="809" spans="1:61" ht="24" customHeight="1">
      <c r="A809" s="218" t="s">
        <v>2253</v>
      </c>
      <c r="B809" s="218" t="s">
        <v>2254</v>
      </c>
      <c r="C809" s="228">
        <v>1</v>
      </c>
      <c r="D809" s="213" t="s">
        <v>437</v>
      </c>
      <c r="E809" s="217">
        <f>자재조서!E119</f>
        <v>0</v>
      </c>
      <c r="F809" s="217">
        <f>TRUNC(E809*C809,0)</f>
        <v>0</v>
      </c>
      <c r="G809" s="217">
        <v>0</v>
      </c>
      <c r="H809" s="217"/>
      <c r="I809" s="217">
        <v>0</v>
      </c>
      <c r="J809" s="217"/>
      <c r="K809" s="217">
        <f>E809+G809+I809</f>
        <v>0</v>
      </c>
      <c r="L809" s="217">
        <f t="shared" si="84"/>
        <v>0</v>
      </c>
      <c r="M809" s="215" t="s">
        <v>68</v>
      </c>
      <c r="N809" s="212" t="s">
        <v>68</v>
      </c>
      <c r="O809" s="212"/>
      <c r="P809" s="212" t="s">
        <v>1104</v>
      </c>
      <c r="Q809" s="212" t="s">
        <v>68</v>
      </c>
      <c r="R809" s="212" t="s">
        <v>2255</v>
      </c>
      <c r="S809" s="212"/>
      <c r="T809" s="212"/>
      <c r="U809" s="212"/>
      <c r="V809" s="212"/>
      <c r="W809" s="212"/>
      <c r="X809" s="212"/>
      <c r="Y809" s="212"/>
      <c r="Z809" s="212"/>
      <c r="AA809" s="212"/>
      <c r="AB809" s="212"/>
      <c r="AC809" s="212"/>
      <c r="AD809" s="212"/>
      <c r="AE809" s="212"/>
      <c r="AF809" s="212"/>
      <c r="AG809" s="212"/>
      <c r="AH809" s="212"/>
      <c r="AI809" s="212"/>
      <c r="AJ809" s="212"/>
      <c r="AK809" s="212"/>
      <c r="AL809" s="212"/>
      <c r="AM809" s="212"/>
      <c r="AN809" s="212"/>
      <c r="AO809" s="212"/>
      <c r="AP809" s="212"/>
      <c r="AQ809" s="212"/>
      <c r="AR809" s="212"/>
      <c r="AS809" s="212"/>
      <c r="AT809" s="212"/>
      <c r="AU809" s="212"/>
      <c r="AV809" s="212"/>
      <c r="AW809" s="212"/>
      <c r="AX809" s="212"/>
      <c r="AY809" s="212"/>
      <c r="AZ809" s="212"/>
      <c r="BA809" s="212"/>
      <c r="BB809" s="212"/>
      <c r="BC809" s="212"/>
      <c r="BD809" s="212"/>
      <c r="BE809" s="212"/>
      <c r="BF809" s="212"/>
      <c r="BG809" s="212"/>
      <c r="BH809" s="212"/>
      <c r="BI809" s="231" t="str">
        <f>HYPERLINK("#자재조서!A119","MZZ9000076 →")</f>
        <v>MZZ9000076 →</v>
      </c>
    </row>
    <row r="810" spans="1:61" ht="24" customHeight="1">
      <c r="A810" s="218" t="s">
        <v>2095</v>
      </c>
      <c r="B810" s="218" t="s">
        <v>1910</v>
      </c>
      <c r="C810" s="228">
        <v>1</v>
      </c>
      <c r="D810" s="213" t="s">
        <v>378</v>
      </c>
      <c r="E810" s="217">
        <f>일위목록!E153</f>
        <v>0</v>
      </c>
      <c r="F810" s="217">
        <f>TRUNC(E810*C810,0)</f>
        <v>0</v>
      </c>
      <c r="G810" s="217">
        <f>일위목록!F153</f>
        <v>0</v>
      </c>
      <c r="H810" s="217">
        <f>TRUNC(G810*C810,0)</f>
        <v>0</v>
      </c>
      <c r="I810" s="217">
        <f>일위목록!G153</f>
        <v>0</v>
      </c>
      <c r="J810" s="217">
        <f>TRUNC(I810*C810,0)</f>
        <v>0</v>
      </c>
      <c r="K810" s="217">
        <f>E810+G810+I810</f>
        <v>0</v>
      </c>
      <c r="L810" s="217">
        <f t="shared" si="84"/>
        <v>0</v>
      </c>
      <c r="M810" s="215" t="s">
        <v>68</v>
      </c>
      <c r="N810" s="212" t="s">
        <v>68</v>
      </c>
      <c r="O810" s="212"/>
      <c r="P810" s="212" t="s">
        <v>1107</v>
      </c>
      <c r="Q810" s="212" t="s">
        <v>68</v>
      </c>
      <c r="R810" s="212" t="s">
        <v>1911</v>
      </c>
      <c r="S810" s="212"/>
      <c r="T810" s="212" t="s">
        <v>1129</v>
      </c>
      <c r="U810" s="212"/>
      <c r="V810" s="212"/>
      <c r="W810" s="212"/>
      <c r="X810" s="212"/>
      <c r="Y810" s="212"/>
      <c r="Z810" s="212"/>
      <c r="AA810" s="212"/>
      <c r="AB810" s="212"/>
      <c r="AC810" s="212"/>
      <c r="AD810" s="212"/>
      <c r="AE810" s="212"/>
      <c r="AF810" s="212"/>
      <c r="AG810" s="212"/>
      <c r="AH810" s="212"/>
      <c r="AI810" s="212"/>
      <c r="AJ810" s="212"/>
      <c r="AK810" s="212"/>
      <c r="AL810" s="212"/>
      <c r="AM810" s="212"/>
      <c r="AN810" s="212"/>
      <c r="AO810" s="212"/>
      <c r="AP810" s="212"/>
      <c r="AQ810" s="212"/>
      <c r="AR810" s="212"/>
      <c r="AS810" s="212"/>
      <c r="AT810" s="212"/>
      <c r="AU810" s="212"/>
      <c r="AV810" s="212"/>
      <c r="AW810" s="212"/>
      <c r="AX810" s="212"/>
      <c r="AY810" s="212"/>
      <c r="AZ810" s="212"/>
      <c r="BA810" s="212"/>
      <c r="BB810" s="212"/>
      <c r="BC810" s="212"/>
      <c r="BD810" s="212"/>
      <c r="BE810" s="212"/>
      <c r="BF810" s="212"/>
      <c r="BG810" s="212"/>
      <c r="BH810" s="212"/>
      <c r="BI810" s="231" t="str">
        <f>HYPERLINK("#일위대가목록!A153","PP10-2-3/1 →")</f>
        <v>PP10-2-3/1 →</v>
      </c>
    </row>
    <row r="811" spans="1:61" ht="24" customHeight="1">
      <c r="A811" s="215"/>
      <c r="B811" s="215"/>
      <c r="C811" s="229"/>
      <c r="D811" s="213"/>
      <c r="E811" s="213"/>
      <c r="F811" s="213"/>
      <c r="G811" s="213"/>
      <c r="H811" s="213"/>
      <c r="I811" s="213"/>
      <c r="J811" s="213"/>
      <c r="K811" s="213"/>
      <c r="L811" s="213"/>
      <c r="M811" s="215"/>
      <c r="N811" s="212"/>
      <c r="O811" s="212"/>
      <c r="P811" s="212"/>
      <c r="Q811" s="212"/>
      <c r="R811" s="212"/>
      <c r="S811" s="212"/>
      <c r="T811" s="212"/>
      <c r="U811" s="212"/>
      <c r="V811" s="212"/>
      <c r="W811" s="212"/>
      <c r="X811" s="212"/>
      <c r="Y811" s="212"/>
      <c r="Z811" s="212"/>
      <c r="AA811" s="212"/>
      <c r="AB811" s="212"/>
      <c r="AC811" s="212"/>
      <c r="AD811" s="212"/>
      <c r="AE811" s="212"/>
      <c r="AF811" s="212"/>
      <c r="AG811" s="212"/>
      <c r="AH811" s="212"/>
      <c r="AI811" s="212"/>
      <c r="AJ811" s="212"/>
      <c r="AK811" s="212"/>
      <c r="AL811" s="212"/>
      <c r="AM811" s="212"/>
      <c r="AN811" s="212"/>
      <c r="AO811" s="212"/>
      <c r="AP811" s="212"/>
      <c r="AQ811" s="212"/>
      <c r="AR811" s="212"/>
      <c r="AS811" s="212"/>
      <c r="AT811" s="212"/>
      <c r="AU811" s="212"/>
      <c r="AV811" s="212"/>
      <c r="AW811" s="212"/>
      <c r="AX811" s="212"/>
      <c r="AY811" s="212"/>
      <c r="AZ811" s="212"/>
      <c r="BA811" s="212"/>
      <c r="BB811" s="212"/>
      <c r="BC811" s="212"/>
      <c r="BD811" s="212"/>
      <c r="BE811" s="212"/>
      <c r="BF811" s="212"/>
      <c r="BG811" s="212"/>
      <c r="BH811" s="212"/>
      <c r="BI811" s="212"/>
    </row>
    <row r="812" spans="1:61" ht="24" customHeight="1">
      <c r="A812" s="218" t="s">
        <v>2453</v>
      </c>
      <c r="B812" s="218" t="s">
        <v>1548</v>
      </c>
      <c r="C812" s="228">
        <v>1</v>
      </c>
      <c r="D812" s="213" t="s">
        <v>437</v>
      </c>
      <c r="E812" s="212"/>
      <c r="F812" s="217">
        <f>TRUNC(F813+F814+F815,0)</f>
        <v>0</v>
      </c>
      <c r="G812" s="212"/>
      <c r="H812" s="217">
        <f>TRUNC(H813+H814+H815,0)</f>
        <v>0</v>
      </c>
      <c r="I812" s="212"/>
      <c r="J812" s="217">
        <f>TRUNC(J813+J814+J815,0)</f>
        <v>0</v>
      </c>
      <c r="K812" s="212"/>
      <c r="L812" s="217">
        <f>F812+H812+J812</f>
        <v>0</v>
      </c>
      <c r="M812" s="215" t="s">
        <v>68</v>
      </c>
      <c r="N812" s="212" t="s">
        <v>68</v>
      </c>
      <c r="O812" s="212" t="s">
        <v>1549</v>
      </c>
      <c r="P812" s="212"/>
      <c r="Q812" s="212"/>
      <c r="R812" s="212"/>
      <c r="S812" s="212"/>
      <c r="T812" s="212"/>
      <c r="U812" s="212"/>
      <c r="V812" s="212"/>
      <c r="W812" s="212"/>
      <c r="X812" s="212"/>
      <c r="Y812" s="212"/>
      <c r="Z812" s="212"/>
      <c r="AA812" s="212"/>
      <c r="AB812" s="212"/>
      <c r="AC812" s="212"/>
      <c r="AD812" s="212"/>
      <c r="AE812" s="212"/>
      <c r="AF812" s="212"/>
      <c r="AG812" s="212"/>
      <c r="AH812" s="212"/>
      <c r="AI812" s="212"/>
      <c r="AJ812" s="212"/>
      <c r="AK812" s="212"/>
      <c r="AL812" s="212"/>
      <c r="AM812" s="212"/>
      <c r="AN812" s="212"/>
      <c r="AO812" s="212"/>
      <c r="AP812" s="212"/>
      <c r="AQ812" s="212"/>
      <c r="AR812" s="212"/>
      <c r="AS812" s="212"/>
      <c r="AT812" s="212"/>
      <c r="AU812" s="212"/>
      <c r="AV812" s="212"/>
      <c r="AW812" s="212"/>
      <c r="AX812" s="212"/>
      <c r="AY812" s="212"/>
      <c r="AZ812" s="212"/>
      <c r="BA812" s="212"/>
      <c r="BB812" s="212"/>
      <c r="BC812" s="212"/>
      <c r="BD812" s="212"/>
      <c r="BE812" s="212"/>
      <c r="BF812" s="212"/>
      <c r="BG812" s="212"/>
      <c r="BH812" s="212"/>
      <c r="BI812" s="212"/>
    </row>
    <row r="813" spans="1:61" ht="24" customHeight="1">
      <c r="A813" s="218" t="s">
        <v>1547</v>
      </c>
      <c r="B813" s="218" t="s">
        <v>2454</v>
      </c>
      <c r="C813" s="228">
        <v>1</v>
      </c>
      <c r="D813" s="213" t="s">
        <v>437</v>
      </c>
      <c r="E813" s="217">
        <f>자재!D86</f>
        <v>0</v>
      </c>
      <c r="F813" s="217">
        <f>TRUNC(E813*C813,0)</f>
        <v>0</v>
      </c>
      <c r="G813" s="217">
        <v>0</v>
      </c>
      <c r="H813" s="217"/>
      <c r="I813" s="217">
        <v>0</v>
      </c>
      <c r="J813" s="217"/>
      <c r="K813" s="217">
        <f>E813+G813+I813</f>
        <v>0</v>
      </c>
      <c r="L813" s="217">
        <f>F813+H813+J813</f>
        <v>0</v>
      </c>
      <c r="M813" s="215" t="s">
        <v>68</v>
      </c>
      <c r="N813" s="212" t="s">
        <v>68</v>
      </c>
      <c r="O813" s="212"/>
      <c r="P813" s="212" t="s">
        <v>1095</v>
      </c>
      <c r="Q813" s="212" t="s">
        <v>68</v>
      </c>
      <c r="R813" s="212" t="s">
        <v>2455</v>
      </c>
      <c r="S813" s="212"/>
      <c r="T813" s="212"/>
      <c r="U813" s="212"/>
      <c r="V813" s="212"/>
      <c r="W813" s="212"/>
      <c r="X813" s="212"/>
      <c r="Y813" s="212"/>
      <c r="Z813" s="212"/>
      <c r="AA813" s="212"/>
      <c r="AB813" s="212"/>
      <c r="AC813" s="212"/>
      <c r="AD813" s="212"/>
      <c r="AE813" s="212"/>
      <c r="AF813" s="212"/>
      <c r="AG813" s="212"/>
      <c r="AH813" s="212"/>
      <c r="AI813" s="212"/>
      <c r="AJ813" s="212"/>
      <c r="AK813" s="212"/>
      <c r="AL813" s="212"/>
      <c r="AM813" s="212"/>
      <c r="AN813" s="212"/>
      <c r="AO813" s="212"/>
      <c r="AP813" s="212"/>
      <c r="AQ813" s="212"/>
      <c r="AR813" s="212"/>
      <c r="AS813" s="212"/>
      <c r="AT813" s="212"/>
      <c r="AU813" s="212"/>
      <c r="AV813" s="212"/>
      <c r="AW813" s="212"/>
      <c r="AX813" s="212"/>
      <c r="AY813" s="212"/>
      <c r="AZ813" s="212"/>
      <c r="BA813" s="212"/>
      <c r="BB813" s="212"/>
      <c r="BC813" s="212"/>
      <c r="BD813" s="212"/>
      <c r="BE813" s="212"/>
      <c r="BF813" s="212"/>
      <c r="BG813" s="212"/>
      <c r="BH813" s="212"/>
      <c r="BI813" s="231" t="str">
        <f>HYPERLINK("#자재!A86","MZZ9000024 →")</f>
        <v>MZZ9000024 →</v>
      </c>
    </row>
    <row r="814" spans="1:61" ht="24" customHeight="1">
      <c r="A814" s="218" t="s">
        <v>2084</v>
      </c>
      <c r="B814" s="218" t="s">
        <v>1727</v>
      </c>
      <c r="C814" s="228">
        <v>1</v>
      </c>
      <c r="D814" s="213" t="s">
        <v>378</v>
      </c>
      <c r="E814" s="217">
        <f>일위목록!E156</f>
        <v>0</v>
      </c>
      <c r="F814" s="217">
        <f>TRUNC(E814*C814,0)</f>
        <v>0</v>
      </c>
      <c r="G814" s="217">
        <f>일위목록!F156</f>
        <v>0</v>
      </c>
      <c r="H814" s="217">
        <f>TRUNC(G814*C814,0)</f>
        <v>0</v>
      </c>
      <c r="I814" s="217">
        <f>일위목록!G156</f>
        <v>0</v>
      </c>
      <c r="J814" s="217">
        <f>TRUNC(I814*C814,0)</f>
        <v>0</v>
      </c>
      <c r="K814" s="217">
        <f>E814+G814+I814</f>
        <v>0</v>
      </c>
      <c r="L814" s="217">
        <f>F814+H814+J814</f>
        <v>0</v>
      </c>
      <c r="M814" s="215" t="s">
        <v>68</v>
      </c>
      <c r="N814" s="212" t="s">
        <v>68</v>
      </c>
      <c r="O814" s="212"/>
      <c r="P814" s="212" t="s">
        <v>1098</v>
      </c>
      <c r="Q814" s="212" t="s">
        <v>68</v>
      </c>
      <c r="R814" s="212" t="s">
        <v>1919</v>
      </c>
      <c r="S814" s="212"/>
      <c r="T814" s="212" t="s">
        <v>1129</v>
      </c>
      <c r="U814" s="212"/>
      <c r="V814" s="212"/>
      <c r="W814" s="212"/>
      <c r="X814" s="212"/>
      <c r="Y814" s="212"/>
      <c r="Z814" s="212"/>
      <c r="AA814" s="212"/>
      <c r="AB814" s="212"/>
      <c r="AC814" s="212"/>
      <c r="AD814" s="212"/>
      <c r="AE814" s="212"/>
      <c r="AF814" s="212"/>
      <c r="AG814" s="212"/>
      <c r="AH814" s="212"/>
      <c r="AI814" s="212"/>
      <c r="AJ814" s="212"/>
      <c r="AK814" s="212"/>
      <c r="AL814" s="212"/>
      <c r="AM814" s="212"/>
      <c r="AN814" s="212"/>
      <c r="AO814" s="212"/>
      <c r="AP814" s="212"/>
      <c r="AQ814" s="212"/>
      <c r="AR814" s="212"/>
      <c r="AS814" s="212"/>
      <c r="AT814" s="212"/>
      <c r="AU814" s="212"/>
      <c r="AV814" s="212"/>
      <c r="AW814" s="212"/>
      <c r="AX814" s="212"/>
      <c r="AY814" s="212"/>
      <c r="AZ814" s="212"/>
      <c r="BA814" s="212"/>
      <c r="BB814" s="212"/>
      <c r="BC814" s="212"/>
      <c r="BD814" s="212"/>
      <c r="BE814" s="212"/>
      <c r="BF814" s="212"/>
      <c r="BG814" s="212"/>
      <c r="BH814" s="212"/>
      <c r="BI814" s="231" t="str">
        <f>HYPERLINK("#일위대가목록!A156","PP10-1-2/2 →")</f>
        <v>PP10-1-2/2 →</v>
      </c>
    </row>
    <row r="815" spans="1:61" ht="24" customHeight="1">
      <c r="A815" s="218" t="s">
        <v>2249</v>
      </c>
      <c r="B815" s="218" t="s">
        <v>2250</v>
      </c>
      <c r="C815" s="228">
        <v>3</v>
      </c>
      <c r="D815" s="213" t="s">
        <v>437</v>
      </c>
      <c r="E815" s="217">
        <f>자재조서!E20</f>
        <v>0</v>
      </c>
      <c r="F815" s="217">
        <f>TRUNC(E815*C815,0)</f>
        <v>0</v>
      </c>
      <c r="G815" s="217">
        <v>0</v>
      </c>
      <c r="H815" s="217"/>
      <c r="I815" s="217">
        <v>0</v>
      </c>
      <c r="J815" s="217"/>
      <c r="K815" s="217">
        <f>E815+G815+I815</f>
        <v>0</v>
      </c>
      <c r="L815" s="217">
        <f>F815+H815+J815</f>
        <v>0</v>
      </c>
      <c r="M815" s="215" t="s">
        <v>68</v>
      </c>
      <c r="N815" s="212" t="s">
        <v>2251</v>
      </c>
      <c r="O815" s="212"/>
      <c r="P815" s="212" t="s">
        <v>1101</v>
      </c>
      <c r="Q815" s="212" t="s">
        <v>68</v>
      </c>
      <c r="R815" s="212" t="s">
        <v>2252</v>
      </c>
      <c r="S815" s="212"/>
      <c r="T815" s="212"/>
      <c r="U815" s="212"/>
      <c r="V815" s="212"/>
      <c r="W815" s="212"/>
      <c r="X815" s="212"/>
      <c r="Y815" s="212"/>
      <c r="Z815" s="212"/>
      <c r="AA815" s="212"/>
      <c r="AB815" s="212"/>
      <c r="AC815" s="212"/>
      <c r="AD815" s="212"/>
      <c r="AE815" s="212"/>
      <c r="AF815" s="212"/>
      <c r="AG815" s="212"/>
      <c r="AH815" s="212"/>
      <c r="AI815" s="212"/>
      <c r="AJ815" s="212"/>
      <c r="AK815" s="212"/>
      <c r="AL815" s="212"/>
      <c r="AM815" s="212"/>
      <c r="AN815" s="212"/>
      <c r="AO815" s="212"/>
      <c r="AP815" s="212"/>
      <c r="AQ815" s="212"/>
      <c r="AR815" s="212"/>
      <c r="AS815" s="212"/>
      <c r="AT815" s="212"/>
      <c r="AU815" s="212"/>
      <c r="AV815" s="212"/>
      <c r="AW815" s="212"/>
      <c r="AX815" s="212"/>
      <c r="AY815" s="212"/>
      <c r="AZ815" s="212"/>
      <c r="BA815" s="212"/>
      <c r="BB815" s="212"/>
      <c r="BC815" s="212"/>
      <c r="BD815" s="212"/>
      <c r="BE815" s="212"/>
      <c r="BF815" s="212"/>
      <c r="BG815" s="212"/>
      <c r="BH815" s="212"/>
      <c r="BI815" s="231" t="str">
        <f>HYPERLINK("#자재조서!A20","M3894003 →")</f>
        <v>M3894003 →</v>
      </c>
    </row>
    <row r="816" spans="1:61" ht="24" customHeight="1">
      <c r="A816" s="215"/>
      <c r="B816" s="215"/>
      <c r="C816" s="229"/>
      <c r="D816" s="213"/>
      <c r="E816" s="213"/>
      <c r="F816" s="213"/>
      <c r="G816" s="213"/>
      <c r="H816" s="213"/>
      <c r="I816" s="213"/>
      <c r="J816" s="213"/>
      <c r="K816" s="213"/>
      <c r="L816" s="213"/>
      <c r="M816" s="215"/>
      <c r="N816" s="212"/>
      <c r="O816" s="212"/>
      <c r="P816" s="212"/>
      <c r="Q816" s="212"/>
      <c r="R816" s="212"/>
      <c r="S816" s="212"/>
      <c r="T816" s="212"/>
      <c r="U816" s="212"/>
      <c r="V816" s="212"/>
      <c r="W816" s="212"/>
      <c r="X816" s="212"/>
      <c r="Y816" s="212"/>
      <c r="Z816" s="212"/>
      <c r="AA816" s="212"/>
      <c r="AB816" s="212"/>
      <c r="AC816" s="212"/>
      <c r="AD816" s="212"/>
      <c r="AE816" s="212"/>
      <c r="AF816" s="212"/>
      <c r="AG816" s="212"/>
      <c r="AH816" s="212"/>
      <c r="AI816" s="212"/>
      <c r="AJ816" s="212"/>
      <c r="AK816" s="212"/>
      <c r="AL816" s="212"/>
      <c r="AM816" s="212"/>
      <c r="AN816" s="212"/>
      <c r="AO816" s="212"/>
      <c r="AP816" s="212"/>
      <c r="AQ816" s="212"/>
      <c r="AR816" s="212"/>
      <c r="AS816" s="212"/>
      <c r="AT816" s="212"/>
      <c r="AU816" s="212"/>
      <c r="AV816" s="212"/>
      <c r="AW816" s="212"/>
      <c r="AX816" s="212"/>
      <c r="AY816" s="212"/>
      <c r="AZ816" s="212"/>
      <c r="BA816" s="212"/>
      <c r="BB816" s="212"/>
      <c r="BC816" s="212"/>
      <c r="BD816" s="212"/>
      <c r="BE816" s="212"/>
      <c r="BF816" s="212"/>
      <c r="BG816" s="212"/>
      <c r="BH816" s="212"/>
      <c r="BI816" s="212"/>
    </row>
    <row r="817" spans="1:61" ht="24" customHeight="1">
      <c r="A817" s="218" t="s">
        <v>2456</v>
      </c>
      <c r="B817" s="218" t="s">
        <v>1551</v>
      </c>
      <c r="C817" s="228">
        <v>1</v>
      </c>
      <c r="D817" s="213" t="s">
        <v>149</v>
      </c>
      <c r="E817" s="212"/>
      <c r="F817" s="217">
        <f>TRUNC(F818+F820+F821+F823+F824+F826+F827,0)</f>
        <v>0</v>
      </c>
      <c r="G817" s="212"/>
      <c r="H817" s="217">
        <f>TRUNC(H818+H820+H821+H823+H824+H826+H827,0)</f>
        <v>0</v>
      </c>
      <c r="I817" s="212"/>
      <c r="J817" s="217">
        <f>TRUNC(J818+J820+J821+J823+J824+J826+J827,0)</f>
        <v>0</v>
      </c>
      <c r="K817" s="212"/>
      <c r="L817" s="217">
        <f t="shared" ref="L817:L827" si="85">F817+H817+J817</f>
        <v>0</v>
      </c>
      <c r="M817" s="215" t="s">
        <v>1886</v>
      </c>
      <c r="N817" s="212" t="s">
        <v>68</v>
      </c>
      <c r="O817" s="212" t="s">
        <v>1552</v>
      </c>
      <c r="P817" s="212"/>
      <c r="Q817" s="212"/>
      <c r="R817" s="212"/>
      <c r="S817" s="212"/>
      <c r="T817" s="212"/>
      <c r="U817" s="212"/>
      <c r="V817" s="212"/>
      <c r="W817" s="212"/>
      <c r="X817" s="212"/>
      <c r="Y817" s="212"/>
      <c r="Z817" s="212"/>
      <c r="AA817" s="212"/>
      <c r="AB817" s="212"/>
      <c r="AC817" s="212"/>
      <c r="AD817" s="212"/>
      <c r="AE817" s="212"/>
      <c r="AF817" s="212"/>
      <c r="AG817" s="212"/>
      <c r="AH817" s="212"/>
      <c r="AI817" s="212"/>
      <c r="AJ817" s="212"/>
      <c r="AK817" s="212"/>
      <c r="AL817" s="212"/>
      <c r="AM817" s="212"/>
      <c r="AN817" s="212"/>
      <c r="AO817" s="212"/>
      <c r="AP817" s="212"/>
      <c r="AQ817" s="212"/>
      <c r="AR817" s="212"/>
      <c r="AS817" s="212"/>
      <c r="AT817" s="212"/>
      <c r="AU817" s="212"/>
      <c r="AV817" s="212"/>
      <c r="AW817" s="212"/>
      <c r="AX817" s="212"/>
      <c r="AY817" s="212"/>
      <c r="AZ817" s="212"/>
      <c r="BA817" s="212"/>
      <c r="BB817" s="212"/>
      <c r="BC817" s="212"/>
      <c r="BD817" s="212"/>
      <c r="BE817" s="212"/>
      <c r="BF817" s="212"/>
      <c r="BG817" s="212"/>
      <c r="BH817" s="212"/>
      <c r="BI817" s="212"/>
    </row>
    <row r="818" spans="1:61" ht="24" customHeight="1">
      <c r="A818" s="218" t="s">
        <v>2457</v>
      </c>
      <c r="B818" s="218" t="s">
        <v>2458</v>
      </c>
      <c r="C818" s="228">
        <v>1</v>
      </c>
      <c r="D818" s="213" t="s">
        <v>149</v>
      </c>
      <c r="E818" s="217">
        <f>자재조서!E95</f>
        <v>0</v>
      </c>
      <c r="F818" s="217">
        <f>TRUNC(E818*C818,0)</f>
        <v>0</v>
      </c>
      <c r="G818" s="217">
        <v>0</v>
      </c>
      <c r="H818" s="217"/>
      <c r="I818" s="217">
        <v>0</v>
      </c>
      <c r="J818" s="217"/>
      <c r="K818" s="217">
        <f t="shared" ref="K818:K827" si="86">E818+G818+I818</f>
        <v>0</v>
      </c>
      <c r="L818" s="217">
        <f t="shared" si="85"/>
        <v>0</v>
      </c>
      <c r="M818" s="215" t="s">
        <v>68</v>
      </c>
      <c r="N818" s="212" t="s">
        <v>68</v>
      </c>
      <c r="O818" s="212"/>
      <c r="P818" s="212" t="s">
        <v>1095</v>
      </c>
      <c r="Q818" s="212" t="s">
        <v>68</v>
      </c>
      <c r="R818" s="212" t="s">
        <v>2459</v>
      </c>
      <c r="S818" s="212"/>
      <c r="T818" s="212"/>
      <c r="U818" s="212"/>
      <c r="V818" s="212"/>
      <c r="W818" s="212"/>
      <c r="X818" s="212"/>
      <c r="Y818" s="212"/>
      <c r="Z818" s="212"/>
      <c r="AA818" s="212"/>
      <c r="AB818" s="212"/>
      <c r="AC818" s="212"/>
      <c r="AD818" s="212"/>
      <c r="AE818" s="212"/>
      <c r="AF818" s="212"/>
      <c r="AG818" s="212"/>
      <c r="AH818" s="212"/>
      <c r="AI818" s="212"/>
      <c r="AJ818" s="212"/>
      <c r="AK818" s="212"/>
      <c r="AL818" s="212"/>
      <c r="AM818" s="212"/>
      <c r="AN818" s="212"/>
      <c r="AO818" s="212"/>
      <c r="AP818" s="212"/>
      <c r="AQ818" s="212"/>
      <c r="AR818" s="212"/>
      <c r="AS818" s="212"/>
      <c r="AT818" s="212"/>
      <c r="AU818" s="212"/>
      <c r="AV818" s="212"/>
      <c r="AW818" s="212"/>
      <c r="AX818" s="212"/>
      <c r="AY818" s="212"/>
      <c r="AZ818" s="212"/>
      <c r="BA818" s="212"/>
      <c r="BB818" s="212"/>
      <c r="BC818" s="212"/>
      <c r="BD818" s="212"/>
      <c r="BE818" s="212"/>
      <c r="BF818" s="212"/>
      <c r="BG818" s="212"/>
      <c r="BH818" s="212"/>
      <c r="BI818" s="231" t="str">
        <f>HYPERLINK("#자재조서!A95","MZZ9000041 →")</f>
        <v>MZZ9000041 →</v>
      </c>
    </row>
    <row r="819" spans="1:61" ht="24" customHeight="1">
      <c r="A819" s="218" t="s">
        <v>2460</v>
      </c>
      <c r="B819" s="218" t="s">
        <v>68</v>
      </c>
      <c r="C819" s="229"/>
      <c r="D819" s="213" t="s">
        <v>68</v>
      </c>
      <c r="E819" s="213"/>
      <c r="F819" s="217">
        <v>0</v>
      </c>
      <c r="G819" s="213"/>
      <c r="H819" s="217">
        <v>0</v>
      </c>
      <c r="I819" s="213"/>
      <c r="J819" s="217">
        <v>0</v>
      </c>
      <c r="K819" s="217">
        <f t="shared" si="86"/>
        <v>0</v>
      </c>
      <c r="L819" s="217">
        <f t="shared" si="85"/>
        <v>0</v>
      </c>
      <c r="M819" s="215" t="s">
        <v>68</v>
      </c>
      <c r="N819" s="212" t="s">
        <v>68</v>
      </c>
      <c r="O819" s="212"/>
      <c r="P819" s="212" t="s">
        <v>1101</v>
      </c>
      <c r="Q819" s="212" t="s">
        <v>68</v>
      </c>
      <c r="R819" s="212" t="s">
        <v>68</v>
      </c>
      <c r="S819" s="212"/>
      <c r="T819" s="212"/>
      <c r="U819" s="212"/>
      <c r="V819" s="212"/>
      <c r="W819" s="212"/>
      <c r="X819" s="212"/>
      <c r="Y819" s="212"/>
      <c r="Z819" s="212"/>
      <c r="AA819" s="212"/>
      <c r="AB819" s="212"/>
      <c r="AC819" s="212"/>
      <c r="AD819" s="212"/>
      <c r="AE819" s="212"/>
      <c r="AF819" s="212"/>
      <c r="AG819" s="212"/>
      <c r="AH819" s="212"/>
      <c r="AI819" s="212"/>
      <c r="AJ819" s="212"/>
      <c r="AK819" s="212"/>
      <c r="AL819" s="212"/>
      <c r="AM819" s="212"/>
      <c r="AN819" s="212"/>
      <c r="AO819" s="212"/>
      <c r="AP819" s="212"/>
      <c r="AQ819" s="212"/>
      <c r="AR819" s="212"/>
      <c r="AS819" s="212"/>
      <c r="AT819" s="212"/>
      <c r="AU819" s="212"/>
      <c r="AV819" s="212"/>
      <c r="AW819" s="212"/>
      <c r="AX819" s="212"/>
      <c r="AY819" s="212"/>
      <c r="AZ819" s="212"/>
      <c r="BA819" s="212"/>
      <c r="BB819" s="212"/>
      <c r="BC819" s="212"/>
      <c r="BD819" s="212"/>
      <c r="BE819" s="212"/>
      <c r="BF819" s="212"/>
      <c r="BG819" s="212"/>
      <c r="BH819" s="212"/>
      <c r="BI819" s="212"/>
    </row>
    <row r="820" spans="1:61" ht="24" customHeight="1">
      <c r="A820" s="218" t="s">
        <v>2461</v>
      </c>
      <c r="B820" s="218" t="s">
        <v>2462</v>
      </c>
      <c r="C820" s="229">
        <v>0.2</v>
      </c>
      <c r="D820" s="213" t="s">
        <v>1286</v>
      </c>
      <c r="E820" s="217">
        <v>0</v>
      </c>
      <c r="F820" s="217"/>
      <c r="G820" s="217">
        <f>노임!D27</f>
        <v>0</v>
      </c>
      <c r="H820" s="217">
        <f>TRUNC(G820*C820,0)</f>
        <v>0</v>
      </c>
      <c r="I820" s="217">
        <v>0</v>
      </c>
      <c r="J820" s="217"/>
      <c r="K820" s="217">
        <f t="shared" si="86"/>
        <v>0</v>
      </c>
      <c r="L820" s="217">
        <f t="shared" si="85"/>
        <v>0</v>
      </c>
      <c r="M820" s="215" t="s">
        <v>68</v>
      </c>
      <c r="N820" s="212" t="s">
        <v>68</v>
      </c>
      <c r="O820" s="212"/>
      <c r="P820" s="212" t="s">
        <v>1104</v>
      </c>
      <c r="Q820" s="212" t="s">
        <v>68</v>
      </c>
      <c r="R820" s="212" t="s">
        <v>2463</v>
      </c>
      <c r="S820" s="212"/>
      <c r="T820" s="212"/>
      <c r="U820" s="212"/>
      <c r="V820" s="212"/>
      <c r="W820" s="212"/>
      <c r="X820" s="212"/>
      <c r="Y820" s="212"/>
      <c r="Z820" s="212"/>
      <c r="AA820" s="212"/>
      <c r="AB820" s="212"/>
      <c r="AC820" s="212"/>
      <c r="AD820" s="212"/>
      <c r="AE820" s="212"/>
      <c r="AF820" s="212"/>
      <c r="AG820" s="212"/>
      <c r="AH820" s="212"/>
      <c r="AI820" s="212"/>
      <c r="AJ820" s="212"/>
      <c r="AK820" s="212"/>
      <c r="AL820" s="212"/>
      <c r="AM820" s="212"/>
      <c r="AN820" s="212"/>
      <c r="AO820" s="212"/>
      <c r="AP820" s="212"/>
      <c r="AQ820" s="212"/>
      <c r="AR820" s="212"/>
      <c r="AS820" s="212"/>
      <c r="AT820" s="212"/>
      <c r="AU820" s="212"/>
      <c r="AV820" s="212"/>
      <c r="AW820" s="212"/>
      <c r="AX820" s="212"/>
      <c r="AY820" s="212"/>
      <c r="AZ820" s="212"/>
      <c r="BA820" s="212"/>
      <c r="BB820" s="212"/>
      <c r="BC820" s="212"/>
      <c r="BD820" s="212"/>
      <c r="BE820" s="212"/>
      <c r="BF820" s="212"/>
      <c r="BG820" s="212"/>
      <c r="BH820" s="212"/>
      <c r="BI820" s="231" t="str">
        <f>HYPERLINK("#노임!A27","L001010501000112 →")</f>
        <v>L001010501000112 →</v>
      </c>
    </row>
    <row r="821" spans="1:61" ht="24" customHeight="1">
      <c r="A821" s="218" t="s">
        <v>2464</v>
      </c>
      <c r="B821" s="218" t="s">
        <v>1946</v>
      </c>
      <c r="C821" s="229">
        <v>0.2</v>
      </c>
      <c r="D821" s="213" t="s">
        <v>1286</v>
      </c>
      <c r="E821" s="217">
        <v>0</v>
      </c>
      <c r="F821" s="217"/>
      <c r="G821" s="217">
        <f>노임!D25</f>
        <v>0</v>
      </c>
      <c r="H821" s="217">
        <f>TRUNC(G821*C821,0)</f>
        <v>0</v>
      </c>
      <c r="I821" s="217">
        <v>0</v>
      </c>
      <c r="J821" s="217"/>
      <c r="K821" s="217">
        <f t="shared" si="86"/>
        <v>0</v>
      </c>
      <c r="L821" s="217">
        <f t="shared" si="85"/>
        <v>0</v>
      </c>
      <c r="M821" s="215" t="s">
        <v>68</v>
      </c>
      <c r="N821" s="212" t="s">
        <v>68</v>
      </c>
      <c r="O821" s="212"/>
      <c r="P821" s="212" t="s">
        <v>1107</v>
      </c>
      <c r="Q821" s="212" t="s">
        <v>68</v>
      </c>
      <c r="R821" s="212" t="s">
        <v>2465</v>
      </c>
      <c r="S821" s="212"/>
      <c r="T821" s="212"/>
      <c r="U821" s="212"/>
      <c r="V821" s="212"/>
      <c r="W821" s="212"/>
      <c r="X821" s="212"/>
      <c r="Y821" s="212"/>
      <c r="Z821" s="212"/>
      <c r="AA821" s="212"/>
      <c r="AB821" s="212"/>
      <c r="AC821" s="212"/>
      <c r="AD821" s="212"/>
      <c r="AE821" s="212"/>
      <c r="AF821" s="212"/>
      <c r="AG821" s="212"/>
      <c r="AH821" s="212"/>
      <c r="AI821" s="212"/>
      <c r="AJ821" s="212"/>
      <c r="AK821" s="212"/>
      <c r="AL821" s="212"/>
      <c r="AM821" s="212"/>
      <c r="AN821" s="212"/>
      <c r="AO821" s="212"/>
      <c r="AP821" s="212"/>
      <c r="AQ821" s="212"/>
      <c r="AR821" s="212"/>
      <c r="AS821" s="212"/>
      <c r="AT821" s="212"/>
      <c r="AU821" s="212"/>
      <c r="AV821" s="212"/>
      <c r="AW821" s="212"/>
      <c r="AX821" s="212"/>
      <c r="AY821" s="212"/>
      <c r="AZ821" s="212"/>
      <c r="BA821" s="212"/>
      <c r="BB821" s="212"/>
      <c r="BC821" s="212"/>
      <c r="BD821" s="212"/>
      <c r="BE821" s="212"/>
      <c r="BF821" s="212"/>
      <c r="BG821" s="212"/>
      <c r="BH821" s="212"/>
      <c r="BI821" s="231" t="str">
        <f>HYPERLINK("#노임!A25","L001010101000087 →")</f>
        <v>L001010101000087 →</v>
      </c>
    </row>
    <row r="822" spans="1:61" ht="24" customHeight="1">
      <c r="A822" s="218" t="s">
        <v>2466</v>
      </c>
      <c r="B822" s="218" t="s">
        <v>68</v>
      </c>
      <c r="C822" s="229"/>
      <c r="D822" s="213" t="s">
        <v>68</v>
      </c>
      <c r="E822" s="213"/>
      <c r="F822" s="217">
        <v>0</v>
      </c>
      <c r="G822" s="213"/>
      <c r="H822" s="217">
        <v>0</v>
      </c>
      <c r="I822" s="213"/>
      <c r="J822" s="217">
        <v>0</v>
      </c>
      <c r="K822" s="217">
        <f t="shared" si="86"/>
        <v>0</v>
      </c>
      <c r="L822" s="217">
        <f t="shared" si="85"/>
        <v>0</v>
      </c>
      <c r="M822" s="215" t="s">
        <v>68</v>
      </c>
      <c r="N822" s="212" t="s">
        <v>68</v>
      </c>
      <c r="O822" s="212"/>
      <c r="P822" s="212" t="s">
        <v>1108</v>
      </c>
      <c r="Q822" s="212" t="s">
        <v>68</v>
      </c>
      <c r="R822" s="212" t="s">
        <v>68</v>
      </c>
      <c r="S822" s="212"/>
      <c r="T822" s="212"/>
      <c r="U822" s="212"/>
      <c r="V822" s="212"/>
      <c r="W822" s="212"/>
      <c r="X822" s="212"/>
      <c r="Y822" s="212"/>
      <c r="Z822" s="212"/>
      <c r="AA822" s="212"/>
      <c r="AB822" s="212"/>
      <c r="AC822" s="212"/>
      <c r="AD822" s="212"/>
      <c r="AE822" s="212"/>
      <c r="AF822" s="212"/>
      <c r="AG822" s="212"/>
      <c r="AH822" s="212"/>
      <c r="AI822" s="212"/>
      <c r="AJ822" s="212"/>
      <c r="AK822" s="212"/>
      <c r="AL822" s="212"/>
      <c r="AM822" s="212"/>
      <c r="AN822" s="212"/>
      <c r="AO822" s="212"/>
      <c r="AP822" s="212"/>
      <c r="AQ822" s="212"/>
      <c r="AR822" s="212"/>
      <c r="AS822" s="212"/>
      <c r="AT822" s="212"/>
      <c r="AU822" s="212"/>
      <c r="AV822" s="212"/>
      <c r="AW822" s="212"/>
      <c r="AX822" s="212"/>
      <c r="AY822" s="212"/>
      <c r="AZ822" s="212"/>
      <c r="BA822" s="212"/>
      <c r="BB822" s="212"/>
      <c r="BC822" s="212"/>
      <c r="BD822" s="212"/>
      <c r="BE822" s="212"/>
      <c r="BF822" s="212"/>
      <c r="BG822" s="212"/>
      <c r="BH822" s="212"/>
      <c r="BI822" s="212"/>
    </row>
    <row r="823" spans="1:61" ht="24" customHeight="1">
      <c r="A823" s="218" t="s">
        <v>2467</v>
      </c>
      <c r="B823" s="218" t="s">
        <v>2462</v>
      </c>
      <c r="C823" s="229">
        <v>0.28999999999999998</v>
      </c>
      <c r="D823" s="213" t="s">
        <v>1286</v>
      </c>
      <c r="E823" s="217">
        <v>0</v>
      </c>
      <c r="F823" s="217"/>
      <c r="G823" s="217">
        <f>노임!D26</f>
        <v>0</v>
      </c>
      <c r="H823" s="217">
        <f>TRUNC(G823*C823,0)</f>
        <v>0</v>
      </c>
      <c r="I823" s="217">
        <v>0</v>
      </c>
      <c r="J823" s="217"/>
      <c r="K823" s="217">
        <f t="shared" si="86"/>
        <v>0</v>
      </c>
      <c r="L823" s="217">
        <f t="shared" si="85"/>
        <v>0</v>
      </c>
      <c r="M823" s="215" t="s">
        <v>68</v>
      </c>
      <c r="N823" s="212" t="s">
        <v>68</v>
      </c>
      <c r="O823" s="212"/>
      <c r="P823" s="212" t="s">
        <v>1109</v>
      </c>
      <c r="Q823" s="212" t="s">
        <v>68</v>
      </c>
      <c r="R823" s="212" t="s">
        <v>2468</v>
      </c>
      <c r="S823" s="212"/>
      <c r="T823" s="212"/>
      <c r="U823" s="212"/>
      <c r="V823" s="212"/>
      <c r="W823" s="212"/>
      <c r="X823" s="212"/>
      <c r="Y823" s="212"/>
      <c r="Z823" s="212"/>
      <c r="AA823" s="212"/>
      <c r="AB823" s="212"/>
      <c r="AC823" s="212"/>
      <c r="AD823" s="212"/>
      <c r="AE823" s="212"/>
      <c r="AF823" s="212"/>
      <c r="AG823" s="212"/>
      <c r="AH823" s="212"/>
      <c r="AI823" s="212"/>
      <c r="AJ823" s="212"/>
      <c r="AK823" s="212"/>
      <c r="AL823" s="212"/>
      <c r="AM823" s="212"/>
      <c r="AN823" s="212"/>
      <c r="AO823" s="212"/>
      <c r="AP823" s="212"/>
      <c r="AQ823" s="212"/>
      <c r="AR823" s="212"/>
      <c r="AS823" s="212"/>
      <c r="AT823" s="212"/>
      <c r="AU823" s="212"/>
      <c r="AV823" s="212"/>
      <c r="AW823" s="212"/>
      <c r="AX823" s="212"/>
      <c r="AY823" s="212"/>
      <c r="AZ823" s="212"/>
      <c r="BA823" s="212"/>
      <c r="BB823" s="212"/>
      <c r="BC823" s="212"/>
      <c r="BD823" s="212"/>
      <c r="BE823" s="212"/>
      <c r="BF823" s="212"/>
      <c r="BG823" s="212"/>
      <c r="BH823" s="212"/>
      <c r="BI823" s="231" t="str">
        <f>HYPERLINK("#노임!A26","L001010501000111 →")</f>
        <v>L001010501000111 →</v>
      </c>
    </row>
    <row r="824" spans="1:61" ht="24" customHeight="1">
      <c r="A824" s="218" t="s">
        <v>2461</v>
      </c>
      <c r="B824" s="218" t="s">
        <v>2462</v>
      </c>
      <c r="C824" s="229">
        <v>0.28999999999999998</v>
      </c>
      <c r="D824" s="213" t="s">
        <v>1286</v>
      </c>
      <c r="E824" s="217">
        <v>0</v>
      </c>
      <c r="F824" s="217"/>
      <c r="G824" s="217">
        <f>노임!D27</f>
        <v>0</v>
      </c>
      <c r="H824" s="217">
        <f>TRUNC(G824*C824,0)</f>
        <v>0</v>
      </c>
      <c r="I824" s="217">
        <v>0</v>
      </c>
      <c r="J824" s="217"/>
      <c r="K824" s="217">
        <f t="shared" si="86"/>
        <v>0</v>
      </c>
      <c r="L824" s="217">
        <f t="shared" si="85"/>
        <v>0</v>
      </c>
      <c r="M824" s="215" t="s">
        <v>68</v>
      </c>
      <c r="N824" s="212" t="s">
        <v>68</v>
      </c>
      <c r="O824" s="212"/>
      <c r="P824" s="212" t="s">
        <v>1110</v>
      </c>
      <c r="Q824" s="212" t="s">
        <v>68</v>
      </c>
      <c r="R824" s="212" t="s">
        <v>2463</v>
      </c>
      <c r="S824" s="212"/>
      <c r="T824" s="212"/>
      <c r="U824" s="212"/>
      <c r="V824" s="212"/>
      <c r="W824" s="212"/>
      <c r="X824" s="212"/>
      <c r="Y824" s="212"/>
      <c r="Z824" s="212"/>
      <c r="AA824" s="212"/>
      <c r="AB824" s="212"/>
      <c r="AC824" s="212"/>
      <c r="AD824" s="212"/>
      <c r="AE824" s="212"/>
      <c r="AF824" s="212"/>
      <c r="AG824" s="212"/>
      <c r="AH824" s="212"/>
      <c r="AI824" s="212"/>
      <c r="AJ824" s="212"/>
      <c r="AK824" s="212"/>
      <c r="AL824" s="212"/>
      <c r="AM824" s="212"/>
      <c r="AN824" s="212"/>
      <c r="AO824" s="212"/>
      <c r="AP824" s="212"/>
      <c r="AQ824" s="212"/>
      <c r="AR824" s="212"/>
      <c r="AS824" s="212"/>
      <c r="AT824" s="212"/>
      <c r="AU824" s="212"/>
      <c r="AV824" s="212"/>
      <c r="AW824" s="212"/>
      <c r="AX824" s="212"/>
      <c r="AY824" s="212"/>
      <c r="AZ824" s="212"/>
      <c r="BA824" s="212"/>
      <c r="BB824" s="212"/>
      <c r="BC824" s="212"/>
      <c r="BD824" s="212"/>
      <c r="BE824" s="212"/>
      <c r="BF824" s="212"/>
      <c r="BG824" s="212"/>
      <c r="BH824" s="212"/>
      <c r="BI824" s="231" t="str">
        <f>HYPERLINK("#노임!A27","L001010501000112 →")</f>
        <v>L001010501000112 →</v>
      </c>
    </row>
    <row r="825" spans="1:61" ht="24" customHeight="1">
      <c r="A825" s="218" t="s">
        <v>2469</v>
      </c>
      <c r="B825" s="218" t="s">
        <v>68</v>
      </c>
      <c r="C825" s="229"/>
      <c r="D825" s="213" t="s">
        <v>68</v>
      </c>
      <c r="E825" s="213"/>
      <c r="F825" s="217">
        <v>0</v>
      </c>
      <c r="G825" s="213"/>
      <c r="H825" s="217">
        <v>0</v>
      </c>
      <c r="I825" s="213"/>
      <c r="J825" s="217">
        <v>0</v>
      </c>
      <c r="K825" s="217">
        <f t="shared" si="86"/>
        <v>0</v>
      </c>
      <c r="L825" s="217">
        <f t="shared" si="85"/>
        <v>0</v>
      </c>
      <c r="M825" s="215" t="s">
        <v>68</v>
      </c>
      <c r="N825" s="212" t="s">
        <v>68</v>
      </c>
      <c r="O825" s="212"/>
      <c r="P825" s="212" t="s">
        <v>1111</v>
      </c>
      <c r="Q825" s="212" t="s">
        <v>68</v>
      </c>
      <c r="R825" s="212" t="s">
        <v>68</v>
      </c>
      <c r="S825" s="212"/>
      <c r="T825" s="212"/>
      <c r="U825" s="212"/>
      <c r="V825" s="212"/>
      <c r="W825" s="212"/>
      <c r="X825" s="212"/>
      <c r="Y825" s="212"/>
      <c r="Z825" s="212"/>
      <c r="AA825" s="212"/>
      <c r="AB825" s="212"/>
      <c r="AC825" s="212"/>
      <c r="AD825" s="212"/>
      <c r="AE825" s="212"/>
      <c r="AF825" s="212"/>
      <c r="AG825" s="212"/>
      <c r="AH825" s="212"/>
      <c r="AI825" s="212"/>
      <c r="AJ825" s="212"/>
      <c r="AK825" s="212"/>
      <c r="AL825" s="212"/>
      <c r="AM825" s="212"/>
      <c r="AN825" s="212"/>
      <c r="AO825" s="212"/>
      <c r="AP825" s="212"/>
      <c r="AQ825" s="212"/>
      <c r="AR825" s="212"/>
      <c r="AS825" s="212"/>
      <c r="AT825" s="212"/>
      <c r="AU825" s="212"/>
      <c r="AV825" s="212"/>
      <c r="AW825" s="212"/>
      <c r="AX825" s="212"/>
      <c r="AY825" s="212"/>
      <c r="AZ825" s="212"/>
      <c r="BA825" s="212"/>
      <c r="BB825" s="212"/>
      <c r="BC825" s="212"/>
      <c r="BD825" s="212"/>
      <c r="BE825" s="212"/>
      <c r="BF825" s="212"/>
      <c r="BG825" s="212"/>
      <c r="BH825" s="212"/>
      <c r="BI825" s="212"/>
    </row>
    <row r="826" spans="1:61" ht="24" customHeight="1">
      <c r="A826" s="218" t="s">
        <v>2467</v>
      </c>
      <c r="B826" s="218" t="s">
        <v>2462</v>
      </c>
      <c r="C826" s="229">
        <v>0.17</v>
      </c>
      <c r="D826" s="213" t="s">
        <v>1286</v>
      </c>
      <c r="E826" s="217">
        <v>0</v>
      </c>
      <c r="F826" s="217"/>
      <c r="G826" s="217">
        <f>노임!D26</f>
        <v>0</v>
      </c>
      <c r="H826" s="217">
        <f>TRUNC(G826*C826,0)</f>
        <v>0</v>
      </c>
      <c r="I826" s="217">
        <v>0</v>
      </c>
      <c r="J826" s="217"/>
      <c r="K826" s="217">
        <f t="shared" si="86"/>
        <v>0</v>
      </c>
      <c r="L826" s="217">
        <f t="shared" si="85"/>
        <v>0</v>
      </c>
      <c r="M826" s="215" t="s">
        <v>68</v>
      </c>
      <c r="N826" s="212" t="s">
        <v>68</v>
      </c>
      <c r="O826" s="212"/>
      <c r="P826" s="212" t="s">
        <v>1112</v>
      </c>
      <c r="Q826" s="212" t="s">
        <v>68</v>
      </c>
      <c r="R826" s="212" t="s">
        <v>2468</v>
      </c>
      <c r="S826" s="212"/>
      <c r="T826" s="212"/>
      <c r="U826" s="212"/>
      <c r="V826" s="212"/>
      <c r="W826" s="212"/>
      <c r="X826" s="212"/>
      <c r="Y826" s="212"/>
      <c r="Z826" s="212"/>
      <c r="AA826" s="212"/>
      <c r="AB826" s="212"/>
      <c r="AC826" s="212"/>
      <c r="AD826" s="212"/>
      <c r="AE826" s="212"/>
      <c r="AF826" s="212"/>
      <c r="AG826" s="212"/>
      <c r="AH826" s="212"/>
      <c r="AI826" s="212"/>
      <c r="AJ826" s="212"/>
      <c r="AK826" s="212"/>
      <c r="AL826" s="212"/>
      <c r="AM826" s="212"/>
      <c r="AN826" s="212"/>
      <c r="AO826" s="212"/>
      <c r="AP826" s="212"/>
      <c r="AQ826" s="212"/>
      <c r="AR826" s="212"/>
      <c r="AS826" s="212"/>
      <c r="AT826" s="212"/>
      <c r="AU826" s="212"/>
      <c r="AV826" s="212"/>
      <c r="AW826" s="212"/>
      <c r="AX826" s="212"/>
      <c r="AY826" s="212"/>
      <c r="AZ826" s="212"/>
      <c r="BA826" s="212"/>
      <c r="BB826" s="212"/>
      <c r="BC826" s="212"/>
      <c r="BD826" s="212"/>
      <c r="BE826" s="212"/>
      <c r="BF826" s="212"/>
      <c r="BG826" s="212"/>
      <c r="BH826" s="212"/>
      <c r="BI826" s="231" t="str">
        <f>HYPERLINK("#노임!A26","L001010501000111 →")</f>
        <v>L001010501000111 →</v>
      </c>
    </row>
    <row r="827" spans="1:61" ht="24" customHeight="1">
      <c r="A827" s="218" t="s">
        <v>2461</v>
      </c>
      <c r="B827" s="218" t="s">
        <v>2462</v>
      </c>
      <c r="C827" s="229">
        <v>0.17</v>
      </c>
      <c r="D827" s="213" t="s">
        <v>1286</v>
      </c>
      <c r="E827" s="217">
        <v>0</v>
      </c>
      <c r="F827" s="217"/>
      <c r="G827" s="217">
        <f>노임!D27</f>
        <v>0</v>
      </c>
      <c r="H827" s="217">
        <f>TRUNC(G827*C827,0)</f>
        <v>0</v>
      </c>
      <c r="I827" s="217">
        <v>0</v>
      </c>
      <c r="J827" s="217"/>
      <c r="K827" s="217">
        <f t="shared" si="86"/>
        <v>0</v>
      </c>
      <c r="L827" s="217">
        <f t="shared" si="85"/>
        <v>0</v>
      </c>
      <c r="M827" s="215" t="s">
        <v>68</v>
      </c>
      <c r="N827" s="212" t="s">
        <v>68</v>
      </c>
      <c r="O827" s="212"/>
      <c r="P827" s="212" t="s">
        <v>1113</v>
      </c>
      <c r="Q827" s="212" t="s">
        <v>68</v>
      </c>
      <c r="R827" s="212" t="s">
        <v>2463</v>
      </c>
      <c r="S827" s="212"/>
      <c r="T827" s="212"/>
      <c r="U827" s="212"/>
      <c r="V827" s="212"/>
      <c r="W827" s="212"/>
      <c r="X827" s="212"/>
      <c r="Y827" s="212"/>
      <c r="Z827" s="212"/>
      <c r="AA827" s="212"/>
      <c r="AB827" s="212"/>
      <c r="AC827" s="212"/>
      <c r="AD827" s="212"/>
      <c r="AE827" s="212"/>
      <c r="AF827" s="212"/>
      <c r="AG827" s="212"/>
      <c r="AH827" s="212"/>
      <c r="AI827" s="212"/>
      <c r="AJ827" s="212"/>
      <c r="AK827" s="212"/>
      <c r="AL827" s="212"/>
      <c r="AM827" s="212"/>
      <c r="AN827" s="212"/>
      <c r="AO827" s="212"/>
      <c r="AP827" s="212"/>
      <c r="AQ827" s="212"/>
      <c r="AR827" s="212"/>
      <c r="AS827" s="212"/>
      <c r="AT827" s="212"/>
      <c r="AU827" s="212"/>
      <c r="AV827" s="212"/>
      <c r="AW827" s="212"/>
      <c r="AX827" s="212"/>
      <c r="AY827" s="212"/>
      <c r="AZ827" s="212"/>
      <c r="BA827" s="212"/>
      <c r="BB827" s="212"/>
      <c r="BC827" s="212"/>
      <c r="BD827" s="212"/>
      <c r="BE827" s="212"/>
      <c r="BF827" s="212"/>
      <c r="BG827" s="212"/>
      <c r="BH827" s="212"/>
      <c r="BI827" s="231" t="str">
        <f>HYPERLINK("#노임!A27","L001010501000112 →")</f>
        <v>L001010501000112 →</v>
      </c>
    </row>
    <row r="828" spans="1:61" ht="24" customHeight="1">
      <c r="A828" s="215"/>
      <c r="B828" s="215"/>
      <c r="C828" s="229"/>
      <c r="D828" s="213"/>
      <c r="E828" s="213"/>
      <c r="F828" s="213"/>
      <c r="G828" s="213"/>
      <c r="H828" s="213"/>
      <c r="I828" s="213"/>
      <c r="J828" s="213"/>
      <c r="K828" s="213"/>
      <c r="L828" s="213"/>
      <c r="M828" s="215"/>
      <c r="N828" s="212"/>
      <c r="O828" s="212"/>
      <c r="P828" s="212"/>
      <c r="Q828" s="212"/>
      <c r="R828" s="212"/>
      <c r="S828" s="212"/>
      <c r="T828" s="212"/>
      <c r="U828" s="212"/>
      <c r="V828" s="212"/>
      <c r="W828" s="212"/>
      <c r="X828" s="212"/>
      <c r="Y828" s="212"/>
      <c r="Z828" s="212"/>
      <c r="AA828" s="212"/>
      <c r="AB828" s="212"/>
      <c r="AC828" s="212"/>
      <c r="AD828" s="212"/>
      <c r="AE828" s="212"/>
      <c r="AF828" s="212"/>
      <c r="AG828" s="212"/>
      <c r="AH828" s="212"/>
      <c r="AI828" s="212"/>
      <c r="AJ828" s="212"/>
      <c r="AK828" s="212"/>
      <c r="AL828" s="212"/>
      <c r="AM828" s="212"/>
      <c r="AN828" s="212"/>
      <c r="AO828" s="212"/>
      <c r="AP828" s="212"/>
      <c r="AQ828" s="212"/>
      <c r="AR828" s="212"/>
      <c r="AS828" s="212"/>
      <c r="AT828" s="212"/>
      <c r="AU828" s="212"/>
      <c r="AV828" s="212"/>
      <c r="AW828" s="212"/>
      <c r="AX828" s="212"/>
      <c r="AY828" s="212"/>
      <c r="AZ828" s="212"/>
      <c r="BA828" s="212"/>
      <c r="BB828" s="212"/>
      <c r="BC828" s="212"/>
      <c r="BD828" s="212"/>
      <c r="BE828" s="212"/>
      <c r="BF828" s="212"/>
      <c r="BG828" s="212"/>
      <c r="BH828" s="212"/>
      <c r="BI828" s="212"/>
    </row>
    <row r="829" spans="1:61" ht="24" customHeight="1">
      <c r="A829" s="218" t="s">
        <v>2470</v>
      </c>
      <c r="B829" s="218" t="s">
        <v>1888</v>
      </c>
      <c r="C829" s="228">
        <v>1</v>
      </c>
      <c r="D829" s="213" t="s">
        <v>9</v>
      </c>
      <c r="E829" s="212"/>
      <c r="F829" s="217">
        <f>TRUNC(F830+F831+F832+F833,0)</f>
        <v>0</v>
      </c>
      <c r="G829" s="212"/>
      <c r="H829" s="217">
        <f>TRUNC(H830+H831+H832+H833,0)</f>
        <v>0</v>
      </c>
      <c r="I829" s="212"/>
      <c r="J829" s="217">
        <f>TRUNC(J830+J831+J832+J833,0)</f>
        <v>0</v>
      </c>
      <c r="K829" s="212"/>
      <c r="L829" s="217">
        <f>F829+H829+J829</f>
        <v>0</v>
      </c>
      <c r="M829" s="215" t="s">
        <v>1889</v>
      </c>
      <c r="N829" s="212" t="s">
        <v>68</v>
      </c>
      <c r="O829" s="212" t="s">
        <v>1559</v>
      </c>
      <c r="P829" s="212"/>
      <c r="Q829" s="212"/>
      <c r="R829" s="212"/>
      <c r="S829" s="212"/>
      <c r="T829" s="212"/>
      <c r="U829" s="212"/>
      <c r="V829" s="212"/>
      <c r="W829" s="212"/>
      <c r="X829" s="212"/>
      <c r="Y829" s="212"/>
      <c r="Z829" s="212"/>
      <c r="AA829" s="212"/>
      <c r="AB829" s="212"/>
      <c r="AC829" s="212"/>
      <c r="AD829" s="212"/>
      <c r="AE829" s="212"/>
      <c r="AF829" s="212"/>
      <c r="AG829" s="212"/>
      <c r="AH829" s="212"/>
      <c r="AI829" s="212"/>
      <c r="AJ829" s="212"/>
      <c r="AK829" s="212"/>
      <c r="AL829" s="212"/>
      <c r="AM829" s="212"/>
      <c r="AN829" s="212"/>
      <c r="AO829" s="212"/>
      <c r="AP829" s="212"/>
      <c r="AQ829" s="212"/>
      <c r="AR829" s="212"/>
      <c r="AS829" s="212"/>
      <c r="AT829" s="212"/>
      <c r="AU829" s="212"/>
      <c r="AV829" s="212"/>
      <c r="AW829" s="212"/>
      <c r="AX829" s="212"/>
      <c r="AY829" s="212"/>
      <c r="AZ829" s="212"/>
      <c r="BA829" s="212"/>
      <c r="BB829" s="212"/>
      <c r="BC829" s="212"/>
      <c r="BD829" s="212"/>
      <c r="BE829" s="212"/>
      <c r="BF829" s="212"/>
      <c r="BG829" s="212"/>
      <c r="BH829" s="212"/>
      <c r="BI829" s="212"/>
    </row>
    <row r="830" spans="1:61" ht="24" customHeight="1">
      <c r="A830" s="218" t="s">
        <v>2439</v>
      </c>
      <c r="B830" s="218" t="s">
        <v>2440</v>
      </c>
      <c r="C830" s="229">
        <v>0.02</v>
      </c>
      <c r="D830" s="213" t="s">
        <v>15</v>
      </c>
      <c r="E830" s="217">
        <f>자재조서!E13</f>
        <v>0</v>
      </c>
      <c r="F830" s="217">
        <f>TRUNC(E830*C830,0)</f>
        <v>0</v>
      </c>
      <c r="G830" s="217">
        <v>0</v>
      </c>
      <c r="H830" s="217"/>
      <c r="I830" s="217">
        <v>0</v>
      </c>
      <c r="J830" s="217"/>
      <c r="K830" s="217">
        <f>E830+G830+I830</f>
        <v>0</v>
      </c>
      <c r="L830" s="217">
        <f>F830+H830+J830</f>
        <v>0</v>
      </c>
      <c r="M830" s="215" t="s">
        <v>68</v>
      </c>
      <c r="N830" s="212" t="s">
        <v>68</v>
      </c>
      <c r="O830" s="212"/>
      <c r="P830" s="212" t="s">
        <v>2245</v>
      </c>
      <c r="Q830" s="212" t="s">
        <v>68</v>
      </c>
      <c r="R830" s="212" t="s">
        <v>2441</v>
      </c>
      <c r="S830" s="212"/>
      <c r="T830" s="212"/>
      <c r="U830" s="212"/>
      <c r="V830" s="212"/>
      <c r="W830" s="212"/>
      <c r="X830" s="212"/>
      <c r="Y830" s="212"/>
      <c r="Z830" s="212"/>
      <c r="AA830" s="212"/>
      <c r="AB830" s="212"/>
      <c r="AC830" s="212"/>
      <c r="AD830" s="212"/>
      <c r="AE830" s="212"/>
      <c r="AF830" s="212"/>
      <c r="AG830" s="212"/>
      <c r="AH830" s="212"/>
      <c r="AI830" s="212"/>
      <c r="AJ830" s="212"/>
      <c r="AK830" s="212"/>
      <c r="AL830" s="212"/>
      <c r="AM830" s="212"/>
      <c r="AN830" s="212"/>
      <c r="AO830" s="212"/>
      <c r="AP830" s="212"/>
      <c r="AQ830" s="212"/>
      <c r="AR830" s="212"/>
      <c r="AS830" s="212"/>
      <c r="AT830" s="212"/>
      <c r="AU830" s="212"/>
      <c r="AV830" s="212"/>
      <c r="AW830" s="212"/>
      <c r="AX830" s="212"/>
      <c r="AY830" s="212"/>
      <c r="AZ830" s="212"/>
      <c r="BA830" s="212"/>
      <c r="BB830" s="212"/>
      <c r="BC830" s="212"/>
      <c r="BD830" s="212"/>
      <c r="BE830" s="212"/>
      <c r="BF830" s="212"/>
      <c r="BG830" s="212"/>
      <c r="BH830" s="212"/>
      <c r="BI830" s="231" t="str">
        <f>HYPERLINK("#자재조서!A13","M0882021 →")</f>
        <v>M0882021 →</v>
      </c>
    </row>
    <row r="831" spans="1:61" ht="24" customHeight="1">
      <c r="A831" s="218" t="s">
        <v>1967</v>
      </c>
      <c r="B831" s="218" t="s">
        <v>1946</v>
      </c>
      <c r="C831" s="229">
        <v>5.2999999999999999E-2</v>
      </c>
      <c r="D831" s="213" t="s">
        <v>1286</v>
      </c>
      <c r="E831" s="217">
        <v>0</v>
      </c>
      <c r="F831" s="217"/>
      <c r="G831" s="217">
        <f>노임!D3</f>
        <v>0</v>
      </c>
      <c r="H831" s="217">
        <f>TRUNC(G831*C831,0)</f>
        <v>0</v>
      </c>
      <c r="I831" s="217">
        <v>0</v>
      </c>
      <c r="J831" s="217"/>
      <c r="K831" s="217">
        <f>E831+G831+I831</f>
        <v>0</v>
      </c>
      <c r="L831" s="217">
        <f>F831+H831+J831</f>
        <v>0</v>
      </c>
      <c r="M831" s="215" t="s">
        <v>68</v>
      </c>
      <c r="N831" s="212" t="s">
        <v>68</v>
      </c>
      <c r="O831" s="212"/>
      <c r="P831" s="212" t="s">
        <v>1095</v>
      </c>
      <c r="Q831" s="212" t="s">
        <v>68</v>
      </c>
      <c r="R831" s="212" t="s">
        <v>1968</v>
      </c>
      <c r="S831" s="212"/>
      <c r="T831" s="212"/>
      <c r="U831" s="212"/>
      <c r="V831" s="212"/>
      <c r="W831" s="212"/>
      <c r="X831" s="212"/>
      <c r="Y831" s="212"/>
      <c r="Z831" s="212"/>
      <c r="AA831" s="212"/>
      <c r="AB831" s="212"/>
      <c r="AC831" s="212"/>
      <c r="AD831" s="212"/>
      <c r="AE831" s="212"/>
      <c r="AF831" s="212"/>
      <c r="AG831" s="212"/>
      <c r="AH831" s="212"/>
      <c r="AI831" s="212"/>
      <c r="AJ831" s="212"/>
      <c r="AK831" s="212"/>
      <c r="AL831" s="212"/>
      <c r="AM831" s="212"/>
      <c r="AN831" s="212"/>
      <c r="AO831" s="212"/>
      <c r="AP831" s="212"/>
      <c r="AQ831" s="212"/>
      <c r="AR831" s="212"/>
      <c r="AS831" s="212"/>
      <c r="AT831" s="212"/>
      <c r="AU831" s="212"/>
      <c r="AV831" s="212"/>
      <c r="AW831" s="212"/>
      <c r="AX831" s="212"/>
      <c r="AY831" s="212"/>
      <c r="AZ831" s="212"/>
      <c r="BA831" s="212"/>
      <c r="BB831" s="212"/>
      <c r="BC831" s="212"/>
      <c r="BD831" s="212"/>
      <c r="BE831" s="212"/>
      <c r="BF831" s="212"/>
      <c r="BG831" s="212"/>
      <c r="BH831" s="212"/>
      <c r="BI831" s="231" t="str">
        <f>HYPERLINK("#노임!A3","L001010101000002 →")</f>
        <v>L001010101000002 →</v>
      </c>
    </row>
    <row r="832" spans="1:61" ht="24" customHeight="1">
      <c r="A832" s="218" t="s">
        <v>1967</v>
      </c>
      <c r="B832" s="218" t="s">
        <v>1946</v>
      </c>
      <c r="C832" s="229">
        <v>1.2999999999999999E-2</v>
      </c>
      <c r="D832" s="213" t="s">
        <v>1286</v>
      </c>
      <c r="E832" s="217">
        <v>0</v>
      </c>
      <c r="F832" s="217"/>
      <c r="G832" s="217">
        <f>노임!D3</f>
        <v>0</v>
      </c>
      <c r="H832" s="217">
        <f>TRUNC(G832*C832,0)</f>
        <v>0</v>
      </c>
      <c r="I832" s="217">
        <v>0</v>
      </c>
      <c r="J832" s="217"/>
      <c r="K832" s="217">
        <f>E832+G832+I832</f>
        <v>0</v>
      </c>
      <c r="L832" s="217">
        <f>F832+H832+J832</f>
        <v>0</v>
      </c>
      <c r="M832" s="215" t="s">
        <v>68</v>
      </c>
      <c r="N832" s="212" t="s">
        <v>68</v>
      </c>
      <c r="O832" s="212"/>
      <c r="P832" s="212" t="s">
        <v>1098</v>
      </c>
      <c r="Q832" s="212" t="s">
        <v>68</v>
      </c>
      <c r="R832" s="212" t="s">
        <v>1968</v>
      </c>
      <c r="S832" s="212"/>
      <c r="T832" s="212"/>
      <c r="U832" s="212"/>
      <c r="V832" s="212"/>
      <c r="W832" s="212"/>
      <c r="X832" s="212"/>
      <c r="Y832" s="212"/>
      <c r="Z832" s="212"/>
      <c r="AA832" s="220" t="s">
        <v>1955</v>
      </c>
      <c r="AB832" s="212">
        <f>(호표!H831+호표!H832)*0.04</f>
        <v>0</v>
      </c>
      <c r="AC832" s="220" t="s">
        <v>1956</v>
      </c>
      <c r="AD832" s="212">
        <f>$AB832</f>
        <v>0</v>
      </c>
      <c r="AE832" s="212"/>
      <c r="AF832" s="212"/>
      <c r="AG832" s="212"/>
      <c r="AH832" s="212"/>
      <c r="AI832" s="212"/>
      <c r="AJ832" s="212"/>
      <c r="AK832" s="212"/>
      <c r="AL832" s="212"/>
      <c r="AM832" s="212"/>
      <c r="AN832" s="212"/>
      <c r="AO832" s="212"/>
      <c r="AP832" s="212"/>
      <c r="AQ832" s="212"/>
      <c r="AR832" s="212"/>
      <c r="AS832" s="212"/>
      <c r="AT832" s="212"/>
      <c r="AU832" s="212"/>
      <c r="AV832" s="212"/>
      <c r="AW832" s="212"/>
      <c r="AX832" s="212"/>
      <c r="AY832" s="212"/>
      <c r="AZ832" s="212"/>
      <c r="BA832" s="212"/>
      <c r="BB832" s="212"/>
      <c r="BC832" s="212"/>
      <c r="BD832" s="212"/>
      <c r="BE832" s="212"/>
      <c r="BF832" s="212"/>
      <c r="BG832" s="212"/>
      <c r="BH832" s="212"/>
      <c r="BI832" s="231" t="str">
        <f>HYPERLINK("#노임!A3","L001010101000002 →")</f>
        <v>L001010101000002 →</v>
      </c>
    </row>
    <row r="833" spans="1:61" ht="24" customHeight="1">
      <c r="A833" s="218" t="s">
        <v>1974</v>
      </c>
      <c r="B833" s="218" t="s">
        <v>2149</v>
      </c>
      <c r="C833" s="228">
        <v>4</v>
      </c>
      <c r="D833" s="213" t="s">
        <v>1950</v>
      </c>
      <c r="E833" s="213"/>
      <c r="F833" s="217">
        <v>0</v>
      </c>
      <c r="G833" s="213"/>
      <c r="H833" s="217">
        <v>0</v>
      </c>
      <c r="I833" s="213"/>
      <c r="J833" s="217">
        <f>TRUNC(((H831+H832)*0.04),0)</f>
        <v>0</v>
      </c>
      <c r="K833" s="217">
        <f>E833+G833+I833</f>
        <v>0</v>
      </c>
      <c r="L833" s="217">
        <f>F833+H833+J833</f>
        <v>0</v>
      </c>
      <c r="M833" s="215" t="s">
        <v>68</v>
      </c>
      <c r="N833" s="212" t="s">
        <v>68</v>
      </c>
      <c r="O833" s="212"/>
      <c r="P833" s="212" t="s">
        <v>1101</v>
      </c>
      <c r="Q833" s="212" t="s">
        <v>68</v>
      </c>
      <c r="R833" s="212" t="s">
        <v>1121</v>
      </c>
      <c r="S833" s="212"/>
      <c r="T833" s="212"/>
      <c r="U833" s="212"/>
      <c r="V833" s="212"/>
      <c r="W833" s="212"/>
      <c r="X833" s="212" t="s">
        <v>2471</v>
      </c>
      <c r="Y833" s="212"/>
      <c r="Z833" s="212"/>
      <c r="AA833" s="212"/>
      <c r="AB833" s="212"/>
      <c r="AC833" s="212"/>
      <c r="AD833" s="212"/>
      <c r="AE833" s="212"/>
      <c r="AF833" s="212"/>
      <c r="AG833" s="212"/>
      <c r="AH833" s="212"/>
      <c r="AI833" s="212"/>
      <c r="AJ833" s="212"/>
      <c r="AK833" s="212"/>
      <c r="AL833" s="212"/>
      <c r="AM833" s="212"/>
      <c r="AN833" s="212"/>
      <c r="AO833" s="212"/>
      <c r="AP833" s="212"/>
      <c r="AQ833" s="212"/>
      <c r="AR833" s="212"/>
      <c r="AS833" s="212"/>
      <c r="AT833" s="212"/>
      <c r="AU833" s="212"/>
      <c r="AV833" s="212"/>
      <c r="AW833" s="212"/>
      <c r="AX833" s="212"/>
      <c r="AY833" s="212"/>
      <c r="AZ833" s="212"/>
      <c r="BA833" s="212"/>
      <c r="BB833" s="212"/>
      <c r="BC833" s="212"/>
      <c r="BD833" s="212"/>
      <c r="BE833" s="212"/>
      <c r="BF833" s="212"/>
      <c r="BG833" s="212"/>
      <c r="BH833" s="212"/>
      <c r="BI833" s="212"/>
    </row>
    <row r="834" spans="1:61" ht="24" customHeight="1">
      <c r="A834" s="215"/>
      <c r="B834" s="215"/>
      <c r="C834" s="229"/>
      <c r="D834" s="213"/>
      <c r="E834" s="213"/>
      <c r="F834" s="213"/>
      <c r="G834" s="213"/>
      <c r="H834" s="213"/>
      <c r="I834" s="213"/>
      <c r="J834" s="213"/>
      <c r="K834" s="213"/>
      <c r="L834" s="213"/>
      <c r="M834" s="215"/>
      <c r="N834" s="212"/>
      <c r="O834" s="212"/>
      <c r="P834" s="212"/>
      <c r="Q834" s="212"/>
      <c r="R834" s="212"/>
      <c r="S834" s="212"/>
      <c r="T834" s="212"/>
      <c r="U834" s="212"/>
      <c r="V834" s="212"/>
      <c r="W834" s="212"/>
      <c r="X834" s="212"/>
      <c r="Y834" s="212"/>
      <c r="Z834" s="212"/>
      <c r="AA834" s="212"/>
      <c r="AB834" s="212"/>
      <c r="AC834" s="212"/>
      <c r="AD834" s="212"/>
      <c r="AE834" s="212"/>
      <c r="AF834" s="212"/>
      <c r="AG834" s="212"/>
      <c r="AH834" s="212"/>
      <c r="AI834" s="212"/>
      <c r="AJ834" s="212"/>
      <c r="AK834" s="212"/>
      <c r="AL834" s="212"/>
      <c r="AM834" s="212"/>
      <c r="AN834" s="212"/>
      <c r="AO834" s="212"/>
      <c r="AP834" s="212"/>
      <c r="AQ834" s="212"/>
      <c r="AR834" s="212"/>
      <c r="AS834" s="212"/>
      <c r="AT834" s="212"/>
      <c r="AU834" s="212"/>
      <c r="AV834" s="212"/>
      <c r="AW834" s="212"/>
      <c r="AX834" s="212"/>
      <c r="AY834" s="212"/>
      <c r="AZ834" s="212"/>
      <c r="BA834" s="212"/>
      <c r="BB834" s="212"/>
      <c r="BC834" s="212"/>
      <c r="BD834" s="212"/>
      <c r="BE834" s="212"/>
      <c r="BF834" s="212"/>
      <c r="BG834" s="212"/>
      <c r="BH834" s="212"/>
      <c r="BI834" s="212"/>
    </row>
    <row r="835" spans="1:61" ht="24" customHeight="1">
      <c r="A835" s="218" t="s">
        <v>2472</v>
      </c>
      <c r="B835" s="218" t="s">
        <v>1561</v>
      </c>
      <c r="C835" s="228">
        <v>1</v>
      </c>
      <c r="D835" s="213" t="s">
        <v>9</v>
      </c>
      <c r="E835" s="212"/>
      <c r="F835" s="217">
        <f>TRUNC(F836+F837+F838+F839,0)</f>
        <v>0</v>
      </c>
      <c r="G835" s="212"/>
      <c r="H835" s="217">
        <f>TRUNC(H836+H837+H838+H839,0)</f>
        <v>0</v>
      </c>
      <c r="I835" s="212"/>
      <c r="J835" s="217">
        <f>TRUNC(J836+J837+J838+J839,0)</f>
        <v>0</v>
      </c>
      <c r="K835" s="212"/>
      <c r="L835" s="217">
        <f>F835+H835+J835</f>
        <v>0</v>
      </c>
      <c r="M835" s="215" t="s">
        <v>1891</v>
      </c>
      <c r="N835" s="212" t="s">
        <v>68</v>
      </c>
      <c r="O835" s="212" t="s">
        <v>1562</v>
      </c>
      <c r="P835" s="212"/>
      <c r="Q835" s="212"/>
      <c r="R835" s="212"/>
      <c r="S835" s="212"/>
      <c r="T835" s="212"/>
      <c r="U835" s="212"/>
      <c r="V835" s="212"/>
      <c r="W835" s="212"/>
      <c r="X835" s="212"/>
      <c r="Y835" s="212"/>
      <c r="Z835" s="212"/>
      <c r="AA835" s="212"/>
      <c r="AB835" s="212"/>
      <c r="AC835" s="212"/>
      <c r="AD835" s="212"/>
      <c r="AE835" s="212"/>
      <c r="AF835" s="212"/>
      <c r="AG835" s="212"/>
      <c r="AH835" s="212"/>
      <c r="AI835" s="212"/>
      <c r="AJ835" s="212"/>
      <c r="AK835" s="212"/>
      <c r="AL835" s="212"/>
      <c r="AM835" s="212"/>
      <c r="AN835" s="212"/>
      <c r="AO835" s="212"/>
      <c r="AP835" s="212"/>
      <c r="AQ835" s="212"/>
      <c r="AR835" s="212"/>
      <c r="AS835" s="212"/>
      <c r="AT835" s="212"/>
      <c r="AU835" s="212"/>
      <c r="AV835" s="212"/>
      <c r="AW835" s="212"/>
      <c r="AX835" s="212"/>
      <c r="AY835" s="212"/>
      <c r="AZ835" s="212"/>
      <c r="BA835" s="212"/>
      <c r="BB835" s="212"/>
      <c r="BC835" s="212"/>
      <c r="BD835" s="212"/>
      <c r="BE835" s="212"/>
      <c r="BF835" s="212"/>
      <c r="BG835" s="212"/>
      <c r="BH835" s="212"/>
      <c r="BI835" s="212"/>
    </row>
    <row r="836" spans="1:61" ht="24" customHeight="1">
      <c r="A836" s="218" t="s">
        <v>2303</v>
      </c>
      <c r="B836" s="218" t="s">
        <v>2473</v>
      </c>
      <c r="C836" s="229">
        <v>1.05</v>
      </c>
      <c r="D836" s="213" t="s">
        <v>9</v>
      </c>
      <c r="E836" s="217">
        <f>자재조서!E24</f>
        <v>0</v>
      </c>
      <c r="F836" s="217">
        <f>TRUNC(E836*C836,0)</f>
        <v>0</v>
      </c>
      <c r="G836" s="217">
        <v>0</v>
      </c>
      <c r="H836" s="217"/>
      <c r="I836" s="217">
        <v>0</v>
      </c>
      <c r="J836" s="217"/>
      <c r="K836" s="217">
        <f>E836+G836+I836</f>
        <v>0</v>
      </c>
      <c r="L836" s="217">
        <f>F836+H836+J836</f>
        <v>0</v>
      </c>
      <c r="M836" s="215" t="s">
        <v>68</v>
      </c>
      <c r="N836" s="212" t="s">
        <v>68</v>
      </c>
      <c r="O836" s="212"/>
      <c r="P836" s="212" t="s">
        <v>2245</v>
      </c>
      <c r="Q836" s="212" t="s">
        <v>68</v>
      </c>
      <c r="R836" s="212" t="s">
        <v>2474</v>
      </c>
      <c r="S836" s="212"/>
      <c r="T836" s="212"/>
      <c r="U836" s="212"/>
      <c r="V836" s="212"/>
      <c r="W836" s="212"/>
      <c r="X836" s="212"/>
      <c r="Y836" s="212"/>
      <c r="Z836" s="212"/>
      <c r="AA836" s="212"/>
      <c r="AB836" s="212"/>
      <c r="AC836" s="212"/>
      <c r="AD836" s="212"/>
      <c r="AE836" s="212"/>
      <c r="AF836" s="212"/>
      <c r="AG836" s="212"/>
      <c r="AH836" s="212"/>
      <c r="AI836" s="212"/>
      <c r="AJ836" s="212"/>
      <c r="AK836" s="212"/>
      <c r="AL836" s="212"/>
      <c r="AM836" s="212"/>
      <c r="AN836" s="212"/>
      <c r="AO836" s="212"/>
      <c r="AP836" s="212"/>
      <c r="AQ836" s="212"/>
      <c r="AR836" s="212"/>
      <c r="AS836" s="212"/>
      <c r="AT836" s="212"/>
      <c r="AU836" s="212"/>
      <c r="AV836" s="212"/>
      <c r="AW836" s="212"/>
      <c r="AX836" s="212"/>
      <c r="AY836" s="212"/>
      <c r="AZ836" s="212"/>
      <c r="BA836" s="212"/>
      <c r="BB836" s="212"/>
      <c r="BC836" s="212"/>
      <c r="BD836" s="212"/>
      <c r="BE836" s="212"/>
      <c r="BF836" s="212"/>
      <c r="BG836" s="212"/>
      <c r="BH836" s="212"/>
      <c r="BI836" s="231" t="str">
        <f>HYPERLINK("#자재조서!A24","M4329011 →")</f>
        <v>M4329011 →</v>
      </c>
    </row>
    <row r="837" spans="1:61" ht="24" customHeight="1">
      <c r="A837" s="218" t="s">
        <v>2121</v>
      </c>
      <c r="B837" s="218" t="s">
        <v>1946</v>
      </c>
      <c r="C837" s="229">
        <v>2.5999999999999999E-2</v>
      </c>
      <c r="D837" s="213" t="s">
        <v>1286</v>
      </c>
      <c r="E837" s="217">
        <v>0</v>
      </c>
      <c r="F837" s="217"/>
      <c r="G837" s="217">
        <f>노임!D12</f>
        <v>0</v>
      </c>
      <c r="H837" s="217">
        <f>TRUNC(G837*C837,0)</f>
        <v>0</v>
      </c>
      <c r="I837" s="217">
        <v>0</v>
      </c>
      <c r="J837" s="217"/>
      <c r="K837" s="217">
        <f>E837+G837+I837</f>
        <v>0</v>
      </c>
      <c r="L837" s="217">
        <f>F837+H837+J837</f>
        <v>0</v>
      </c>
      <c r="M837" s="215" t="s">
        <v>68</v>
      </c>
      <c r="N837" s="212" t="s">
        <v>68</v>
      </c>
      <c r="O837" s="212"/>
      <c r="P837" s="212" t="s">
        <v>1095</v>
      </c>
      <c r="Q837" s="212" t="s">
        <v>68</v>
      </c>
      <c r="R837" s="212" t="s">
        <v>2122</v>
      </c>
      <c r="S837" s="212"/>
      <c r="T837" s="212"/>
      <c r="U837" s="212"/>
      <c r="V837" s="212"/>
      <c r="W837" s="212"/>
      <c r="X837" s="212"/>
      <c r="Y837" s="212"/>
      <c r="Z837" s="212"/>
      <c r="AA837" s="212"/>
      <c r="AB837" s="212"/>
      <c r="AC837" s="212"/>
      <c r="AD837" s="212"/>
      <c r="AE837" s="212"/>
      <c r="AF837" s="212"/>
      <c r="AG837" s="212"/>
      <c r="AH837" s="212"/>
      <c r="AI837" s="212"/>
      <c r="AJ837" s="212"/>
      <c r="AK837" s="212"/>
      <c r="AL837" s="212"/>
      <c r="AM837" s="212"/>
      <c r="AN837" s="212"/>
      <c r="AO837" s="212"/>
      <c r="AP837" s="212"/>
      <c r="AQ837" s="212"/>
      <c r="AR837" s="212"/>
      <c r="AS837" s="212"/>
      <c r="AT837" s="212"/>
      <c r="AU837" s="212"/>
      <c r="AV837" s="212"/>
      <c r="AW837" s="212"/>
      <c r="AX837" s="212"/>
      <c r="AY837" s="212"/>
      <c r="AZ837" s="212"/>
      <c r="BA837" s="212"/>
      <c r="BB837" s="212"/>
      <c r="BC837" s="212"/>
      <c r="BD837" s="212"/>
      <c r="BE837" s="212"/>
      <c r="BF837" s="212"/>
      <c r="BG837" s="212"/>
      <c r="BH837" s="212"/>
      <c r="BI837" s="231" t="str">
        <f>HYPERLINK("#노임!A12","L001010101000023 →")</f>
        <v>L001010101000023 →</v>
      </c>
    </row>
    <row r="838" spans="1:61" ht="24" customHeight="1">
      <c r="A838" s="218" t="s">
        <v>1967</v>
      </c>
      <c r="B838" s="218" t="s">
        <v>1946</v>
      </c>
      <c r="C838" s="229">
        <v>6.0000000000000001E-3</v>
      </c>
      <c r="D838" s="213" t="s">
        <v>1286</v>
      </c>
      <c r="E838" s="217">
        <v>0</v>
      </c>
      <c r="F838" s="217"/>
      <c r="G838" s="217">
        <f>노임!D3</f>
        <v>0</v>
      </c>
      <c r="H838" s="217">
        <f>TRUNC(G838*C838,0)</f>
        <v>0</v>
      </c>
      <c r="I838" s="217">
        <v>0</v>
      </c>
      <c r="J838" s="217"/>
      <c r="K838" s="217">
        <f>E838+G838+I838</f>
        <v>0</v>
      </c>
      <c r="L838" s="217">
        <f>F838+H838+J838</f>
        <v>0</v>
      </c>
      <c r="M838" s="215" t="s">
        <v>68</v>
      </c>
      <c r="N838" s="212" t="s">
        <v>68</v>
      </c>
      <c r="O838" s="212"/>
      <c r="P838" s="212" t="s">
        <v>1098</v>
      </c>
      <c r="Q838" s="212" t="s">
        <v>68</v>
      </c>
      <c r="R838" s="212" t="s">
        <v>1968</v>
      </c>
      <c r="S838" s="212"/>
      <c r="T838" s="212"/>
      <c r="U838" s="212"/>
      <c r="V838" s="212"/>
      <c r="W838" s="212"/>
      <c r="X838" s="212"/>
      <c r="Y838" s="212"/>
      <c r="Z838" s="212"/>
      <c r="AA838" s="220" t="s">
        <v>1955</v>
      </c>
      <c r="AB838" s="212">
        <f>(호표!H837+호표!H838)*0.04</f>
        <v>0</v>
      </c>
      <c r="AC838" s="220" t="s">
        <v>1956</v>
      </c>
      <c r="AD838" s="212">
        <f>$AB838</f>
        <v>0</v>
      </c>
      <c r="AE838" s="212"/>
      <c r="AF838" s="212"/>
      <c r="AG838" s="212"/>
      <c r="AH838" s="212"/>
      <c r="AI838" s="212"/>
      <c r="AJ838" s="212"/>
      <c r="AK838" s="212"/>
      <c r="AL838" s="212"/>
      <c r="AM838" s="212"/>
      <c r="AN838" s="212"/>
      <c r="AO838" s="212"/>
      <c r="AP838" s="212"/>
      <c r="AQ838" s="212"/>
      <c r="AR838" s="212"/>
      <c r="AS838" s="212"/>
      <c r="AT838" s="212"/>
      <c r="AU838" s="212"/>
      <c r="AV838" s="212"/>
      <c r="AW838" s="212"/>
      <c r="AX838" s="212"/>
      <c r="AY838" s="212"/>
      <c r="AZ838" s="212"/>
      <c r="BA838" s="212"/>
      <c r="BB838" s="212"/>
      <c r="BC838" s="212"/>
      <c r="BD838" s="212"/>
      <c r="BE838" s="212"/>
      <c r="BF838" s="212"/>
      <c r="BG838" s="212"/>
      <c r="BH838" s="212"/>
      <c r="BI838" s="231" t="str">
        <f>HYPERLINK("#노임!A3","L001010101000002 →")</f>
        <v>L001010101000002 →</v>
      </c>
    </row>
    <row r="839" spans="1:61" ht="24" customHeight="1">
      <c r="A839" s="218" t="s">
        <v>1974</v>
      </c>
      <c r="B839" s="218" t="s">
        <v>2149</v>
      </c>
      <c r="C839" s="228">
        <v>4</v>
      </c>
      <c r="D839" s="213" t="s">
        <v>1950</v>
      </c>
      <c r="E839" s="213"/>
      <c r="F839" s="217">
        <v>0</v>
      </c>
      <c r="G839" s="213"/>
      <c r="H839" s="217">
        <v>0</v>
      </c>
      <c r="I839" s="213"/>
      <c r="J839" s="217">
        <f>TRUNC(((H837+H838)*0.04),0)</f>
        <v>0</v>
      </c>
      <c r="K839" s="217">
        <f>E839+G839+I839</f>
        <v>0</v>
      </c>
      <c r="L839" s="217">
        <f>F839+H839+J839</f>
        <v>0</v>
      </c>
      <c r="M839" s="215" t="s">
        <v>68</v>
      </c>
      <c r="N839" s="212" t="s">
        <v>68</v>
      </c>
      <c r="O839" s="212"/>
      <c r="P839" s="212" t="s">
        <v>1101</v>
      </c>
      <c r="Q839" s="212" t="s">
        <v>68</v>
      </c>
      <c r="R839" s="212" t="s">
        <v>1121</v>
      </c>
      <c r="S839" s="212"/>
      <c r="T839" s="212"/>
      <c r="U839" s="212"/>
      <c r="V839" s="212"/>
      <c r="W839" s="212"/>
      <c r="X839" s="212" t="s">
        <v>2471</v>
      </c>
      <c r="Y839" s="212"/>
      <c r="Z839" s="212"/>
      <c r="AA839" s="212"/>
      <c r="AB839" s="212"/>
      <c r="AC839" s="212"/>
      <c r="AD839" s="212"/>
      <c r="AE839" s="212"/>
      <c r="AF839" s="212"/>
      <c r="AG839" s="212"/>
      <c r="AH839" s="212"/>
      <c r="AI839" s="212"/>
      <c r="AJ839" s="212"/>
      <c r="AK839" s="212"/>
      <c r="AL839" s="212"/>
      <c r="AM839" s="212"/>
      <c r="AN839" s="212"/>
      <c r="AO839" s="212"/>
      <c r="AP839" s="212"/>
      <c r="AQ839" s="212"/>
      <c r="AR839" s="212"/>
      <c r="AS839" s="212"/>
      <c r="AT839" s="212"/>
      <c r="AU839" s="212"/>
      <c r="AV839" s="212"/>
      <c r="AW839" s="212"/>
      <c r="AX839" s="212"/>
      <c r="AY839" s="212"/>
      <c r="AZ839" s="212"/>
      <c r="BA839" s="212"/>
      <c r="BB839" s="212"/>
      <c r="BC839" s="212"/>
      <c r="BD839" s="212"/>
      <c r="BE839" s="212"/>
      <c r="BF839" s="212"/>
      <c r="BG839" s="212"/>
      <c r="BH839" s="212"/>
      <c r="BI839" s="212"/>
    </row>
    <row r="840" spans="1:61" ht="24" customHeight="1">
      <c r="A840" s="215"/>
      <c r="B840" s="215"/>
      <c r="C840" s="229"/>
      <c r="D840" s="213"/>
      <c r="E840" s="213"/>
      <c r="F840" s="213"/>
      <c r="G840" s="213"/>
      <c r="H840" s="213"/>
      <c r="I840" s="213"/>
      <c r="J840" s="213"/>
      <c r="K840" s="213"/>
      <c r="L840" s="213"/>
      <c r="M840" s="215"/>
      <c r="N840" s="212"/>
      <c r="O840" s="212"/>
      <c r="P840" s="212"/>
      <c r="Q840" s="212"/>
      <c r="R840" s="212"/>
      <c r="S840" s="212"/>
      <c r="T840" s="212"/>
      <c r="U840" s="212"/>
      <c r="V840" s="212"/>
      <c r="W840" s="212"/>
      <c r="X840" s="212"/>
      <c r="Y840" s="212"/>
      <c r="Z840" s="212"/>
      <c r="AA840" s="212"/>
      <c r="AB840" s="212"/>
      <c r="AC840" s="212"/>
      <c r="AD840" s="212"/>
      <c r="AE840" s="212"/>
      <c r="AF840" s="212"/>
      <c r="AG840" s="212"/>
      <c r="AH840" s="212"/>
      <c r="AI840" s="212"/>
      <c r="AJ840" s="212"/>
      <c r="AK840" s="212"/>
      <c r="AL840" s="212"/>
      <c r="AM840" s="212"/>
      <c r="AN840" s="212"/>
      <c r="AO840" s="212"/>
      <c r="AP840" s="212"/>
      <c r="AQ840" s="212"/>
      <c r="AR840" s="212"/>
      <c r="AS840" s="212"/>
      <c r="AT840" s="212"/>
      <c r="AU840" s="212"/>
      <c r="AV840" s="212"/>
      <c r="AW840" s="212"/>
      <c r="AX840" s="212"/>
      <c r="AY840" s="212"/>
      <c r="AZ840" s="212"/>
      <c r="BA840" s="212"/>
      <c r="BB840" s="212"/>
      <c r="BC840" s="212"/>
      <c r="BD840" s="212"/>
      <c r="BE840" s="212"/>
      <c r="BF840" s="212"/>
      <c r="BG840" s="212"/>
      <c r="BH840" s="212"/>
      <c r="BI840" s="212"/>
    </row>
    <row r="841" spans="1:61" ht="24" customHeight="1">
      <c r="A841" s="218" t="s">
        <v>2475</v>
      </c>
      <c r="B841" s="218" t="s">
        <v>1563</v>
      </c>
      <c r="C841" s="228">
        <v>1</v>
      </c>
      <c r="D841" s="213" t="s">
        <v>149</v>
      </c>
      <c r="E841" s="212"/>
      <c r="F841" s="217">
        <f>TRUNC(F842+F844+F845+F848+F849+F850,0)</f>
        <v>0</v>
      </c>
      <c r="G841" s="212"/>
      <c r="H841" s="217">
        <f>TRUNC(H842+H844+H845+H848+H849+H850,0)</f>
        <v>0</v>
      </c>
      <c r="I841" s="212"/>
      <c r="J841" s="217">
        <f>TRUNC(J842+J844+J845+J848+J849+J850,0)</f>
        <v>0</v>
      </c>
      <c r="K841" s="212"/>
      <c r="L841" s="217">
        <f t="shared" ref="L841:L850" si="87">F841+H841+J841</f>
        <v>0</v>
      </c>
      <c r="M841" s="215" t="s">
        <v>1838</v>
      </c>
      <c r="N841" s="212" t="s">
        <v>68</v>
      </c>
      <c r="O841" s="212" t="s">
        <v>1564</v>
      </c>
      <c r="P841" s="212"/>
      <c r="Q841" s="212"/>
      <c r="R841" s="212"/>
      <c r="S841" s="212"/>
      <c r="T841" s="212"/>
      <c r="U841" s="212"/>
      <c r="V841" s="212"/>
      <c r="W841" s="212"/>
      <c r="X841" s="212"/>
      <c r="Y841" s="212"/>
      <c r="Z841" s="212"/>
      <c r="AA841" s="212"/>
      <c r="AB841" s="212"/>
      <c r="AC841" s="212"/>
      <c r="AD841" s="212"/>
      <c r="AE841" s="212"/>
      <c r="AF841" s="212"/>
      <c r="AG841" s="212"/>
      <c r="AH841" s="212"/>
      <c r="AI841" s="212"/>
      <c r="AJ841" s="212"/>
      <c r="AK841" s="212"/>
      <c r="AL841" s="212"/>
      <c r="AM841" s="212"/>
      <c r="AN841" s="212"/>
      <c r="AO841" s="212"/>
      <c r="AP841" s="212"/>
      <c r="AQ841" s="212"/>
      <c r="AR841" s="212"/>
      <c r="AS841" s="212"/>
      <c r="AT841" s="212"/>
      <c r="AU841" s="212"/>
      <c r="AV841" s="212"/>
      <c r="AW841" s="212"/>
      <c r="AX841" s="212"/>
      <c r="AY841" s="212"/>
      <c r="AZ841" s="212"/>
      <c r="BA841" s="212"/>
      <c r="BB841" s="212"/>
      <c r="BC841" s="212"/>
      <c r="BD841" s="212"/>
      <c r="BE841" s="212"/>
      <c r="BF841" s="212"/>
      <c r="BG841" s="212"/>
      <c r="BH841" s="212"/>
      <c r="BI841" s="212"/>
    </row>
    <row r="842" spans="1:61" ht="24" customHeight="1">
      <c r="A842" s="218" t="s">
        <v>2340</v>
      </c>
      <c r="B842" s="218" t="s">
        <v>2476</v>
      </c>
      <c r="C842" s="228">
        <v>1</v>
      </c>
      <c r="D842" s="213" t="s">
        <v>149</v>
      </c>
      <c r="E842" s="217">
        <f>자재조서!E94</f>
        <v>0</v>
      </c>
      <c r="F842" s="217">
        <f>TRUNC(E842*C842,0)</f>
        <v>0</v>
      </c>
      <c r="G842" s="217">
        <v>0</v>
      </c>
      <c r="H842" s="217"/>
      <c r="I842" s="217">
        <v>0</v>
      </c>
      <c r="J842" s="217"/>
      <c r="K842" s="217">
        <f t="shared" ref="K842:K850" si="88">E842+G842+I842</f>
        <v>0</v>
      </c>
      <c r="L842" s="217">
        <f t="shared" si="87"/>
        <v>0</v>
      </c>
      <c r="M842" s="215" t="s">
        <v>68</v>
      </c>
      <c r="N842" s="212" t="s">
        <v>68</v>
      </c>
      <c r="O842" s="212"/>
      <c r="P842" s="212" t="s">
        <v>1095</v>
      </c>
      <c r="Q842" s="212" t="s">
        <v>68</v>
      </c>
      <c r="R842" s="212" t="s">
        <v>2477</v>
      </c>
      <c r="S842" s="212"/>
      <c r="T842" s="212"/>
      <c r="U842" s="212"/>
      <c r="V842" s="212"/>
      <c r="W842" s="212"/>
      <c r="X842" s="212"/>
      <c r="Y842" s="212"/>
      <c r="Z842" s="212"/>
      <c r="AA842" s="212"/>
      <c r="AB842" s="212"/>
      <c r="AC842" s="212"/>
      <c r="AD842" s="212"/>
      <c r="AE842" s="212"/>
      <c r="AF842" s="212"/>
      <c r="AG842" s="212"/>
      <c r="AH842" s="212"/>
      <c r="AI842" s="212"/>
      <c r="AJ842" s="212"/>
      <c r="AK842" s="212"/>
      <c r="AL842" s="212"/>
      <c r="AM842" s="212"/>
      <c r="AN842" s="212"/>
      <c r="AO842" s="212"/>
      <c r="AP842" s="212"/>
      <c r="AQ842" s="212"/>
      <c r="AR842" s="212"/>
      <c r="AS842" s="212"/>
      <c r="AT842" s="212"/>
      <c r="AU842" s="212"/>
      <c r="AV842" s="212"/>
      <c r="AW842" s="212"/>
      <c r="AX842" s="212"/>
      <c r="AY842" s="212"/>
      <c r="AZ842" s="212"/>
      <c r="BA842" s="212"/>
      <c r="BB842" s="212"/>
      <c r="BC842" s="212"/>
      <c r="BD842" s="212"/>
      <c r="BE842" s="212"/>
      <c r="BF842" s="212"/>
      <c r="BG842" s="212"/>
      <c r="BH842" s="212"/>
      <c r="BI842" s="231" t="str">
        <f>HYPERLINK("#자재조서!A94","MZZ9000033 →")</f>
        <v>MZZ9000033 →</v>
      </c>
    </row>
    <row r="843" spans="1:61" ht="24" customHeight="1">
      <c r="A843" s="218" t="s">
        <v>2343</v>
      </c>
      <c r="B843" s="218" t="s">
        <v>68</v>
      </c>
      <c r="C843" s="229"/>
      <c r="D843" s="213" t="s">
        <v>68</v>
      </c>
      <c r="E843" s="213"/>
      <c r="F843" s="217">
        <v>0</v>
      </c>
      <c r="G843" s="213"/>
      <c r="H843" s="217">
        <v>0</v>
      </c>
      <c r="I843" s="213"/>
      <c r="J843" s="217">
        <v>0</v>
      </c>
      <c r="K843" s="217">
        <f t="shared" si="88"/>
        <v>0</v>
      </c>
      <c r="L843" s="217">
        <f t="shared" si="87"/>
        <v>0</v>
      </c>
      <c r="M843" s="215" t="s">
        <v>68</v>
      </c>
      <c r="N843" s="212" t="s">
        <v>68</v>
      </c>
      <c r="O843" s="212"/>
      <c r="P843" s="212" t="s">
        <v>1104</v>
      </c>
      <c r="Q843" s="212" t="s">
        <v>68</v>
      </c>
      <c r="R843" s="212" t="s">
        <v>68</v>
      </c>
      <c r="S843" s="212"/>
      <c r="T843" s="212"/>
      <c r="U843" s="212"/>
      <c r="V843" s="212"/>
      <c r="W843" s="212"/>
      <c r="X843" s="212"/>
      <c r="Y843" s="212"/>
      <c r="Z843" s="212"/>
      <c r="AA843" s="212"/>
      <c r="AB843" s="212"/>
      <c r="AC843" s="212"/>
      <c r="AD843" s="212"/>
      <c r="AE843" s="212"/>
      <c r="AF843" s="212"/>
      <c r="AG843" s="212"/>
      <c r="AH843" s="212"/>
      <c r="AI843" s="212"/>
      <c r="AJ843" s="212"/>
      <c r="AK843" s="212"/>
      <c r="AL843" s="212"/>
      <c r="AM843" s="212"/>
      <c r="AN843" s="212"/>
      <c r="AO843" s="212"/>
      <c r="AP843" s="212"/>
      <c r="AQ843" s="212"/>
      <c r="AR843" s="212"/>
      <c r="AS843" s="212"/>
      <c r="AT843" s="212"/>
      <c r="AU843" s="212"/>
      <c r="AV843" s="212"/>
      <c r="AW843" s="212"/>
      <c r="AX843" s="212"/>
      <c r="AY843" s="212"/>
      <c r="AZ843" s="212"/>
      <c r="BA843" s="212"/>
      <c r="BB843" s="212"/>
      <c r="BC843" s="212"/>
      <c r="BD843" s="212"/>
      <c r="BE843" s="212"/>
      <c r="BF843" s="212"/>
      <c r="BG843" s="212"/>
      <c r="BH843" s="212"/>
      <c r="BI843" s="212"/>
    </row>
    <row r="844" spans="1:61" ht="24" customHeight="1">
      <c r="A844" s="218" t="s">
        <v>2344</v>
      </c>
      <c r="B844" s="218" t="s">
        <v>1946</v>
      </c>
      <c r="C844" s="229">
        <v>0.45</v>
      </c>
      <c r="D844" s="213" t="s">
        <v>1286</v>
      </c>
      <c r="E844" s="217">
        <v>0</v>
      </c>
      <c r="F844" s="217"/>
      <c r="G844" s="217">
        <f>노임!D24</f>
        <v>0</v>
      </c>
      <c r="H844" s="217">
        <f>TRUNC(G844*C844,0)</f>
        <v>0</v>
      </c>
      <c r="I844" s="217">
        <v>0</v>
      </c>
      <c r="J844" s="217"/>
      <c r="K844" s="217">
        <f t="shared" si="88"/>
        <v>0</v>
      </c>
      <c r="L844" s="217">
        <f t="shared" si="87"/>
        <v>0</v>
      </c>
      <c r="M844" s="215" t="s">
        <v>68</v>
      </c>
      <c r="N844" s="212" t="s">
        <v>68</v>
      </c>
      <c r="O844" s="212"/>
      <c r="P844" s="212" t="s">
        <v>1107</v>
      </c>
      <c r="Q844" s="212" t="s">
        <v>68</v>
      </c>
      <c r="R844" s="212" t="s">
        <v>2345</v>
      </c>
      <c r="S844" s="212"/>
      <c r="T844" s="212"/>
      <c r="U844" s="212"/>
      <c r="V844" s="212"/>
      <c r="W844" s="212"/>
      <c r="X844" s="212"/>
      <c r="Y844" s="212"/>
      <c r="Z844" s="212"/>
      <c r="AA844" s="212"/>
      <c r="AB844" s="212"/>
      <c r="AC844" s="212"/>
      <c r="AD844" s="212"/>
      <c r="AE844" s="212"/>
      <c r="AF844" s="212"/>
      <c r="AG844" s="212"/>
      <c r="AH844" s="212"/>
      <c r="AI844" s="212"/>
      <c r="AJ844" s="212"/>
      <c r="AK844" s="212"/>
      <c r="AL844" s="212"/>
      <c r="AM844" s="212"/>
      <c r="AN844" s="212"/>
      <c r="AO844" s="212"/>
      <c r="AP844" s="212"/>
      <c r="AQ844" s="212"/>
      <c r="AR844" s="212"/>
      <c r="AS844" s="212"/>
      <c r="AT844" s="212"/>
      <c r="AU844" s="212"/>
      <c r="AV844" s="212"/>
      <c r="AW844" s="212"/>
      <c r="AX844" s="212"/>
      <c r="AY844" s="212"/>
      <c r="AZ844" s="212"/>
      <c r="BA844" s="212"/>
      <c r="BB844" s="212"/>
      <c r="BC844" s="212"/>
      <c r="BD844" s="212"/>
      <c r="BE844" s="212"/>
      <c r="BF844" s="212"/>
      <c r="BG844" s="212"/>
      <c r="BH844" s="212"/>
      <c r="BI844" s="231" t="str">
        <f>HYPERLINK("#노임!A24","L001010101000051 →")</f>
        <v>L001010101000051 →</v>
      </c>
    </row>
    <row r="845" spans="1:61" ht="24" customHeight="1">
      <c r="A845" s="218" t="s">
        <v>1967</v>
      </c>
      <c r="B845" s="218" t="s">
        <v>1946</v>
      </c>
      <c r="C845" s="229">
        <v>0.22</v>
      </c>
      <c r="D845" s="213" t="s">
        <v>1286</v>
      </c>
      <c r="E845" s="217">
        <v>0</v>
      </c>
      <c r="F845" s="217"/>
      <c r="G845" s="217">
        <f>노임!D3</f>
        <v>0</v>
      </c>
      <c r="H845" s="217">
        <f>TRUNC(G845*C845,0)</f>
        <v>0</v>
      </c>
      <c r="I845" s="217">
        <v>0</v>
      </c>
      <c r="J845" s="217"/>
      <c r="K845" s="217">
        <f t="shared" si="88"/>
        <v>0</v>
      </c>
      <c r="L845" s="217">
        <f t="shared" si="87"/>
        <v>0</v>
      </c>
      <c r="M845" s="215" t="s">
        <v>68</v>
      </c>
      <c r="N845" s="212" t="s">
        <v>68</v>
      </c>
      <c r="O845" s="212"/>
      <c r="P845" s="212" t="s">
        <v>1108</v>
      </c>
      <c r="Q845" s="212" t="s">
        <v>68</v>
      </c>
      <c r="R845" s="212" t="s">
        <v>1968</v>
      </c>
      <c r="S845" s="212"/>
      <c r="T845" s="212"/>
      <c r="U845" s="212"/>
      <c r="V845" s="212"/>
      <c r="W845" s="212"/>
      <c r="X845" s="212"/>
      <c r="Y845" s="212"/>
      <c r="Z845" s="212"/>
      <c r="AA845" s="212"/>
      <c r="AB845" s="212"/>
      <c r="AC845" s="212"/>
      <c r="AD845" s="212"/>
      <c r="AE845" s="212"/>
      <c r="AF845" s="212"/>
      <c r="AG845" s="212"/>
      <c r="AH845" s="212"/>
      <c r="AI845" s="212"/>
      <c r="AJ845" s="212"/>
      <c r="AK845" s="212"/>
      <c r="AL845" s="212"/>
      <c r="AM845" s="212"/>
      <c r="AN845" s="212"/>
      <c r="AO845" s="212"/>
      <c r="AP845" s="212"/>
      <c r="AQ845" s="212"/>
      <c r="AR845" s="212"/>
      <c r="AS845" s="212"/>
      <c r="AT845" s="212"/>
      <c r="AU845" s="212"/>
      <c r="AV845" s="212"/>
      <c r="AW845" s="212"/>
      <c r="AX845" s="212"/>
      <c r="AY845" s="212"/>
      <c r="AZ845" s="212"/>
      <c r="BA845" s="212"/>
      <c r="BB845" s="212"/>
      <c r="BC845" s="212"/>
      <c r="BD845" s="212"/>
      <c r="BE845" s="212"/>
      <c r="BF845" s="212"/>
      <c r="BG845" s="212"/>
      <c r="BH845" s="212"/>
      <c r="BI845" s="231" t="str">
        <f>HYPERLINK("#노임!A3","L001010101000002 →")</f>
        <v>L001010101000002 →</v>
      </c>
    </row>
    <row r="846" spans="1:61" ht="24" customHeight="1">
      <c r="A846" s="218" t="s">
        <v>68</v>
      </c>
      <c r="B846" s="218" t="s">
        <v>68</v>
      </c>
      <c r="C846" s="229"/>
      <c r="D846" s="213" t="s">
        <v>68</v>
      </c>
      <c r="E846" s="213"/>
      <c r="F846" s="217">
        <v>0</v>
      </c>
      <c r="G846" s="213"/>
      <c r="H846" s="217">
        <v>0</v>
      </c>
      <c r="I846" s="213"/>
      <c r="J846" s="217">
        <v>0</v>
      </c>
      <c r="K846" s="217">
        <f t="shared" si="88"/>
        <v>0</v>
      </c>
      <c r="L846" s="217">
        <f t="shared" si="87"/>
        <v>0</v>
      </c>
      <c r="M846" s="215" t="s">
        <v>68</v>
      </c>
      <c r="N846" s="212" t="s">
        <v>68</v>
      </c>
      <c r="O846" s="212"/>
      <c r="P846" s="212" t="s">
        <v>1109</v>
      </c>
      <c r="Q846" s="212" t="s">
        <v>68</v>
      </c>
      <c r="R846" s="212" t="s">
        <v>68</v>
      </c>
      <c r="S846" s="212"/>
      <c r="T846" s="212"/>
      <c r="U846" s="212"/>
      <c r="V846" s="212"/>
      <c r="W846" s="212"/>
      <c r="X846" s="212"/>
      <c r="Y846" s="212"/>
      <c r="Z846" s="212"/>
      <c r="AA846" s="212"/>
      <c r="AB846" s="212"/>
      <c r="AC846" s="212"/>
      <c r="AD846" s="212"/>
      <c r="AE846" s="212"/>
      <c r="AF846" s="212"/>
      <c r="AG846" s="212"/>
      <c r="AH846" s="212"/>
      <c r="AI846" s="212"/>
      <c r="AJ846" s="212"/>
      <c r="AK846" s="212"/>
      <c r="AL846" s="212"/>
      <c r="AM846" s="212"/>
      <c r="AN846" s="212"/>
      <c r="AO846" s="212"/>
      <c r="AP846" s="212"/>
      <c r="AQ846" s="212"/>
      <c r="AR846" s="212"/>
      <c r="AS846" s="212"/>
      <c r="AT846" s="212"/>
      <c r="AU846" s="212"/>
      <c r="AV846" s="212"/>
      <c r="AW846" s="212"/>
      <c r="AX846" s="212"/>
      <c r="AY846" s="212"/>
      <c r="AZ846" s="212"/>
      <c r="BA846" s="212"/>
      <c r="BB846" s="212"/>
      <c r="BC846" s="212"/>
      <c r="BD846" s="212"/>
      <c r="BE846" s="212"/>
      <c r="BF846" s="212"/>
      <c r="BG846" s="212"/>
      <c r="BH846" s="212"/>
      <c r="BI846" s="212"/>
    </row>
    <row r="847" spans="1:61" ht="24" customHeight="1">
      <c r="A847" s="218" t="s">
        <v>2346</v>
      </c>
      <c r="B847" s="218" t="s">
        <v>68</v>
      </c>
      <c r="C847" s="229"/>
      <c r="D847" s="213" t="s">
        <v>68</v>
      </c>
      <c r="E847" s="213"/>
      <c r="F847" s="217">
        <v>0</v>
      </c>
      <c r="G847" s="213"/>
      <c r="H847" s="217">
        <v>0</v>
      </c>
      <c r="I847" s="213"/>
      <c r="J847" s="217">
        <v>0</v>
      </c>
      <c r="K847" s="217">
        <f t="shared" si="88"/>
        <v>0</v>
      </c>
      <c r="L847" s="217">
        <f t="shared" si="87"/>
        <v>0</v>
      </c>
      <c r="M847" s="215" t="s">
        <v>68</v>
      </c>
      <c r="N847" s="212" t="s">
        <v>68</v>
      </c>
      <c r="O847" s="212"/>
      <c r="P847" s="212" t="s">
        <v>1110</v>
      </c>
      <c r="Q847" s="212" t="s">
        <v>68</v>
      </c>
      <c r="R847" s="212" t="s">
        <v>68</v>
      </c>
      <c r="S847" s="212"/>
      <c r="T847" s="212"/>
      <c r="U847" s="212"/>
      <c r="V847" s="212"/>
      <c r="W847" s="212"/>
      <c r="X847" s="212"/>
      <c r="Y847" s="212"/>
      <c r="Z847" s="212"/>
      <c r="AA847" s="212"/>
      <c r="AB847" s="212"/>
      <c r="AC847" s="212"/>
      <c r="AD847" s="212"/>
      <c r="AE847" s="212"/>
      <c r="AF847" s="212"/>
      <c r="AG847" s="212"/>
      <c r="AH847" s="212"/>
      <c r="AI847" s="212"/>
      <c r="AJ847" s="212"/>
      <c r="AK847" s="212"/>
      <c r="AL847" s="212"/>
      <c r="AM847" s="212"/>
      <c r="AN847" s="212"/>
      <c r="AO847" s="212"/>
      <c r="AP847" s="212"/>
      <c r="AQ847" s="212"/>
      <c r="AR847" s="212"/>
      <c r="AS847" s="212"/>
      <c r="AT847" s="212"/>
      <c r="AU847" s="212"/>
      <c r="AV847" s="212"/>
      <c r="AW847" s="212"/>
      <c r="AX847" s="212"/>
      <c r="AY847" s="212"/>
      <c r="AZ847" s="212"/>
      <c r="BA847" s="212"/>
      <c r="BB847" s="212"/>
      <c r="BC847" s="212"/>
      <c r="BD847" s="212"/>
      <c r="BE847" s="212"/>
      <c r="BF847" s="212"/>
      <c r="BG847" s="212"/>
      <c r="BH847" s="212"/>
      <c r="BI847" s="212"/>
    </row>
    <row r="848" spans="1:61" ht="24" customHeight="1">
      <c r="A848" s="218" t="s">
        <v>2344</v>
      </c>
      <c r="B848" s="218" t="s">
        <v>1946</v>
      </c>
      <c r="C848" s="229">
        <v>1.33</v>
      </c>
      <c r="D848" s="213" t="s">
        <v>1286</v>
      </c>
      <c r="E848" s="217">
        <v>0</v>
      </c>
      <c r="F848" s="217"/>
      <c r="G848" s="217">
        <f>노임!D24</f>
        <v>0</v>
      </c>
      <c r="H848" s="217">
        <f>TRUNC(G848*C848,0)</f>
        <v>0</v>
      </c>
      <c r="I848" s="217">
        <v>0</v>
      </c>
      <c r="J848" s="217"/>
      <c r="K848" s="217">
        <f t="shared" si="88"/>
        <v>0</v>
      </c>
      <c r="L848" s="217">
        <f t="shared" si="87"/>
        <v>0</v>
      </c>
      <c r="M848" s="215" t="s">
        <v>68</v>
      </c>
      <c r="N848" s="212" t="s">
        <v>68</v>
      </c>
      <c r="O848" s="212"/>
      <c r="P848" s="212" t="s">
        <v>1111</v>
      </c>
      <c r="Q848" s="212" t="s">
        <v>68</v>
      </c>
      <c r="R848" s="212" t="s">
        <v>2345</v>
      </c>
      <c r="S848" s="212"/>
      <c r="T848" s="212"/>
      <c r="U848" s="212"/>
      <c r="V848" s="212"/>
      <c r="W848" s="212"/>
      <c r="X848" s="212"/>
      <c r="Y848" s="212"/>
      <c r="Z848" s="212"/>
      <c r="AA848" s="212"/>
      <c r="AB848" s="212"/>
      <c r="AC848" s="212"/>
      <c r="AD848" s="212"/>
      <c r="AE848" s="212"/>
      <c r="AF848" s="212"/>
      <c r="AG848" s="212"/>
      <c r="AH848" s="212"/>
      <c r="AI848" s="212"/>
      <c r="AJ848" s="212"/>
      <c r="AK848" s="212"/>
      <c r="AL848" s="212"/>
      <c r="AM848" s="212"/>
      <c r="AN848" s="212"/>
      <c r="AO848" s="212"/>
      <c r="AP848" s="212"/>
      <c r="AQ848" s="212"/>
      <c r="AR848" s="212"/>
      <c r="AS848" s="212"/>
      <c r="AT848" s="212"/>
      <c r="AU848" s="212"/>
      <c r="AV848" s="212"/>
      <c r="AW848" s="212"/>
      <c r="AX848" s="212"/>
      <c r="AY848" s="212"/>
      <c r="AZ848" s="212"/>
      <c r="BA848" s="212"/>
      <c r="BB848" s="212"/>
      <c r="BC848" s="212"/>
      <c r="BD848" s="212"/>
      <c r="BE848" s="212"/>
      <c r="BF848" s="212"/>
      <c r="BG848" s="212"/>
      <c r="BH848" s="212"/>
      <c r="BI848" s="231" t="str">
        <f>HYPERLINK("#노임!A24","L001010101000051 →")</f>
        <v>L001010101000051 →</v>
      </c>
    </row>
    <row r="849" spans="1:61" ht="24" customHeight="1">
      <c r="A849" s="218" t="s">
        <v>1967</v>
      </c>
      <c r="B849" s="218" t="s">
        <v>1946</v>
      </c>
      <c r="C849" s="229">
        <v>0.67</v>
      </c>
      <c r="D849" s="213" t="s">
        <v>1286</v>
      </c>
      <c r="E849" s="217">
        <v>0</v>
      </c>
      <c r="F849" s="217"/>
      <c r="G849" s="217">
        <f>노임!D3</f>
        <v>0</v>
      </c>
      <c r="H849" s="217">
        <f>TRUNC(G849*C849,0)</f>
        <v>0</v>
      </c>
      <c r="I849" s="217">
        <v>0</v>
      </c>
      <c r="J849" s="217"/>
      <c r="K849" s="217">
        <f t="shared" si="88"/>
        <v>0</v>
      </c>
      <c r="L849" s="217">
        <f t="shared" si="87"/>
        <v>0</v>
      </c>
      <c r="M849" s="215" t="s">
        <v>68</v>
      </c>
      <c r="N849" s="212" t="s">
        <v>68</v>
      </c>
      <c r="O849" s="212"/>
      <c r="P849" s="212" t="s">
        <v>1112</v>
      </c>
      <c r="Q849" s="212" t="s">
        <v>68</v>
      </c>
      <c r="R849" s="212" t="s">
        <v>1968</v>
      </c>
      <c r="S849" s="212"/>
      <c r="T849" s="212"/>
      <c r="U849" s="212"/>
      <c r="V849" s="212"/>
      <c r="W849" s="212"/>
      <c r="X849" s="212"/>
      <c r="Y849" s="212"/>
      <c r="Z849" s="212"/>
      <c r="AA849" s="220" t="s">
        <v>1955</v>
      </c>
      <c r="AB849" s="212">
        <f>(호표!H844+호표!H845+호표!H848+호표!H849)*0.02</f>
        <v>0</v>
      </c>
      <c r="AC849" s="220" t="s">
        <v>1956</v>
      </c>
      <c r="AD849" s="212">
        <f>$AB849</f>
        <v>0</v>
      </c>
      <c r="AE849" s="212"/>
      <c r="AF849" s="212"/>
      <c r="AG849" s="212"/>
      <c r="AH849" s="212"/>
      <c r="AI849" s="212"/>
      <c r="AJ849" s="212"/>
      <c r="AK849" s="212"/>
      <c r="AL849" s="212"/>
      <c r="AM849" s="212"/>
      <c r="AN849" s="212"/>
      <c r="AO849" s="212"/>
      <c r="AP849" s="212"/>
      <c r="AQ849" s="212"/>
      <c r="AR849" s="212"/>
      <c r="AS849" s="212"/>
      <c r="AT849" s="212"/>
      <c r="AU849" s="212"/>
      <c r="AV849" s="212"/>
      <c r="AW849" s="212"/>
      <c r="AX849" s="212"/>
      <c r="AY849" s="212"/>
      <c r="AZ849" s="212"/>
      <c r="BA849" s="212"/>
      <c r="BB849" s="212"/>
      <c r="BC849" s="212"/>
      <c r="BD849" s="212"/>
      <c r="BE849" s="212"/>
      <c r="BF849" s="212"/>
      <c r="BG849" s="212"/>
      <c r="BH849" s="212"/>
      <c r="BI849" s="231" t="str">
        <f>HYPERLINK("#노임!A3","L001010101000002 →")</f>
        <v>L001010101000002 →</v>
      </c>
    </row>
    <row r="850" spans="1:61" ht="24" customHeight="1">
      <c r="A850" s="218" t="s">
        <v>1974</v>
      </c>
      <c r="B850" s="218" t="s">
        <v>1958</v>
      </c>
      <c r="C850" s="228">
        <v>2</v>
      </c>
      <c r="D850" s="213" t="s">
        <v>1950</v>
      </c>
      <c r="E850" s="213"/>
      <c r="F850" s="217">
        <v>0</v>
      </c>
      <c r="G850" s="213"/>
      <c r="H850" s="217">
        <v>0</v>
      </c>
      <c r="I850" s="213"/>
      <c r="J850" s="217">
        <f>TRUNC(((H844+H845+H848+H849)*0.02),0)</f>
        <v>0</v>
      </c>
      <c r="K850" s="217">
        <f t="shared" si="88"/>
        <v>0</v>
      </c>
      <c r="L850" s="217">
        <f t="shared" si="87"/>
        <v>0</v>
      </c>
      <c r="M850" s="215" t="s">
        <v>68</v>
      </c>
      <c r="N850" s="212" t="s">
        <v>68</v>
      </c>
      <c r="O850" s="212"/>
      <c r="P850" s="212" t="s">
        <v>1113</v>
      </c>
      <c r="Q850" s="212" t="s">
        <v>68</v>
      </c>
      <c r="R850" s="212" t="s">
        <v>1121</v>
      </c>
      <c r="S850" s="212"/>
      <c r="T850" s="212"/>
      <c r="U850" s="212"/>
      <c r="V850" s="212"/>
      <c r="W850" s="212"/>
      <c r="X850" s="212" t="s">
        <v>2478</v>
      </c>
      <c r="Y850" s="212"/>
      <c r="Z850" s="212"/>
      <c r="AA850" s="212"/>
      <c r="AB850" s="212"/>
      <c r="AC850" s="212"/>
      <c r="AD850" s="212"/>
      <c r="AE850" s="212"/>
      <c r="AF850" s="212"/>
      <c r="AG850" s="212"/>
      <c r="AH850" s="212"/>
      <c r="AI850" s="212"/>
      <c r="AJ850" s="212"/>
      <c r="AK850" s="212"/>
      <c r="AL850" s="212"/>
      <c r="AM850" s="212"/>
      <c r="AN850" s="212"/>
      <c r="AO850" s="212"/>
      <c r="AP850" s="212"/>
      <c r="AQ850" s="212"/>
      <c r="AR850" s="212"/>
      <c r="AS850" s="212"/>
      <c r="AT850" s="212"/>
      <c r="AU850" s="212"/>
      <c r="AV850" s="212"/>
      <c r="AW850" s="212"/>
      <c r="AX850" s="212"/>
      <c r="AY850" s="212"/>
      <c r="AZ850" s="212"/>
      <c r="BA850" s="212"/>
      <c r="BB850" s="212"/>
      <c r="BC850" s="212"/>
      <c r="BD850" s="212"/>
      <c r="BE850" s="212"/>
      <c r="BF850" s="212"/>
      <c r="BG850" s="212"/>
      <c r="BH850" s="212"/>
      <c r="BI850" s="212"/>
    </row>
    <row r="851" spans="1:61" ht="24" customHeight="1">
      <c r="A851" s="215"/>
      <c r="B851" s="215"/>
      <c r="C851" s="229"/>
      <c r="D851" s="213"/>
      <c r="E851" s="213"/>
      <c r="F851" s="213"/>
      <c r="G851" s="213"/>
      <c r="H851" s="213"/>
      <c r="I851" s="213"/>
      <c r="J851" s="213"/>
      <c r="K851" s="213"/>
      <c r="L851" s="213"/>
      <c r="M851" s="215"/>
      <c r="N851" s="212"/>
      <c r="O851" s="212"/>
      <c r="P851" s="212"/>
      <c r="Q851" s="212"/>
      <c r="R851" s="212"/>
      <c r="S851" s="212"/>
      <c r="T851" s="212"/>
      <c r="U851" s="212"/>
      <c r="V851" s="212"/>
      <c r="W851" s="212"/>
      <c r="X851" s="212"/>
      <c r="Y851" s="212"/>
      <c r="Z851" s="212"/>
      <c r="AA851" s="212"/>
      <c r="AB851" s="212"/>
      <c r="AC851" s="212"/>
      <c r="AD851" s="212"/>
      <c r="AE851" s="212"/>
      <c r="AF851" s="212"/>
      <c r="AG851" s="212"/>
      <c r="AH851" s="212"/>
      <c r="AI851" s="212"/>
      <c r="AJ851" s="212"/>
      <c r="AK851" s="212"/>
      <c r="AL851" s="212"/>
      <c r="AM851" s="212"/>
      <c r="AN851" s="212"/>
      <c r="AO851" s="212"/>
      <c r="AP851" s="212"/>
      <c r="AQ851" s="212"/>
      <c r="AR851" s="212"/>
      <c r="AS851" s="212"/>
      <c r="AT851" s="212"/>
      <c r="AU851" s="212"/>
      <c r="AV851" s="212"/>
      <c r="AW851" s="212"/>
      <c r="AX851" s="212"/>
      <c r="AY851" s="212"/>
      <c r="AZ851" s="212"/>
      <c r="BA851" s="212"/>
      <c r="BB851" s="212"/>
      <c r="BC851" s="212"/>
      <c r="BD851" s="212"/>
      <c r="BE851" s="212"/>
      <c r="BF851" s="212"/>
      <c r="BG851" s="212"/>
      <c r="BH851" s="212"/>
      <c r="BI851" s="212"/>
    </row>
    <row r="852" spans="1:61" ht="24" customHeight="1">
      <c r="A852" s="218" t="s">
        <v>2479</v>
      </c>
      <c r="B852" s="218" t="s">
        <v>1565</v>
      </c>
      <c r="C852" s="228">
        <v>1</v>
      </c>
      <c r="D852" s="213" t="s">
        <v>1412</v>
      </c>
      <c r="E852" s="212"/>
      <c r="F852" s="217">
        <f>TRUNC(F853+F854+F855+F856,0)</f>
        <v>0</v>
      </c>
      <c r="G852" s="212"/>
      <c r="H852" s="217">
        <f>TRUNC(H853+H854+H855+H856,0)</f>
        <v>0</v>
      </c>
      <c r="I852" s="212"/>
      <c r="J852" s="217">
        <f>TRUNC(J853+J854+J855+J856,0)</f>
        <v>0</v>
      </c>
      <c r="K852" s="212"/>
      <c r="L852" s="217">
        <f>F852+H852+J852</f>
        <v>0</v>
      </c>
      <c r="M852" s="215" t="s">
        <v>1860</v>
      </c>
      <c r="N852" s="212" t="s">
        <v>68</v>
      </c>
      <c r="O852" s="212" t="s">
        <v>1566</v>
      </c>
      <c r="P852" s="212"/>
      <c r="Q852" s="212"/>
      <c r="R852" s="212"/>
      <c r="S852" s="212"/>
      <c r="T852" s="212"/>
      <c r="U852" s="212"/>
      <c r="V852" s="212"/>
      <c r="W852" s="212"/>
      <c r="X852" s="212"/>
      <c r="Y852" s="212"/>
      <c r="Z852" s="212"/>
      <c r="AA852" s="212"/>
      <c r="AB852" s="212"/>
      <c r="AC852" s="212"/>
      <c r="AD852" s="212"/>
      <c r="AE852" s="212"/>
      <c r="AF852" s="212"/>
      <c r="AG852" s="212"/>
      <c r="AH852" s="212"/>
      <c r="AI852" s="212"/>
      <c r="AJ852" s="212"/>
      <c r="AK852" s="212"/>
      <c r="AL852" s="212"/>
      <c r="AM852" s="212"/>
      <c r="AN852" s="212"/>
      <c r="AO852" s="212"/>
      <c r="AP852" s="212"/>
      <c r="AQ852" s="212"/>
      <c r="AR852" s="212"/>
      <c r="AS852" s="212"/>
      <c r="AT852" s="212"/>
      <c r="AU852" s="212"/>
      <c r="AV852" s="212"/>
      <c r="AW852" s="212"/>
      <c r="AX852" s="212"/>
      <c r="AY852" s="212"/>
      <c r="AZ852" s="212"/>
      <c r="BA852" s="212"/>
      <c r="BB852" s="212"/>
      <c r="BC852" s="212"/>
      <c r="BD852" s="212"/>
      <c r="BE852" s="212"/>
      <c r="BF852" s="212"/>
      <c r="BG852" s="212"/>
      <c r="BH852" s="212"/>
      <c r="BI852" s="212"/>
    </row>
    <row r="853" spans="1:61" ht="24" customHeight="1">
      <c r="A853" s="218" t="s">
        <v>2390</v>
      </c>
      <c r="B853" s="218" t="s">
        <v>2480</v>
      </c>
      <c r="C853" s="228">
        <v>1</v>
      </c>
      <c r="D853" s="213" t="s">
        <v>437</v>
      </c>
      <c r="E853" s="217">
        <f>자재조서!E114</f>
        <v>0</v>
      </c>
      <c r="F853" s="217">
        <f>TRUNC(E853*C853,0)</f>
        <v>0</v>
      </c>
      <c r="G853" s="217">
        <v>0</v>
      </c>
      <c r="H853" s="217"/>
      <c r="I853" s="217">
        <v>0</v>
      </c>
      <c r="J853" s="217"/>
      <c r="K853" s="217">
        <f>E853+G853+I853</f>
        <v>0</v>
      </c>
      <c r="L853" s="217">
        <f>F853+H853+J853</f>
        <v>0</v>
      </c>
      <c r="M853" s="215" t="s">
        <v>68</v>
      </c>
      <c r="N853" s="212" t="s">
        <v>68</v>
      </c>
      <c r="O853" s="212"/>
      <c r="P853" s="212" t="s">
        <v>1095</v>
      </c>
      <c r="Q853" s="212" t="s">
        <v>68</v>
      </c>
      <c r="R853" s="212" t="s">
        <v>2481</v>
      </c>
      <c r="S853" s="212"/>
      <c r="T853" s="212"/>
      <c r="U853" s="212"/>
      <c r="V853" s="212"/>
      <c r="W853" s="212"/>
      <c r="X853" s="212"/>
      <c r="Y853" s="212"/>
      <c r="Z853" s="212"/>
      <c r="AA853" s="212"/>
      <c r="AB853" s="212"/>
      <c r="AC853" s="212"/>
      <c r="AD853" s="212"/>
      <c r="AE853" s="212"/>
      <c r="AF853" s="212"/>
      <c r="AG853" s="212"/>
      <c r="AH853" s="212"/>
      <c r="AI853" s="212"/>
      <c r="AJ853" s="212"/>
      <c r="AK853" s="212"/>
      <c r="AL853" s="212"/>
      <c r="AM853" s="212"/>
      <c r="AN853" s="212"/>
      <c r="AO853" s="212"/>
      <c r="AP853" s="212"/>
      <c r="AQ853" s="212"/>
      <c r="AR853" s="212"/>
      <c r="AS853" s="212"/>
      <c r="AT853" s="212"/>
      <c r="AU853" s="212"/>
      <c r="AV853" s="212"/>
      <c r="AW853" s="212"/>
      <c r="AX853" s="212"/>
      <c r="AY853" s="212"/>
      <c r="AZ853" s="212"/>
      <c r="BA853" s="212"/>
      <c r="BB853" s="212"/>
      <c r="BC853" s="212"/>
      <c r="BD853" s="212"/>
      <c r="BE853" s="212"/>
      <c r="BF853" s="212"/>
      <c r="BG853" s="212"/>
      <c r="BH853" s="212"/>
      <c r="BI853" s="231" t="str">
        <f>HYPERLINK("#자재조서!A114","MZZ9000071 →")</f>
        <v>MZZ9000071 →</v>
      </c>
    </row>
    <row r="854" spans="1:61" ht="24" customHeight="1">
      <c r="A854" s="218" t="s">
        <v>2383</v>
      </c>
      <c r="B854" s="218" t="s">
        <v>1946</v>
      </c>
      <c r="C854" s="229">
        <v>0.27500000000000002</v>
      </c>
      <c r="D854" s="213" t="s">
        <v>1286</v>
      </c>
      <c r="E854" s="217">
        <v>0</v>
      </c>
      <c r="F854" s="217"/>
      <c r="G854" s="217">
        <f>노임!D22</f>
        <v>0</v>
      </c>
      <c r="H854" s="217">
        <f>TRUNC(G854*C854,0)</f>
        <v>0</v>
      </c>
      <c r="I854" s="217">
        <v>0</v>
      </c>
      <c r="J854" s="217"/>
      <c r="K854" s="217">
        <f>E854+G854+I854</f>
        <v>0</v>
      </c>
      <c r="L854" s="217">
        <f>F854+H854+J854</f>
        <v>0</v>
      </c>
      <c r="M854" s="215" t="s">
        <v>68</v>
      </c>
      <c r="N854" s="212" t="s">
        <v>68</v>
      </c>
      <c r="O854" s="212"/>
      <c r="P854" s="212" t="s">
        <v>1098</v>
      </c>
      <c r="Q854" s="212" t="s">
        <v>68</v>
      </c>
      <c r="R854" s="212" t="s">
        <v>2384</v>
      </c>
      <c r="S854" s="212"/>
      <c r="T854" s="212"/>
      <c r="U854" s="212"/>
      <c r="V854" s="212"/>
      <c r="W854" s="212"/>
      <c r="X854" s="212"/>
      <c r="Y854" s="212"/>
      <c r="Z854" s="212"/>
      <c r="AA854" s="212"/>
      <c r="AB854" s="212"/>
      <c r="AC854" s="212"/>
      <c r="AD854" s="212"/>
      <c r="AE854" s="212"/>
      <c r="AF854" s="212"/>
      <c r="AG854" s="212"/>
      <c r="AH854" s="212"/>
      <c r="AI854" s="212"/>
      <c r="AJ854" s="212"/>
      <c r="AK854" s="212"/>
      <c r="AL854" s="212"/>
      <c r="AM854" s="212"/>
      <c r="AN854" s="212"/>
      <c r="AO854" s="212"/>
      <c r="AP854" s="212"/>
      <c r="AQ854" s="212"/>
      <c r="AR854" s="212"/>
      <c r="AS854" s="212"/>
      <c r="AT854" s="212"/>
      <c r="AU854" s="212"/>
      <c r="AV854" s="212"/>
      <c r="AW854" s="212"/>
      <c r="AX854" s="212"/>
      <c r="AY854" s="212"/>
      <c r="AZ854" s="212"/>
      <c r="BA854" s="212"/>
      <c r="BB854" s="212"/>
      <c r="BC854" s="212"/>
      <c r="BD854" s="212"/>
      <c r="BE854" s="212"/>
      <c r="BF854" s="212"/>
      <c r="BG854" s="212"/>
      <c r="BH854" s="212"/>
      <c r="BI854" s="231" t="str">
        <f>HYPERLINK("#노임!A22","L001010101000042 →")</f>
        <v>L001010101000042 →</v>
      </c>
    </row>
    <row r="855" spans="1:61" ht="24" customHeight="1">
      <c r="A855" s="218" t="s">
        <v>1967</v>
      </c>
      <c r="B855" s="218" t="s">
        <v>1946</v>
      </c>
      <c r="C855" s="229">
        <v>6.5000000000000002E-2</v>
      </c>
      <c r="D855" s="213" t="s">
        <v>1286</v>
      </c>
      <c r="E855" s="217">
        <v>0</v>
      </c>
      <c r="F855" s="217"/>
      <c r="G855" s="217">
        <f>노임!D3</f>
        <v>0</v>
      </c>
      <c r="H855" s="217">
        <f>TRUNC(G855*C855,0)</f>
        <v>0</v>
      </c>
      <c r="I855" s="217">
        <v>0</v>
      </c>
      <c r="J855" s="217"/>
      <c r="K855" s="217">
        <f>E855+G855+I855</f>
        <v>0</v>
      </c>
      <c r="L855" s="217">
        <f>F855+H855+J855</f>
        <v>0</v>
      </c>
      <c r="M855" s="215" t="s">
        <v>68</v>
      </c>
      <c r="N855" s="212" t="s">
        <v>68</v>
      </c>
      <c r="O855" s="212"/>
      <c r="P855" s="212" t="s">
        <v>1101</v>
      </c>
      <c r="Q855" s="212" t="s">
        <v>68</v>
      </c>
      <c r="R855" s="212" t="s">
        <v>1968</v>
      </c>
      <c r="S855" s="212"/>
      <c r="T855" s="212"/>
      <c r="U855" s="212"/>
      <c r="V855" s="212"/>
      <c r="W855" s="212"/>
      <c r="X855" s="212"/>
      <c r="Y855" s="212"/>
      <c r="Z855" s="212"/>
      <c r="AA855" s="220" t="s">
        <v>1955</v>
      </c>
      <c r="AB855" s="212">
        <f>(호표!H854+호표!H855)*0.02</f>
        <v>0</v>
      </c>
      <c r="AC855" s="220" t="s">
        <v>1956</v>
      </c>
      <c r="AD855" s="212">
        <f>$AB855</f>
        <v>0</v>
      </c>
      <c r="AE855" s="212"/>
      <c r="AF855" s="212"/>
      <c r="AG855" s="212"/>
      <c r="AH855" s="212"/>
      <c r="AI855" s="212"/>
      <c r="AJ855" s="212"/>
      <c r="AK855" s="212"/>
      <c r="AL855" s="212"/>
      <c r="AM855" s="212"/>
      <c r="AN855" s="212"/>
      <c r="AO855" s="212"/>
      <c r="AP855" s="212"/>
      <c r="AQ855" s="212"/>
      <c r="AR855" s="212"/>
      <c r="AS855" s="212"/>
      <c r="AT855" s="212"/>
      <c r="AU855" s="212"/>
      <c r="AV855" s="212"/>
      <c r="AW855" s="212"/>
      <c r="AX855" s="212"/>
      <c r="AY855" s="212"/>
      <c r="AZ855" s="212"/>
      <c r="BA855" s="212"/>
      <c r="BB855" s="212"/>
      <c r="BC855" s="212"/>
      <c r="BD855" s="212"/>
      <c r="BE855" s="212"/>
      <c r="BF855" s="212"/>
      <c r="BG855" s="212"/>
      <c r="BH855" s="212"/>
      <c r="BI855" s="231" t="str">
        <f>HYPERLINK("#노임!A3","L001010101000002 →")</f>
        <v>L001010101000002 →</v>
      </c>
    </row>
    <row r="856" spans="1:61" ht="24" customHeight="1">
      <c r="A856" s="218" t="s">
        <v>1974</v>
      </c>
      <c r="B856" s="218" t="s">
        <v>1958</v>
      </c>
      <c r="C856" s="228">
        <v>2</v>
      </c>
      <c r="D856" s="213" t="s">
        <v>1950</v>
      </c>
      <c r="E856" s="213"/>
      <c r="F856" s="217">
        <v>0</v>
      </c>
      <c r="G856" s="213"/>
      <c r="H856" s="217">
        <v>0</v>
      </c>
      <c r="I856" s="213"/>
      <c r="J856" s="217">
        <f>TRUNC(((H854+H855)*0.02),0)</f>
        <v>0</v>
      </c>
      <c r="K856" s="217">
        <f>E856+G856+I856</f>
        <v>0</v>
      </c>
      <c r="L856" s="217">
        <f>F856+H856+J856</f>
        <v>0</v>
      </c>
      <c r="M856" s="215" t="s">
        <v>68</v>
      </c>
      <c r="N856" s="212" t="s">
        <v>68</v>
      </c>
      <c r="O856" s="212"/>
      <c r="P856" s="212" t="s">
        <v>1104</v>
      </c>
      <c r="Q856" s="212" t="s">
        <v>68</v>
      </c>
      <c r="R856" s="212" t="s">
        <v>1121</v>
      </c>
      <c r="S856" s="212"/>
      <c r="T856" s="212"/>
      <c r="U856" s="212"/>
      <c r="V856" s="212"/>
      <c r="W856" s="212"/>
      <c r="X856" s="212" t="s">
        <v>1986</v>
      </c>
      <c r="Y856" s="212"/>
      <c r="Z856" s="212"/>
      <c r="AA856" s="212"/>
      <c r="AB856" s="212"/>
      <c r="AC856" s="212"/>
      <c r="AD856" s="212"/>
      <c r="AE856" s="212"/>
      <c r="AF856" s="212"/>
      <c r="AG856" s="212"/>
      <c r="AH856" s="212"/>
      <c r="AI856" s="212"/>
      <c r="AJ856" s="212"/>
      <c r="AK856" s="212"/>
      <c r="AL856" s="212"/>
      <c r="AM856" s="212"/>
      <c r="AN856" s="212"/>
      <c r="AO856" s="212"/>
      <c r="AP856" s="212"/>
      <c r="AQ856" s="212"/>
      <c r="AR856" s="212"/>
      <c r="AS856" s="212"/>
      <c r="AT856" s="212"/>
      <c r="AU856" s="212"/>
      <c r="AV856" s="212"/>
      <c r="AW856" s="212"/>
      <c r="AX856" s="212"/>
      <c r="AY856" s="212"/>
      <c r="AZ856" s="212"/>
      <c r="BA856" s="212"/>
      <c r="BB856" s="212"/>
      <c r="BC856" s="212"/>
      <c r="BD856" s="212"/>
      <c r="BE856" s="212"/>
      <c r="BF856" s="212"/>
      <c r="BG856" s="212"/>
      <c r="BH856" s="212"/>
      <c r="BI856" s="212"/>
    </row>
    <row r="857" spans="1:61" ht="24" customHeight="1">
      <c r="A857" s="215"/>
      <c r="B857" s="215"/>
      <c r="C857" s="229"/>
      <c r="D857" s="213"/>
      <c r="E857" s="213"/>
      <c r="F857" s="213"/>
      <c r="G857" s="213"/>
      <c r="H857" s="213"/>
      <c r="I857" s="213"/>
      <c r="J857" s="213"/>
      <c r="K857" s="213"/>
      <c r="L857" s="213"/>
      <c r="M857" s="215"/>
      <c r="N857" s="212"/>
      <c r="O857" s="212"/>
      <c r="P857" s="212"/>
      <c r="Q857" s="212"/>
      <c r="R857" s="212"/>
      <c r="S857" s="212"/>
      <c r="T857" s="212"/>
      <c r="U857" s="212"/>
      <c r="V857" s="212"/>
      <c r="W857" s="212"/>
      <c r="X857" s="212"/>
      <c r="Y857" s="212"/>
      <c r="Z857" s="212"/>
      <c r="AA857" s="212"/>
      <c r="AB857" s="212"/>
      <c r="AC857" s="212"/>
      <c r="AD857" s="212"/>
      <c r="AE857" s="212"/>
      <c r="AF857" s="212"/>
      <c r="AG857" s="212"/>
      <c r="AH857" s="212"/>
      <c r="AI857" s="212"/>
      <c r="AJ857" s="212"/>
      <c r="AK857" s="212"/>
      <c r="AL857" s="212"/>
      <c r="AM857" s="212"/>
      <c r="AN857" s="212"/>
      <c r="AO857" s="212"/>
      <c r="AP857" s="212"/>
      <c r="AQ857" s="212"/>
      <c r="AR857" s="212"/>
      <c r="AS857" s="212"/>
      <c r="AT857" s="212"/>
      <c r="AU857" s="212"/>
      <c r="AV857" s="212"/>
      <c r="AW857" s="212"/>
      <c r="AX857" s="212"/>
      <c r="AY857" s="212"/>
      <c r="AZ857" s="212"/>
      <c r="BA857" s="212"/>
      <c r="BB857" s="212"/>
      <c r="BC857" s="212"/>
      <c r="BD857" s="212"/>
      <c r="BE857" s="212"/>
      <c r="BF857" s="212"/>
      <c r="BG857" s="212"/>
      <c r="BH857" s="212"/>
      <c r="BI857" s="212"/>
    </row>
    <row r="858" spans="1:61" ht="24" customHeight="1">
      <c r="A858" s="218" t="s">
        <v>2482</v>
      </c>
      <c r="B858" s="218" t="s">
        <v>1895</v>
      </c>
      <c r="C858" s="228">
        <v>1</v>
      </c>
      <c r="D858" s="213" t="s">
        <v>9</v>
      </c>
      <c r="E858" s="212"/>
      <c r="F858" s="217">
        <f>TRUNC(F859+F860+F861,0)</f>
        <v>0</v>
      </c>
      <c r="G858" s="212"/>
      <c r="H858" s="217">
        <f>TRUNC(H859+H860+H861,0)</f>
        <v>0</v>
      </c>
      <c r="I858" s="212"/>
      <c r="J858" s="217">
        <f>TRUNC(J859+J860+J861,0)</f>
        <v>0</v>
      </c>
      <c r="K858" s="212"/>
      <c r="L858" s="217">
        <f>F858+H858+J858</f>
        <v>0</v>
      </c>
      <c r="M858" s="215" t="s">
        <v>1896</v>
      </c>
      <c r="N858" s="212" t="s">
        <v>68</v>
      </c>
      <c r="O858" s="212" t="s">
        <v>1897</v>
      </c>
      <c r="P858" s="212"/>
      <c r="Q858" s="212"/>
      <c r="R858" s="212"/>
      <c r="S858" s="212"/>
      <c r="T858" s="212"/>
      <c r="U858" s="212"/>
      <c r="V858" s="212"/>
      <c r="W858" s="212"/>
      <c r="X858" s="212"/>
      <c r="Y858" s="212"/>
      <c r="Z858" s="212"/>
      <c r="AA858" s="212"/>
      <c r="AB858" s="212"/>
      <c r="AC858" s="212"/>
      <c r="AD858" s="212"/>
      <c r="AE858" s="212"/>
      <c r="AF858" s="212"/>
      <c r="AG858" s="212"/>
      <c r="AH858" s="212"/>
      <c r="AI858" s="212"/>
      <c r="AJ858" s="212"/>
      <c r="AK858" s="212"/>
      <c r="AL858" s="212"/>
      <c r="AM858" s="212"/>
      <c r="AN858" s="212"/>
      <c r="AO858" s="212"/>
      <c r="AP858" s="212"/>
      <c r="AQ858" s="212"/>
      <c r="AR858" s="212"/>
      <c r="AS858" s="212"/>
      <c r="AT858" s="212"/>
      <c r="AU858" s="212"/>
      <c r="AV858" s="212"/>
      <c r="AW858" s="212"/>
      <c r="AX858" s="212"/>
      <c r="AY858" s="212"/>
      <c r="AZ858" s="212"/>
      <c r="BA858" s="212"/>
      <c r="BB858" s="212"/>
      <c r="BC858" s="212"/>
      <c r="BD858" s="212"/>
      <c r="BE858" s="212"/>
      <c r="BF858" s="212"/>
      <c r="BG858" s="212"/>
      <c r="BH858" s="212"/>
      <c r="BI858" s="212"/>
    </row>
    <row r="859" spans="1:61" ht="24" customHeight="1">
      <c r="A859" s="218" t="s">
        <v>2145</v>
      </c>
      <c r="B859" s="218" t="s">
        <v>1946</v>
      </c>
      <c r="C859" s="229">
        <v>4.3999999999999997E-2</v>
      </c>
      <c r="D859" s="213" t="s">
        <v>1286</v>
      </c>
      <c r="E859" s="217">
        <v>0</v>
      </c>
      <c r="F859" s="217"/>
      <c r="G859" s="217">
        <f>노임!D15</f>
        <v>0</v>
      </c>
      <c r="H859" s="217">
        <f>TRUNC(G859*C859,0)</f>
        <v>0</v>
      </c>
      <c r="I859" s="217">
        <v>0</v>
      </c>
      <c r="J859" s="217"/>
      <c r="K859" s="217">
        <f>E859+G859+I859</f>
        <v>0</v>
      </c>
      <c r="L859" s="217">
        <f>F859+H859+J859</f>
        <v>0</v>
      </c>
      <c r="M859" s="215" t="s">
        <v>68</v>
      </c>
      <c r="N859" s="212" t="s">
        <v>68</v>
      </c>
      <c r="O859" s="212"/>
      <c r="P859" s="212" t="s">
        <v>1095</v>
      </c>
      <c r="Q859" s="212" t="s">
        <v>68</v>
      </c>
      <c r="R859" s="212" t="s">
        <v>2146</v>
      </c>
      <c r="S859" s="212"/>
      <c r="T859" s="212"/>
      <c r="U859" s="212"/>
      <c r="V859" s="212"/>
      <c r="W859" s="212"/>
      <c r="X859" s="212"/>
      <c r="Y859" s="212"/>
      <c r="Z859" s="212"/>
      <c r="AA859" s="212"/>
      <c r="AB859" s="212"/>
      <c r="AC859" s="212"/>
      <c r="AD859" s="212"/>
      <c r="AE859" s="212"/>
      <c r="AF859" s="212"/>
      <c r="AG859" s="212"/>
      <c r="AH859" s="212"/>
      <c r="AI859" s="212"/>
      <c r="AJ859" s="212"/>
      <c r="AK859" s="212"/>
      <c r="AL859" s="212"/>
      <c r="AM859" s="212"/>
      <c r="AN859" s="212"/>
      <c r="AO859" s="212"/>
      <c r="AP859" s="212"/>
      <c r="AQ859" s="212"/>
      <c r="AR859" s="212"/>
      <c r="AS859" s="212"/>
      <c r="AT859" s="212"/>
      <c r="AU859" s="212"/>
      <c r="AV859" s="212"/>
      <c r="AW859" s="212"/>
      <c r="AX859" s="212"/>
      <c r="AY859" s="212"/>
      <c r="AZ859" s="212"/>
      <c r="BA859" s="212"/>
      <c r="BB859" s="212"/>
      <c r="BC859" s="212"/>
      <c r="BD859" s="212"/>
      <c r="BE859" s="212"/>
      <c r="BF859" s="212"/>
      <c r="BG859" s="212"/>
      <c r="BH859" s="212"/>
      <c r="BI859" s="231" t="str">
        <f>HYPERLINK("#노임!A15","L001010101000027 →")</f>
        <v>L001010101000027 →</v>
      </c>
    </row>
    <row r="860" spans="1:61" ht="24" customHeight="1">
      <c r="A860" s="218" t="s">
        <v>1967</v>
      </c>
      <c r="B860" s="218" t="s">
        <v>1946</v>
      </c>
      <c r="C860" s="229">
        <v>2.1999999999999999E-2</v>
      </c>
      <c r="D860" s="213" t="s">
        <v>1286</v>
      </c>
      <c r="E860" s="217">
        <v>0</v>
      </c>
      <c r="F860" s="217"/>
      <c r="G860" s="217">
        <f>노임!D3</f>
        <v>0</v>
      </c>
      <c r="H860" s="217">
        <f>TRUNC(G860*C860,0)</f>
        <v>0</v>
      </c>
      <c r="I860" s="217">
        <v>0</v>
      </c>
      <c r="J860" s="217"/>
      <c r="K860" s="217">
        <f>E860+G860+I860</f>
        <v>0</v>
      </c>
      <c r="L860" s="217">
        <f>F860+H860+J860</f>
        <v>0</v>
      </c>
      <c r="M860" s="215" t="s">
        <v>68</v>
      </c>
      <c r="N860" s="212" t="s">
        <v>68</v>
      </c>
      <c r="O860" s="212"/>
      <c r="P860" s="212" t="s">
        <v>1098</v>
      </c>
      <c r="Q860" s="212" t="s">
        <v>68</v>
      </c>
      <c r="R860" s="212" t="s">
        <v>1968</v>
      </c>
      <c r="S860" s="212"/>
      <c r="T860" s="212"/>
      <c r="U860" s="212"/>
      <c r="V860" s="212"/>
      <c r="W860" s="212"/>
      <c r="X860" s="212"/>
      <c r="Y860" s="212"/>
      <c r="Z860" s="212"/>
      <c r="AA860" s="220" t="s">
        <v>1955</v>
      </c>
      <c r="AB860" s="212">
        <f>(호표!H859+호표!H860)*0.02</f>
        <v>0</v>
      </c>
      <c r="AC860" s="220" t="s">
        <v>1956</v>
      </c>
      <c r="AD860" s="212">
        <f>$AB860</f>
        <v>0</v>
      </c>
      <c r="AE860" s="212"/>
      <c r="AF860" s="212"/>
      <c r="AG860" s="212"/>
      <c r="AH860" s="212"/>
      <c r="AI860" s="212"/>
      <c r="AJ860" s="212"/>
      <c r="AK860" s="212"/>
      <c r="AL860" s="212"/>
      <c r="AM860" s="212"/>
      <c r="AN860" s="212"/>
      <c r="AO860" s="212"/>
      <c r="AP860" s="212"/>
      <c r="AQ860" s="212"/>
      <c r="AR860" s="212"/>
      <c r="AS860" s="212"/>
      <c r="AT860" s="212"/>
      <c r="AU860" s="212"/>
      <c r="AV860" s="212"/>
      <c r="AW860" s="212"/>
      <c r="AX860" s="212"/>
      <c r="AY860" s="212"/>
      <c r="AZ860" s="212"/>
      <c r="BA860" s="212"/>
      <c r="BB860" s="212"/>
      <c r="BC860" s="212"/>
      <c r="BD860" s="212"/>
      <c r="BE860" s="212"/>
      <c r="BF860" s="212"/>
      <c r="BG860" s="212"/>
      <c r="BH860" s="212"/>
      <c r="BI860" s="231" t="str">
        <f>HYPERLINK("#노임!A3","L001010101000002 →")</f>
        <v>L001010101000002 →</v>
      </c>
    </row>
    <row r="861" spans="1:61" ht="24" customHeight="1">
      <c r="A861" s="218" t="s">
        <v>1974</v>
      </c>
      <c r="B861" s="218" t="s">
        <v>1958</v>
      </c>
      <c r="C861" s="228">
        <v>2</v>
      </c>
      <c r="D861" s="213" t="s">
        <v>1950</v>
      </c>
      <c r="E861" s="213"/>
      <c r="F861" s="217">
        <v>0</v>
      </c>
      <c r="G861" s="213"/>
      <c r="H861" s="217">
        <v>0</v>
      </c>
      <c r="I861" s="213"/>
      <c r="J861" s="217">
        <f>TRUNC(((H859+H860)*0.02),0)</f>
        <v>0</v>
      </c>
      <c r="K861" s="217">
        <f>E861+G861+I861</f>
        <v>0</v>
      </c>
      <c r="L861" s="217">
        <f>F861+H861+J861</f>
        <v>0</v>
      </c>
      <c r="M861" s="215" t="s">
        <v>68</v>
      </c>
      <c r="N861" s="212" t="s">
        <v>68</v>
      </c>
      <c r="O861" s="212"/>
      <c r="P861" s="212" t="s">
        <v>1101</v>
      </c>
      <c r="Q861" s="212" t="s">
        <v>68</v>
      </c>
      <c r="R861" s="212" t="s">
        <v>1121</v>
      </c>
      <c r="S861" s="212"/>
      <c r="T861" s="212"/>
      <c r="U861" s="212"/>
      <c r="V861" s="212"/>
      <c r="W861" s="212"/>
      <c r="X861" s="212" t="s">
        <v>1975</v>
      </c>
      <c r="Y861" s="212"/>
      <c r="Z861" s="212"/>
      <c r="AA861" s="212"/>
      <c r="AB861" s="212"/>
      <c r="AC861" s="212"/>
      <c r="AD861" s="212"/>
      <c r="AE861" s="212"/>
      <c r="AF861" s="212"/>
      <c r="AG861" s="212"/>
      <c r="AH861" s="212"/>
      <c r="AI861" s="212"/>
      <c r="AJ861" s="212"/>
      <c r="AK861" s="212"/>
      <c r="AL861" s="212"/>
      <c r="AM861" s="212"/>
      <c r="AN861" s="212"/>
      <c r="AO861" s="212"/>
      <c r="AP861" s="212"/>
      <c r="AQ861" s="212"/>
      <c r="AR861" s="212"/>
      <c r="AS861" s="212"/>
      <c r="AT861" s="212"/>
      <c r="AU861" s="212"/>
      <c r="AV861" s="212"/>
      <c r="AW861" s="212"/>
      <c r="AX861" s="212"/>
      <c r="AY861" s="212"/>
      <c r="AZ861" s="212"/>
      <c r="BA861" s="212"/>
      <c r="BB861" s="212"/>
      <c r="BC861" s="212"/>
      <c r="BD861" s="212"/>
      <c r="BE861" s="212"/>
      <c r="BF861" s="212"/>
      <c r="BG861" s="212"/>
      <c r="BH861" s="212"/>
      <c r="BI861" s="212"/>
    </row>
    <row r="862" spans="1:61" ht="24" customHeight="1">
      <c r="A862" s="215"/>
      <c r="B862" s="215"/>
      <c r="C862" s="229"/>
      <c r="D862" s="213"/>
      <c r="E862" s="213"/>
      <c r="F862" s="213"/>
      <c r="G862" s="213"/>
      <c r="H862" s="213"/>
      <c r="I862" s="213"/>
      <c r="J862" s="213"/>
      <c r="K862" s="213"/>
      <c r="L862" s="213"/>
      <c r="M862" s="215"/>
      <c r="N862" s="212"/>
      <c r="O862" s="212"/>
      <c r="P862" s="212"/>
      <c r="Q862" s="212"/>
      <c r="R862" s="212"/>
      <c r="S862" s="212"/>
      <c r="T862" s="212"/>
      <c r="U862" s="212"/>
      <c r="V862" s="212"/>
      <c r="W862" s="212"/>
      <c r="X862" s="212"/>
      <c r="Y862" s="212"/>
      <c r="Z862" s="212"/>
      <c r="AA862" s="212"/>
      <c r="AB862" s="212"/>
      <c r="AC862" s="212"/>
      <c r="AD862" s="212"/>
      <c r="AE862" s="212"/>
      <c r="AF862" s="212"/>
      <c r="AG862" s="212"/>
      <c r="AH862" s="212"/>
      <c r="AI862" s="212"/>
      <c r="AJ862" s="212"/>
      <c r="AK862" s="212"/>
      <c r="AL862" s="212"/>
      <c r="AM862" s="212"/>
      <c r="AN862" s="212"/>
      <c r="AO862" s="212"/>
      <c r="AP862" s="212"/>
      <c r="AQ862" s="212"/>
      <c r="AR862" s="212"/>
      <c r="AS862" s="212"/>
      <c r="AT862" s="212"/>
      <c r="AU862" s="212"/>
      <c r="AV862" s="212"/>
      <c r="AW862" s="212"/>
      <c r="AX862" s="212"/>
      <c r="AY862" s="212"/>
      <c r="AZ862" s="212"/>
      <c r="BA862" s="212"/>
      <c r="BB862" s="212"/>
      <c r="BC862" s="212"/>
      <c r="BD862" s="212"/>
      <c r="BE862" s="212"/>
      <c r="BF862" s="212"/>
      <c r="BG862" s="212"/>
      <c r="BH862" s="212"/>
      <c r="BI862" s="212"/>
    </row>
    <row r="863" spans="1:61" ht="24" customHeight="1">
      <c r="A863" s="218" t="s">
        <v>2483</v>
      </c>
      <c r="B863" s="218" t="s">
        <v>1313</v>
      </c>
      <c r="C863" s="228">
        <v>1</v>
      </c>
      <c r="D863" s="213" t="s">
        <v>9</v>
      </c>
      <c r="E863" s="212"/>
      <c r="F863" s="217">
        <f>TRUNC(F864+F865+F866+F867,0)</f>
        <v>0</v>
      </c>
      <c r="G863" s="212"/>
      <c r="H863" s="217">
        <f>TRUNC(H864+H865+H866+H867,0)</f>
        <v>0</v>
      </c>
      <c r="I863" s="212"/>
      <c r="J863" s="217">
        <f>TRUNC(J864+J865+J866+J867,0)</f>
        <v>0</v>
      </c>
      <c r="K863" s="212"/>
      <c r="L863" s="217">
        <f>F863+H863+J863</f>
        <v>0</v>
      </c>
      <c r="M863" s="215" t="s">
        <v>1882</v>
      </c>
      <c r="N863" s="212" t="s">
        <v>68</v>
      </c>
      <c r="O863" s="212" t="s">
        <v>1899</v>
      </c>
      <c r="P863" s="212"/>
      <c r="Q863" s="212"/>
      <c r="R863" s="212"/>
      <c r="S863" s="212"/>
      <c r="T863" s="212"/>
      <c r="U863" s="212"/>
      <c r="V863" s="212"/>
      <c r="W863" s="212"/>
      <c r="X863" s="212"/>
      <c r="Y863" s="212"/>
      <c r="Z863" s="212"/>
      <c r="AA863" s="212"/>
      <c r="AB863" s="212"/>
      <c r="AC863" s="212"/>
      <c r="AD863" s="212"/>
      <c r="AE863" s="212"/>
      <c r="AF863" s="212"/>
      <c r="AG863" s="212"/>
      <c r="AH863" s="212"/>
      <c r="AI863" s="212"/>
      <c r="AJ863" s="212"/>
      <c r="AK863" s="212"/>
      <c r="AL863" s="212"/>
      <c r="AM863" s="212"/>
      <c r="AN863" s="212"/>
      <c r="AO863" s="212"/>
      <c r="AP863" s="212"/>
      <c r="AQ863" s="212"/>
      <c r="AR863" s="212"/>
      <c r="AS863" s="212"/>
      <c r="AT863" s="212"/>
      <c r="AU863" s="212"/>
      <c r="AV863" s="212"/>
      <c r="AW863" s="212"/>
      <c r="AX863" s="212"/>
      <c r="AY863" s="212"/>
      <c r="AZ863" s="212"/>
      <c r="BA863" s="212"/>
      <c r="BB863" s="212"/>
      <c r="BC863" s="212"/>
      <c r="BD863" s="212"/>
      <c r="BE863" s="212"/>
      <c r="BF863" s="212"/>
      <c r="BG863" s="212"/>
      <c r="BH863" s="212"/>
      <c r="BI863" s="212"/>
    </row>
    <row r="864" spans="1:61" ht="24" customHeight="1">
      <c r="A864" s="218" t="s">
        <v>401</v>
      </c>
      <c r="B864" s="218" t="s">
        <v>1313</v>
      </c>
      <c r="C864" s="228">
        <v>1</v>
      </c>
      <c r="D864" s="213" t="s">
        <v>9</v>
      </c>
      <c r="E864" s="217">
        <f>자재!D78</f>
        <v>0</v>
      </c>
      <c r="F864" s="217">
        <f>TRUNC(E864*C864,0)</f>
        <v>0</v>
      </c>
      <c r="G864" s="217">
        <v>0</v>
      </c>
      <c r="H864" s="217"/>
      <c r="I864" s="217">
        <v>0</v>
      </c>
      <c r="J864" s="217"/>
      <c r="K864" s="217">
        <f>E864+G864+I864</f>
        <v>0</v>
      </c>
      <c r="L864" s="217">
        <f>F864+H864+J864</f>
        <v>0</v>
      </c>
      <c r="M864" s="215" t="s">
        <v>68</v>
      </c>
      <c r="N864" s="212" t="s">
        <v>68</v>
      </c>
      <c r="O864" s="212"/>
      <c r="P864" s="212" t="s">
        <v>2245</v>
      </c>
      <c r="Q864" s="212" t="s">
        <v>68</v>
      </c>
      <c r="R864" s="212" t="s">
        <v>2484</v>
      </c>
      <c r="S864" s="212"/>
      <c r="T864" s="212"/>
      <c r="U864" s="212"/>
      <c r="V864" s="212"/>
      <c r="W864" s="212"/>
      <c r="X864" s="212"/>
      <c r="Y864" s="212"/>
      <c r="Z864" s="212"/>
      <c r="AA864" s="212"/>
      <c r="AB864" s="212"/>
      <c r="AC864" s="212"/>
      <c r="AD864" s="212"/>
      <c r="AE864" s="212"/>
      <c r="AF864" s="212"/>
      <c r="AG864" s="212"/>
      <c r="AH864" s="212"/>
      <c r="AI864" s="212"/>
      <c r="AJ864" s="212"/>
      <c r="AK864" s="212"/>
      <c r="AL864" s="212"/>
      <c r="AM864" s="212"/>
      <c r="AN864" s="212"/>
      <c r="AO864" s="212"/>
      <c r="AP864" s="212"/>
      <c r="AQ864" s="212"/>
      <c r="AR864" s="212"/>
      <c r="AS864" s="212"/>
      <c r="AT864" s="212"/>
      <c r="AU864" s="212"/>
      <c r="AV864" s="212"/>
      <c r="AW864" s="212"/>
      <c r="AX864" s="212"/>
      <c r="AY864" s="212"/>
      <c r="AZ864" s="212"/>
      <c r="BA864" s="212"/>
      <c r="BB864" s="212"/>
      <c r="BC864" s="212"/>
      <c r="BD864" s="212"/>
      <c r="BE864" s="212"/>
      <c r="BF864" s="212"/>
      <c r="BG864" s="212"/>
      <c r="BH864" s="212"/>
      <c r="BI864" s="231" t="str">
        <f>HYPERLINK("#자재!A78","MZZ9000016 →")</f>
        <v>MZZ9000016 →</v>
      </c>
    </row>
    <row r="865" spans="1:61" ht="24" customHeight="1">
      <c r="A865" s="218" t="s">
        <v>2007</v>
      </c>
      <c r="B865" s="218" t="s">
        <v>1946</v>
      </c>
      <c r="C865" s="229">
        <v>0.154</v>
      </c>
      <c r="D865" s="213" t="s">
        <v>1286</v>
      </c>
      <c r="E865" s="217">
        <v>0</v>
      </c>
      <c r="F865" s="217"/>
      <c r="G865" s="217">
        <f>노임!D16</f>
        <v>0</v>
      </c>
      <c r="H865" s="217">
        <f>TRUNC(G865*C865,0)</f>
        <v>0</v>
      </c>
      <c r="I865" s="217">
        <v>0</v>
      </c>
      <c r="J865" s="217"/>
      <c r="K865" s="217">
        <f>E865+G865+I865</f>
        <v>0</v>
      </c>
      <c r="L865" s="217">
        <f>F865+H865+J865</f>
        <v>0</v>
      </c>
      <c r="M865" s="215" t="s">
        <v>68</v>
      </c>
      <c r="N865" s="212" t="s">
        <v>68</v>
      </c>
      <c r="O865" s="212"/>
      <c r="P865" s="212" t="s">
        <v>1095</v>
      </c>
      <c r="Q865" s="212" t="s">
        <v>68</v>
      </c>
      <c r="R865" s="212" t="s">
        <v>2008</v>
      </c>
      <c r="S865" s="212"/>
      <c r="T865" s="212"/>
      <c r="U865" s="212"/>
      <c r="V865" s="212"/>
      <c r="W865" s="212"/>
      <c r="X865" s="212"/>
      <c r="Y865" s="212"/>
      <c r="Z865" s="212"/>
      <c r="AA865" s="212"/>
      <c r="AB865" s="212"/>
      <c r="AC865" s="212"/>
      <c r="AD865" s="212"/>
      <c r="AE865" s="212"/>
      <c r="AF865" s="212"/>
      <c r="AG865" s="212"/>
      <c r="AH865" s="212"/>
      <c r="AI865" s="212"/>
      <c r="AJ865" s="212"/>
      <c r="AK865" s="212"/>
      <c r="AL865" s="212"/>
      <c r="AM865" s="212"/>
      <c r="AN865" s="212"/>
      <c r="AO865" s="212"/>
      <c r="AP865" s="212"/>
      <c r="AQ865" s="212"/>
      <c r="AR865" s="212"/>
      <c r="AS865" s="212"/>
      <c r="AT865" s="212"/>
      <c r="AU865" s="212"/>
      <c r="AV865" s="212"/>
      <c r="AW865" s="212"/>
      <c r="AX865" s="212"/>
      <c r="AY865" s="212"/>
      <c r="AZ865" s="212"/>
      <c r="BA865" s="212"/>
      <c r="BB865" s="212"/>
      <c r="BC865" s="212"/>
      <c r="BD865" s="212"/>
      <c r="BE865" s="212"/>
      <c r="BF865" s="212"/>
      <c r="BG865" s="212"/>
      <c r="BH865" s="212"/>
      <c r="BI865" s="231" t="str">
        <f>HYPERLINK("#노임!A16","L001010101000028 →")</f>
        <v>L001010101000028 →</v>
      </c>
    </row>
    <row r="866" spans="1:61" ht="24" customHeight="1">
      <c r="A866" s="218" t="s">
        <v>1967</v>
      </c>
      <c r="B866" s="218" t="s">
        <v>1946</v>
      </c>
      <c r="C866" s="229">
        <v>7.6999999999999999E-2</v>
      </c>
      <c r="D866" s="213" t="s">
        <v>1286</v>
      </c>
      <c r="E866" s="217">
        <v>0</v>
      </c>
      <c r="F866" s="217"/>
      <c r="G866" s="217">
        <f>노임!D3</f>
        <v>0</v>
      </c>
      <c r="H866" s="217">
        <f>TRUNC(G866*C866,0)</f>
        <v>0</v>
      </c>
      <c r="I866" s="217">
        <v>0</v>
      </c>
      <c r="J866" s="217"/>
      <c r="K866" s="217">
        <f>E866+G866+I866</f>
        <v>0</v>
      </c>
      <c r="L866" s="217">
        <f>F866+H866+J866</f>
        <v>0</v>
      </c>
      <c r="M866" s="215" t="s">
        <v>68</v>
      </c>
      <c r="N866" s="212" t="s">
        <v>68</v>
      </c>
      <c r="O866" s="212"/>
      <c r="P866" s="212" t="s">
        <v>1098</v>
      </c>
      <c r="Q866" s="212" t="s">
        <v>68</v>
      </c>
      <c r="R866" s="212" t="s">
        <v>1968</v>
      </c>
      <c r="S866" s="212"/>
      <c r="T866" s="212"/>
      <c r="U866" s="212"/>
      <c r="V866" s="212"/>
      <c r="W866" s="212"/>
      <c r="X866" s="212"/>
      <c r="Y866" s="212"/>
      <c r="Z866" s="212"/>
      <c r="AA866" s="220" t="s">
        <v>1955</v>
      </c>
      <c r="AB866" s="212">
        <f>(호표!H865+호표!H866)*0.03</f>
        <v>0</v>
      </c>
      <c r="AC866" s="220" t="s">
        <v>1956</v>
      </c>
      <c r="AD866" s="212">
        <f>$AB866</f>
        <v>0</v>
      </c>
      <c r="AE866" s="212"/>
      <c r="AF866" s="212"/>
      <c r="AG866" s="212"/>
      <c r="AH866" s="212"/>
      <c r="AI866" s="212"/>
      <c r="AJ866" s="212"/>
      <c r="AK866" s="212"/>
      <c r="AL866" s="212"/>
      <c r="AM866" s="212"/>
      <c r="AN866" s="212"/>
      <c r="AO866" s="212"/>
      <c r="AP866" s="212"/>
      <c r="AQ866" s="212"/>
      <c r="AR866" s="212"/>
      <c r="AS866" s="212"/>
      <c r="AT866" s="212"/>
      <c r="AU866" s="212"/>
      <c r="AV866" s="212"/>
      <c r="AW866" s="212"/>
      <c r="AX866" s="212"/>
      <c r="AY866" s="212"/>
      <c r="AZ866" s="212"/>
      <c r="BA866" s="212"/>
      <c r="BB866" s="212"/>
      <c r="BC866" s="212"/>
      <c r="BD866" s="212"/>
      <c r="BE866" s="212"/>
      <c r="BF866" s="212"/>
      <c r="BG866" s="212"/>
      <c r="BH866" s="212"/>
      <c r="BI866" s="231" t="str">
        <f>HYPERLINK("#노임!A3","L001010101000002 →")</f>
        <v>L001010101000002 →</v>
      </c>
    </row>
    <row r="867" spans="1:61" ht="24" customHeight="1">
      <c r="A867" s="218" t="s">
        <v>1974</v>
      </c>
      <c r="B867" s="218" t="s">
        <v>1949</v>
      </c>
      <c r="C867" s="228">
        <v>3</v>
      </c>
      <c r="D867" s="213" t="s">
        <v>1950</v>
      </c>
      <c r="E867" s="213"/>
      <c r="F867" s="217">
        <v>0</v>
      </c>
      <c r="G867" s="213"/>
      <c r="H867" s="217">
        <v>0</v>
      </c>
      <c r="I867" s="213"/>
      <c r="J867" s="217">
        <f>TRUNC(((H865+H866)*0.03),0)</f>
        <v>0</v>
      </c>
      <c r="K867" s="217">
        <f>E867+G867+I867</f>
        <v>0</v>
      </c>
      <c r="L867" s="217">
        <f>F867+H867+J867</f>
        <v>0</v>
      </c>
      <c r="M867" s="215" t="s">
        <v>68</v>
      </c>
      <c r="N867" s="212" t="s">
        <v>68</v>
      </c>
      <c r="O867" s="212"/>
      <c r="P867" s="212" t="s">
        <v>1104</v>
      </c>
      <c r="Q867" s="212" t="s">
        <v>68</v>
      </c>
      <c r="R867" s="212" t="s">
        <v>1121</v>
      </c>
      <c r="S867" s="212"/>
      <c r="T867" s="212"/>
      <c r="U867" s="212"/>
      <c r="V867" s="212"/>
      <c r="W867" s="212"/>
      <c r="X867" s="212" t="s">
        <v>2130</v>
      </c>
      <c r="Y867" s="212"/>
      <c r="Z867" s="212"/>
      <c r="AA867" s="212"/>
      <c r="AB867" s="212"/>
      <c r="AC867" s="212"/>
      <c r="AD867" s="212"/>
      <c r="AE867" s="212"/>
      <c r="AF867" s="212"/>
      <c r="AG867" s="212"/>
      <c r="AH867" s="212"/>
      <c r="AI867" s="212"/>
      <c r="AJ867" s="212"/>
      <c r="AK867" s="212"/>
      <c r="AL867" s="212"/>
      <c r="AM867" s="212"/>
      <c r="AN867" s="212"/>
      <c r="AO867" s="212"/>
      <c r="AP867" s="212"/>
      <c r="AQ867" s="212"/>
      <c r="AR867" s="212"/>
      <c r="AS867" s="212"/>
      <c r="AT867" s="212"/>
      <c r="AU867" s="212"/>
      <c r="AV867" s="212"/>
      <c r="AW867" s="212"/>
      <c r="AX867" s="212"/>
      <c r="AY867" s="212"/>
      <c r="AZ867" s="212"/>
      <c r="BA867" s="212"/>
      <c r="BB867" s="212"/>
      <c r="BC867" s="212"/>
      <c r="BD867" s="212"/>
      <c r="BE867" s="212"/>
      <c r="BF867" s="212"/>
      <c r="BG867" s="212"/>
      <c r="BH867" s="212"/>
      <c r="BI867" s="212"/>
    </row>
    <row r="868" spans="1:61" ht="24" customHeight="1">
      <c r="A868" s="215"/>
      <c r="B868" s="215"/>
      <c r="C868" s="229"/>
      <c r="D868" s="213"/>
      <c r="E868" s="213"/>
      <c r="F868" s="213"/>
      <c r="G868" s="213"/>
      <c r="H868" s="213"/>
      <c r="I868" s="213"/>
      <c r="J868" s="213"/>
      <c r="K868" s="213"/>
      <c r="L868" s="213"/>
      <c r="M868" s="215"/>
      <c r="N868" s="212"/>
      <c r="O868" s="212"/>
      <c r="P868" s="212"/>
      <c r="Q868" s="212"/>
      <c r="R868" s="212"/>
      <c r="S868" s="212"/>
      <c r="T868" s="212"/>
      <c r="U868" s="212"/>
      <c r="V868" s="212"/>
      <c r="W868" s="212"/>
      <c r="X868" s="212"/>
      <c r="Y868" s="212"/>
      <c r="Z868" s="212"/>
      <c r="AA868" s="212"/>
      <c r="AB868" s="212"/>
      <c r="AC868" s="212"/>
      <c r="AD868" s="212"/>
      <c r="AE868" s="212"/>
      <c r="AF868" s="212"/>
      <c r="AG868" s="212"/>
      <c r="AH868" s="212"/>
      <c r="AI868" s="212"/>
      <c r="AJ868" s="212"/>
      <c r="AK868" s="212"/>
      <c r="AL868" s="212"/>
      <c r="AM868" s="212"/>
      <c r="AN868" s="212"/>
      <c r="AO868" s="212"/>
      <c r="AP868" s="212"/>
      <c r="AQ868" s="212"/>
      <c r="AR868" s="212"/>
      <c r="AS868" s="212"/>
      <c r="AT868" s="212"/>
      <c r="AU868" s="212"/>
      <c r="AV868" s="212"/>
      <c r="AW868" s="212"/>
      <c r="AX868" s="212"/>
      <c r="AY868" s="212"/>
      <c r="AZ868" s="212"/>
      <c r="BA868" s="212"/>
      <c r="BB868" s="212"/>
      <c r="BC868" s="212"/>
      <c r="BD868" s="212"/>
      <c r="BE868" s="212"/>
      <c r="BF868" s="212"/>
      <c r="BG868" s="212"/>
      <c r="BH868" s="212"/>
      <c r="BI868" s="212"/>
    </row>
    <row r="869" spans="1:61" ht="24" customHeight="1">
      <c r="A869" s="218" t="s">
        <v>2485</v>
      </c>
      <c r="B869" s="218" t="s">
        <v>1901</v>
      </c>
      <c r="C869" s="228">
        <v>1</v>
      </c>
      <c r="D869" s="213" t="s">
        <v>9</v>
      </c>
      <c r="E869" s="212"/>
      <c r="F869" s="217">
        <f>TRUNC(F870,0)</f>
        <v>0</v>
      </c>
      <c r="G869" s="212"/>
      <c r="H869" s="217">
        <f>TRUNC(H870,0)</f>
        <v>0</v>
      </c>
      <c r="I869" s="212"/>
      <c r="J869" s="217">
        <f>TRUNC(J870,0)</f>
        <v>0</v>
      </c>
      <c r="K869" s="212"/>
      <c r="L869" s="217">
        <f>F869+H869+J869</f>
        <v>0</v>
      </c>
      <c r="M869" s="215" t="s">
        <v>1902</v>
      </c>
      <c r="N869" s="212" t="s">
        <v>68</v>
      </c>
      <c r="O869" s="212" t="s">
        <v>1903</v>
      </c>
      <c r="P869" s="212"/>
      <c r="Q869" s="212"/>
      <c r="R869" s="212"/>
      <c r="S869" s="212"/>
      <c r="T869" s="212"/>
      <c r="U869" s="212"/>
      <c r="V869" s="212"/>
      <c r="W869" s="212"/>
      <c r="X869" s="212"/>
      <c r="Y869" s="212"/>
      <c r="Z869" s="212"/>
      <c r="AA869" s="212"/>
      <c r="AB869" s="212"/>
      <c r="AC869" s="212"/>
      <c r="AD869" s="212"/>
      <c r="AE869" s="212"/>
      <c r="AF869" s="212"/>
      <c r="AG869" s="212"/>
      <c r="AH869" s="212"/>
      <c r="AI869" s="212"/>
      <c r="AJ869" s="212"/>
      <c r="AK869" s="212"/>
      <c r="AL869" s="212"/>
      <c r="AM869" s="212"/>
      <c r="AN869" s="212"/>
      <c r="AO869" s="212"/>
      <c r="AP869" s="212"/>
      <c r="AQ869" s="212"/>
      <c r="AR869" s="212"/>
      <c r="AS869" s="212"/>
      <c r="AT869" s="212"/>
      <c r="AU869" s="212"/>
      <c r="AV869" s="212"/>
      <c r="AW869" s="212"/>
      <c r="AX869" s="212"/>
      <c r="AY869" s="212"/>
      <c r="AZ869" s="212"/>
      <c r="BA869" s="212"/>
      <c r="BB869" s="212"/>
      <c r="BC869" s="212"/>
      <c r="BD869" s="212"/>
      <c r="BE869" s="212"/>
      <c r="BF869" s="212"/>
      <c r="BG869" s="212"/>
      <c r="BH869" s="212"/>
      <c r="BI869" s="212"/>
    </row>
    <row r="870" spans="1:61" ht="24" customHeight="1">
      <c r="A870" s="218" t="s">
        <v>2486</v>
      </c>
      <c r="B870" s="218" t="s">
        <v>1921</v>
      </c>
      <c r="C870" s="229">
        <v>5.0000000000000001E-3</v>
      </c>
      <c r="D870" s="213" t="s">
        <v>15</v>
      </c>
      <c r="E870" s="217">
        <f>일위목록!E157</f>
        <v>0</v>
      </c>
      <c r="F870" s="217">
        <f>TRUNC(E870*C870,0)</f>
        <v>0</v>
      </c>
      <c r="G870" s="217">
        <f>일위목록!F157</f>
        <v>0</v>
      </c>
      <c r="H870" s="217">
        <f>TRUNC(G870*C870,0)</f>
        <v>0</v>
      </c>
      <c r="I870" s="217">
        <f>일위목록!G157</f>
        <v>0</v>
      </c>
      <c r="J870" s="217">
        <f>TRUNC(I870*C870,0)</f>
        <v>0</v>
      </c>
      <c r="K870" s="217">
        <f>E870+G870+I870</f>
        <v>0</v>
      </c>
      <c r="L870" s="217">
        <f>F870+H870+J870</f>
        <v>0</v>
      </c>
      <c r="M870" s="215" t="s">
        <v>68</v>
      </c>
      <c r="N870" s="212" t="s">
        <v>68</v>
      </c>
      <c r="O870" s="212"/>
      <c r="P870" s="212" t="s">
        <v>1095</v>
      </c>
      <c r="Q870" s="212" t="s">
        <v>68</v>
      </c>
      <c r="R870" s="212" t="s">
        <v>1923</v>
      </c>
      <c r="S870" s="212"/>
      <c r="T870" s="212" t="s">
        <v>1129</v>
      </c>
      <c r="U870" s="212"/>
      <c r="V870" s="212"/>
      <c r="W870" s="212"/>
      <c r="X870" s="212"/>
      <c r="Y870" s="212"/>
      <c r="Z870" s="212"/>
      <c r="AA870" s="212"/>
      <c r="AB870" s="212"/>
      <c r="AC870" s="212"/>
      <c r="AD870" s="212"/>
      <c r="AE870" s="212"/>
      <c r="AF870" s="212"/>
      <c r="AG870" s="212"/>
      <c r="AH870" s="212"/>
      <c r="AI870" s="212"/>
      <c r="AJ870" s="212"/>
      <c r="AK870" s="212"/>
      <c r="AL870" s="212"/>
      <c r="AM870" s="212"/>
      <c r="AN870" s="212"/>
      <c r="AO870" s="212"/>
      <c r="AP870" s="212"/>
      <c r="AQ870" s="212"/>
      <c r="AR870" s="212"/>
      <c r="AS870" s="212"/>
      <c r="AT870" s="212"/>
      <c r="AU870" s="212"/>
      <c r="AV870" s="212"/>
      <c r="AW870" s="212"/>
      <c r="AX870" s="212"/>
      <c r="AY870" s="212"/>
      <c r="AZ870" s="212"/>
      <c r="BA870" s="212"/>
      <c r="BB870" s="212"/>
      <c r="BC870" s="212"/>
      <c r="BD870" s="212"/>
      <c r="BE870" s="212"/>
      <c r="BF870" s="212"/>
      <c r="BG870" s="212"/>
      <c r="BH870" s="212"/>
      <c r="BI870" s="231" t="str">
        <f>HYPERLINK("#일위대가목록!A157","P9-1-1/1 →")</f>
        <v>P9-1-1/1 →</v>
      </c>
    </row>
    <row r="871" spans="1:61" ht="24" customHeight="1">
      <c r="A871" s="215"/>
      <c r="B871" s="215"/>
      <c r="C871" s="229"/>
      <c r="D871" s="213"/>
      <c r="E871" s="213"/>
      <c r="F871" s="213"/>
      <c r="G871" s="213"/>
      <c r="H871" s="213"/>
      <c r="I871" s="213"/>
      <c r="J871" s="213"/>
      <c r="K871" s="213"/>
      <c r="L871" s="213"/>
      <c r="M871" s="215"/>
      <c r="N871" s="212"/>
      <c r="O871" s="212"/>
      <c r="P871" s="212"/>
      <c r="Q871" s="212"/>
      <c r="R871" s="212"/>
      <c r="S871" s="212"/>
      <c r="T871" s="212"/>
      <c r="U871" s="212"/>
      <c r="V871" s="212"/>
      <c r="W871" s="212"/>
      <c r="X871" s="212"/>
      <c r="Y871" s="212"/>
      <c r="Z871" s="212"/>
      <c r="AA871" s="212"/>
      <c r="AB871" s="212"/>
      <c r="AC871" s="212"/>
      <c r="AD871" s="212"/>
      <c r="AE871" s="212"/>
      <c r="AF871" s="212"/>
      <c r="AG871" s="212"/>
      <c r="AH871" s="212"/>
      <c r="AI871" s="212"/>
      <c r="AJ871" s="212"/>
      <c r="AK871" s="212"/>
      <c r="AL871" s="212"/>
      <c r="AM871" s="212"/>
      <c r="AN871" s="212"/>
      <c r="AO871" s="212"/>
      <c r="AP871" s="212"/>
      <c r="AQ871" s="212"/>
      <c r="AR871" s="212"/>
      <c r="AS871" s="212"/>
      <c r="AT871" s="212"/>
      <c r="AU871" s="212"/>
      <c r="AV871" s="212"/>
      <c r="AW871" s="212"/>
      <c r="AX871" s="212"/>
      <c r="AY871" s="212"/>
      <c r="AZ871" s="212"/>
      <c r="BA871" s="212"/>
      <c r="BB871" s="212"/>
      <c r="BC871" s="212"/>
      <c r="BD871" s="212"/>
      <c r="BE871" s="212"/>
      <c r="BF871" s="212"/>
      <c r="BG871" s="212"/>
      <c r="BH871" s="212"/>
      <c r="BI871" s="212"/>
    </row>
    <row r="872" spans="1:61" ht="24" customHeight="1">
      <c r="A872" s="218" t="s">
        <v>2487</v>
      </c>
      <c r="B872" s="218" t="s">
        <v>1905</v>
      </c>
      <c r="C872" s="228">
        <v>1</v>
      </c>
      <c r="D872" s="213" t="s">
        <v>9</v>
      </c>
      <c r="E872" s="212"/>
      <c r="F872" s="217">
        <f>TRUNC(F873,0)</f>
        <v>0</v>
      </c>
      <c r="G872" s="212"/>
      <c r="H872" s="217">
        <f>TRUNC(H873,0)</f>
        <v>0</v>
      </c>
      <c r="I872" s="212"/>
      <c r="J872" s="217">
        <f>TRUNC(J873,0)</f>
        <v>0</v>
      </c>
      <c r="K872" s="212"/>
      <c r="L872" s="217">
        <f>F872+H872+J872</f>
        <v>0</v>
      </c>
      <c r="M872" s="215" t="s">
        <v>1902</v>
      </c>
      <c r="N872" s="212" t="s">
        <v>68</v>
      </c>
      <c r="O872" s="212" t="s">
        <v>1906</v>
      </c>
      <c r="P872" s="212"/>
      <c r="Q872" s="212"/>
      <c r="R872" s="212"/>
      <c r="S872" s="212"/>
      <c r="T872" s="212"/>
      <c r="U872" s="212"/>
      <c r="V872" s="212"/>
      <c r="W872" s="212"/>
      <c r="X872" s="212"/>
      <c r="Y872" s="212"/>
      <c r="Z872" s="212"/>
      <c r="AA872" s="212"/>
      <c r="AB872" s="212"/>
      <c r="AC872" s="212"/>
      <c r="AD872" s="212"/>
      <c r="AE872" s="212"/>
      <c r="AF872" s="212"/>
      <c r="AG872" s="212"/>
      <c r="AH872" s="212"/>
      <c r="AI872" s="212"/>
      <c r="AJ872" s="212"/>
      <c r="AK872" s="212"/>
      <c r="AL872" s="212"/>
      <c r="AM872" s="212"/>
      <c r="AN872" s="212"/>
      <c r="AO872" s="212"/>
      <c r="AP872" s="212"/>
      <c r="AQ872" s="212"/>
      <c r="AR872" s="212"/>
      <c r="AS872" s="212"/>
      <c r="AT872" s="212"/>
      <c r="AU872" s="212"/>
      <c r="AV872" s="212"/>
      <c r="AW872" s="212"/>
      <c r="AX872" s="212"/>
      <c r="AY872" s="212"/>
      <c r="AZ872" s="212"/>
      <c r="BA872" s="212"/>
      <c r="BB872" s="212"/>
      <c r="BC872" s="212"/>
      <c r="BD872" s="212"/>
      <c r="BE872" s="212"/>
      <c r="BF872" s="212"/>
      <c r="BG872" s="212"/>
      <c r="BH872" s="212"/>
      <c r="BI872" s="212"/>
    </row>
    <row r="873" spans="1:61" ht="24" customHeight="1">
      <c r="A873" s="218" t="s">
        <v>2488</v>
      </c>
      <c r="B873" s="218" t="s">
        <v>1946</v>
      </c>
      <c r="C873" s="229">
        <v>0.02</v>
      </c>
      <c r="D873" s="213" t="s">
        <v>1286</v>
      </c>
      <c r="E873" s="217">
        <v>0</v>
      </c>
      <c r="F873" s="217"/>
      <c r="G873" s="217">
        <f>노임!D19</f>
        <v>0</v>
      </c>
      <c r="H873" s="217">
        <f>TRUNC(G873*C873,0)</f>
        <v>0</v>
      </c>
      <c r="I873" s="217">
        <v>0</v>
      </c>
      <c r="J873" s="217"/>
      <c r="K873" s="217">
        <f>E873+G873+I873</f>
        <v>0</v>
      </c>
      <c r="L873" s="217">
        <f>F873+H873+J873</f>
        <v>0</v>
      </c>
      <c r="M873" s="215" t="s">
        <v>68</v>
      </c>
      <c r="N873" s="212" t="s">
        <v>68</v>
      </c>
      <c r="O873" s="212"/>
      <c r="P873" s="212" t="s">
        <v>1095</v>
      </c>
      <c r="Q873" s="212" t="s">
        <v>68</v>
      </c>
      <c r="R873" s="212" t="s">
        <v>2489</v>
      </c>
      <c r="S873" s="212"/>
      <c r="T873" s="212"/>
      <c r="U873" s="212"/>
      <c r="V873" s="212"/>
      <c r="W873" s="212"/>
      <c r="X873" s="212"/>
      <c r="Y873" s="212"/>
      <c r="Z873" s="212"/>
      <c r="AA873" s="212"/>
      <c r="AB873" s="212"/>
      <c r="AC873" s="212"/>
      <c r="AD873" s="212"/>
      <c r="AE873" s="212"/>
      <c r="AF873" s="212"/>
      <c r="AG873" s="212"/>
      <c r="AH873" s="212"/>
      <c r="AI873" s="212"/>
      <c r="AJ873" s="212"/>
      <c r="AK873" s="212"/>
      <c r="AL873" s="212"/>
      <c r="AM873" s="212"/>
      <c r="AN873" s="212"/>
      <c r="AO873" s="212"/>
      <c r="AP873" s="212"/>
      <c r="AQ873" s="212"/>
      <c r="AR873" s="212"/>
      <c r="AS873" s="212"/>
      <c r="AT873" s="212"/>
      <c r="AU873" s="212"/>
      <c r="AV873" s="212"/>
      <c r="AW873" s="212"/>
      <c r="AX873" s="212"/>
      <c r="AY873" s="212"/>
      <c r="AZ873" s="212"/>
      <c r="BA873" s="212"/>
      <c r="BB873" s="212"/>
      <c r="BC873" s="212"/>
      <c r="BD873" s="212"/>
      <c r="BE873" s="212"/>
      <c r="BF873" s="212"/>
      <c r="BG873" s="212"/>
      <c r="BH873" s="212"/>
      <c r="BI873" s="231" t="str">
        <f>HYPERLINK("#노임!A19","L001010101000034 →")</f>
        <v>L001010101000034 →</v>
      </c>
    </row>
    <row r="874" spans="1:61" ht="24" customHeight="1">
      <c r="A874" s="215"/>
      <c r="B874" s="215"/>
      <c r="C874" s="229"/>
      <c r="D874" s="213"/>
      <c r="E874" s="213"/>
      <c r="F874" s="213"/>
      <c r="G874" s="213"/>
      <c r="H874" s="213"/>
      <c r="I874" s="213"/>
      <c r="J874" s="213"/>
      <c r="K874" s="213"/>
      <c r="L874" s="213"/>
      <c r="M874" s="215"/>
      <c r="N874" s="212"/>
      <c r="O874" s="212"/>
      <c r="P874" s="212"/>
      <c r="Q874" s="212"/>
      <c r="R874" s="212"/>
      <c r="S874" s="212"/>
      <c r="T874" s="212"/>
      <c r="U874" s="212"/>
      <c r="V874" s="212"/>
      <c r="W874" s="212"/>
      <c r="X874" s="212"/>
      <c r="Y874" s="212"/>
      <c r="Z874" s="212"/>
      <c r="AA874" s="212"/>
      <c r="AB874" s="212"/>
      <c r="AC874" s="212"/>
      <c r="AD874" s="212"/>
      <c r="AE874" s="212"/>
      <c r="AF874" s="212"/>
      <c r="AG874" s="212"/>
      <c r="AH874" s="212"/>
      <c r="AI874" s="212"/>
      <c r="AJ874" s="212"/>
      <c r="AK874" s="212"/>
      <c r="AL874" s="212"/>
      <c r="AM874" s="212"/>
      <c r="AN874" s="212"/>
      <c r="AO874" s="212"/>
      <c r="AP874" s="212"/>
      <c r="AQ874" s="212"/>
      <c r="AR874" s="212"/>
      <c r="AS874" s="212"/>
      <c r="AT874" s="212"/>
      <c r="AU874" s="212"/>
      <c r="AV874" s="212"/>
      <c r="AW874" s="212"/>
      <c r="AX874" s="212"/>
      <c r="AY874" s="212"/>
      <c r="AZ874" s="212"/>
      <c r="BA874" s="212"/>
      <c r="BB874" s="212"/>
      <c r="BC874" s="212"/>
      <c r="BD874" s="212"/>
      <c r="BE874" s="212"/>
      <c r="BF874" s="212"/>
      <c r="BG874" s="212"/>
      <c r="BH874" s="212"/>
      <c r="BI874" s="212"/>
    </row>
    <row r="875" spans="1:61" ht="24" customHeight="1">
      <c r="A875" s="218" t="s">
        <v>2490</v>
      </c>
      <c r="B875" s="218" t="s">
        <v>1315</v>
      </c>
      <c r="C875" s="228">
        <v>1</v>
      </c>
      <c r="D875" s="213" t="s">
        <v>9</v>
      </c>
      <c r="E875" s="212"/>
      <c r="F875" s="217">
        <f>TRUNC(F876+F877+F878+F879,0)</f>
        <v>0</v>
      </c>
      <c r="G875" s="212"/>
      <c r="H875" s="217">
        <f>TRUNC(H876+H877+H878+H879,0)</f>
        <v>0</v>
      </c>
      <c r="I875" s="212"/>
      <c r="J875" s="217">
        <f>TRUNC(J876+J877+J878+J879,0)</f>
        <v>0</v>
      </c>
      <c r="K875" s="212"/>
      <c r="L875" s="217">
        <f>F875+H875+J875</f>
        <v>0</v>
      </c>
      <c r="M875" s="215" t="s">
        <v>1882</v>
      </c>
      <c r="N875" s="212" t="s">
        <v>68</v>
      </c>
      <c r="O875" s="212" t="s">
        <v>1908</v>
      </c>
      <c r="P875" s="212"/>
      <c r="Q875" s="212"/>
      <c r="R875" s="212"/>
      <c r="S875" s="212"/>
      <c r="T875" s="212"/>
      <c r="U875" s="212"/>
      <c r="V875" s="212"/>
      <c r="W875" s="212"/>
      <c r="X875" s="212"/>
      <c r="Y875" s="212"/>
      <c r="Z875" s="212"/>
      <c r="AA875" s="212"/>
      <c r="AB875" s="212"/>
      <c r="AC875" s="212"/>
      <c r="AD875" s="212"/>
      <c r="AE875" s="212"/>
      <c r="AF875" s="212"/>
      <c r="AG875" s="212"/>
      <c r="AH875" s="212"/>
      <c r="AI875" s="212"/>
      <c r="AJ875" s="212"/>
      <c r="AK875" s="212"/>
      <c r="AL875" s="212"/>
      <c r="AM875" s="212"/>
      <c r="AN875" s="212"/>
      <c r="AO875" s="212"/>
      <c r="AP875" s="212"/>
      <c r="AQ875" s="212"/>
      <c r="AR875" s="212"/>
      <c r="AS875" s="212"/>
      <c r="AT875" s="212"/>
      <c r="AU875" s="212"/>
      <c r="AV875" s="212"/>
      <c r="AW875" s="212"/>
      <c r="AX875" s="212"/>
      <c r="AY875" s="212"/>
      <c r="AZ875" s="212"/>
      <c r="BA875" s="212"/>
      <c r="BB875" s="212"/>
      <c r="BC875" s="212"/>
      <c r="BD875" s="212"/>
      <c r="BE875" s="212"/>
      <c r="BF875" s="212"/>
      <c r="BG875" s="212"/>
      <c r="BH875" s="212"/>
      <c r="BI875" s="212"/>
    </row>
    <row r="876" spans="1:61" ht="24" customHeight="1">
      <c r="A876" s="218" t="s">
        <v>401</v>
      </c>
      <c r="B876" s="218" t="s">
        <v>1315</v>
      </c>
      <c r="C876" s="228">
        <v>1</v>
      </c>
      <c r="D876" s="213" t="s">
        <v>9</v>
      </c>
      <c r="E876" s="217">
        <f>자재!D79</f>
        <v>0</v>
      </c>
      <c r="F876" s="217">
        <f>TRUNC(E876*C876,0)</f>
        <v>0</v>
      </c>
      <c r="G876" s="217">
        <v>0</v>
      </c>
      <c r="H876" s="217"/>
      <c r="I876" s="217">
        <v>0</v>
      </c>
      <c r="J876" s="217"/>
      <c r="K876" s="217">
        <f>E876+G876+I876</f>
        <v>0</v>
      </c>
      <c r="L876" s="217">
        <f>F876+H876+J876</f>
        <v>0</v>
      </c>
      <c r="M876" s="215" t="s">
        <v>68</v>
      </c>
      <c r="N876" s="212" t="s">
        <v>68</v>
      </c>
      <c r="O876" s="212"/>
      <c r="P876" s="212" t="s">
        <v>2245</v>
      </c>
      <c r="Q876" s="212" t="s">
        <v>68</v>
      </c>
      <c r="R876" s="212" t="s">
        <v>2491</v>
      </c>
      <c r="S876" s="212"/>
      <c r="T876" s="212"/>
      <c r="U876" s="212"/>
      <c r="V876" s="212"/>
      <c r="W876" s="212"/>
      <c r="X876" s="212"/>
      <c r="Y876" s="212"/>
      <c r="Z876" s="212"/>
      <c r="AA876" s="212"/>
      <c r="AB876" s="212"/>
      <c r="AC876" s="212"/>
      <c r="AD876" s="212"/>
      <c r="AE876" s="212"/>
      <c r="AF876" s="212"/>
      <c r="AG876" s="212"/>
      <c r="AH876" s="212"/>
      <c r="AI876" s="212"/>
      <c r="AJ876" s="212"/>
      <c r="AK876" s="212"/>
      <c r="AL876" s="212"/>
      <c r="AM876" s="212"/>
      <c r="AN876" s="212"/>
      <c r="AO876" s="212"/>
      <c r="AP876" s="212"/>
      <c r="AQ876" s="212"/>
      <c r="AR876" s="212"/>
      <c r="AS876" s="212"/>
      <c r="AT876" s="212"/>
      <c r="AU876" s="212"/>
      <c r="AV876" s="212"/>
      <c r="AW876" s="212"/>
      <c r="AX876" s="212"/>
      <c r="AY876" s="212"/>
      <c r="AZ876" s="212"/>
      <c r="BA876" s="212"/>
      <c r="BB876" s="212"/>
      <c r="BC876" s="212"/>
      <c r="BD876" s="212"/>
      <c r="BE876" s="212"/>
      <c r="BF876" s="212"/>
      <c r="BG876" s="212"/>
      <c r="BH876" s="212"/>
      <c r="BI876" s="231" t="str">
        <f>HYPERLINK("#자재!A79","MZZ9000017 →")</f>
        <v>MZZ9000017 →</v>
      </c>
    </row>
    <row r="877" spans="1:61" ht="24" customHeight="1">
      <c r="A877" s="218" t="s">
        <v>2007</v>
      </c>
      <c r="B877" s="218" t="s">
        <v>1946</v>
      </c>
      <c r="C877" s="229">
        <v>0.154</v>
      </c>
      <c r="D877" s="213" t="s">
        <v>1286</v>
      </c>
      <c r="E877" s="217">
        <v>0</v>
      </c>
      <c r="F877" s="217"/>
      <c r="G877" s="217">
        <f>노임!D16</f>
        <v>0</v>
      </c>
      <c r="H877" s="217">
        <f>TRUNC(G877*C877,0)</f>
        <v>0</v>
      </c>
      <c r="I877" s="217">
        <v>0</v>
      </c>
      <c r="J877" s="217"/>
      <c r="K877" s="217">
        <f>E877+G877+I877</f>
        <v>0</v>
      </c>
      <c r="L877" s="217">
        <f>F877+H877+J877</f>
        <v>0</v>
      </c>
      <c r="M877" s="215" t="s">
        <v>68</v>
      </c>
      <c r="N877" s="212" t="s">
        <v>68</v>
      </c>
      <c r="O877" s="212"/>
      <c r="P877" s="212" t="s">
        <v>1095</v>
      </c>
      <c r="Q877" s="212" t="s">
        <v>68</v>
      </c>
      <c r="R877" s="212" t="s">
        <v>2008</v>
      </c>
      <c r="S877" s="212"/>
      <c r="T877" s="212"/>
      <c r="U877" s="212"/>
      <c r="V877" s="212"/>
      <c r="W877" s="212"/>
      <c r="X877" s="212"/>
      <c r="Y877" s="212"/>
      <c r="Z877" s="212"/>
      <c r="AA877" s="212"/>
      <c r="AB877" s="212"/>
      <c r="AC877" s="212"/>
      <c r="AD877" s="212"/>
      <c r="AE877" s="212"/>
      <c r="AF877" s="212"/>
      <c r="AG877" s="212"/>
      <c r="AH877" s="212"/>
      <c r="AI877" s="212"/>
      <c r="AJ877" s="212"/>
      <c r="AK877" s="212"/>
      <c r="AL877" s="212"/>
      <c r="AM877" s="212"/>
      <c r="AN877" s="212"/>
      <c r="AO877" s="212"/>
      <c r="AP877" s="212"/>
      <c r="AQ877" s="212"/>
      <c r="AR877" s="212"/>
      <c r="AS877" s="212"/>
      <c r="AT877" s="212"/>
      <c r="AU877" s="212"/>
      <c r="AV877" s="212"/>
      <c r="AW877" s="212"/>
      <c r="AX877" s="212"/>
      <c r="AY877" s="212"/>
      <c r="AZ877" s="212"/>
      <c r="BA877" s="212"/>
      <c r="BB877" s="212"/>
      <c r="BC877" s="212"/>
      <c r="BD877" s="212"/>
      <c r="BE877" s="212"/>
      <c r="BF877" s="212"/>
      <c r="BG877" s="212"/>
      <c r="BH877" s="212"/>
      <c r="BI877" s="231" t="str">
        <f>HYPERLINK("#노임!A16","L001010101000028 →")</f>
        <v>L001010101000028 →</v>
      </c>
    </row>
    <row r="878" spans="1:61" ht="24" customHeight="1">
      <c r="A878" s="218" t="s">
        <v>1967</v>
      </c>
      <c r="B878" s="218" t="s">
        <v>1946</v>
      </c>
      <c r="C878" s="229">
        <v>7.6999999999999999E-2</v>
      </c>
      <c r="D878" s="213" t="s">
        <v>1286</v>
      </c>
      <c r="E878" s="217">
        <v>0</v>
      </c>
      <c r="F878" s="217"/>
      <c r="G878" s="217">
        <f>노임!D3</f>
        <v>0</v>
      </c>
      <c r="H878" s="217">
        <f>TRUNC(G878*C878,0)</f>
        <v>0</v>
      </c>
      <c r="I878" s="217">
        <v>0</v>
      </c>
      <c r="J878" s="217"/>
      <c r="K878" s="217">
        <f>E878+G878+I878</f>
        <v>0</v>
      </c>
      <c r="L878" s="217">
        <f>F878+H878+J878</f>
        <v>0</v>
      </c>
      <c r="M878" s="215" t="s">
        <v>68</v>
      </c>
      <c r="N878" s="212" t="s">
        <v>68</v>
      </c>
      <c r="O878" s="212"/>
      <c r="P878" s="212" t="s">
        <v>1098</v>
      </c>
      <c r="Q878" s="212" t="s">
        <v>68</v>
      </c>
      <c r="R878" s="212" t="s">
        <v>1968</v>
      </c>
      <c r="S878" s="212"/>
      <c r="T878" s="212"/>
      <c r="U878" s="212"/>
      <c r="V878" s="212"/>
      <c r="W878" s="212"/>
      <c r="X878" s="212"/>
      <c r="Y878" s="212"/>
      <c r="Z878" s="212"/>
      <c r="AA878" s="220" t="s">
        <v>1955</v>
      </c>
      <c r="AB878" s="212">
        <f>(호표!H877+호표!H878)*0.03</f>
        <v>0</v>
      </c>
      <c r="AC878" s="220" t="s">
        <v>1956</v>
      </c>
      <c r="AD878" s="212">
        <f>$AB878</f>
        <v>0</v>
      </c>
      <c r="AE878" s="212"/>
      <c r="AF878" s="212"/>
      <c r="AG878" s="212"/>
      <c r="AH878" s="212"/>
      <c r="AI878" s="212"/>
      <c r="AJ878" s="212"/>
      <c r="AK878" s="212"/>
      <c r="AL878" s="212"/>
      <c r="AM878" s="212"/>
      <c r="AN878" s="212"/>
      <c r="AO878" s="212"/>
      <c r="AP878" s="212"/>
      <c r="AQ878" s="212"/>
      <c r="AR878" s="212"/>
      <c r="AS878" s="212"/>
      <c r="AT878" s="212"/>
      <c r="AU878" s="212"/>
      <c r="AV878" s="212"/>
      <c r="AW878" s="212"/>
      <c r="AX878" s="212"/>
      <c r="AY878" s="212"/>
      <c r="AZ878" s="212"/>
      <c r="BA878" s="212"/>
      <c r="BB878" s="212"/>
      <c r="BC878" s="212"/>
      <c r="BD878" s="212"/>
      <c r="BE878" s="212"/>
      <c r="BF878" s="212"/>
      <c r="BG878" s="212"/>
      <c r="BH878" s="212"/>
      <c r="BI878" s="231" t="str">
        <f>HYPERLINK("#노임!A3","L001010101000002 →")</f>
        <v>L001010101000002 →</v>
      </c>
    </row>
    <row r="879" spans="1:61" ht="24" customHeight="1">
      <c r="A879" s="218" t="s">
        <v>1974</v>
      </c>
      <c r="B879" s="218" t="s">
        <v>1949</v>
      </c>
      <c r="C879" s="228">
        <v>3</v>
      </c>
      <c r="D879" s="213" t="s">
        <v>1950</v>
      </c>
      <c r="E879" s="213"/>
      <c r="F879" s="217">
        <v>0</v>
      </c>
      <c r="G879" s="213"/>
      <c r="H879" s="217">
        <v>0</v>
      </c>
      <c r="I879" s="213"/>
      <c r="J879" s="217">
        <f>TRUNC(((H877+H878)*0.03),0)</f>
        <v>0</v>
      </c>
      <c r="K879" s="217">
        <f>E879+G879+I879</f>
        <v>0</v>
      </c>
      <c r="L879" s="217">
        <f>F879+H879+J879</f>
        <v>0</v>
      </c>
      <c r="M879" s="215" t="s">
        <v>68</v>
      </c>
      <c r="N879" s="212" t="s">
        <v>68</v>
      </c>
      <c r="O879" s="212"/>
      <c r="P879" s="212" t="s">
        <v>1104</v>
      </c>
      <c r="Q879" s="212" t="s">
        <v>68</v>
      </c>
      <c r="R879" s="212" t="s">
        <v>1121</v>
      </c>
      <c r="S879" s="212"/>
      <c r="T879" s="212"/>
      <c r="U879" s="212"/>
      <c r="V879" s="212"/>
      <c r="W879" s="212"/>
      <c r="X879" s="212" t="s">
        <v>2130</v>
      </c>
      <c r="Y879" s="212"/>
      <c r="Z879" s="212"/>
      <c r="AA879" s="212"/>
      <c r="AB879" s="212"/>
      <c r="AC879" s="212"/>
      <c r="AD879" s="212"/>
      <c r="AE879" s="212"/>
      <c r="AF879" s="212"/>
      <c r="AG879" s="212"/>
      <c r="AH879" s="212"/>
      <c r="AI879" s="212"/>
      <c r="AJ879" s="212"/>
      <c r="AK879" s="212"/>
      <c r="AL879" s="212"/>
      <c r="AM879" s="212"/>
      <c r="AN879" s="212"/>
      <c r="AO879" s="212"/>
      <c r="AP879" s="212"/>
      <c r="AQ879" s="212"/>
      <c r="AR879" s="212"/>
      <c r="AS879" s="212"/>
      <c r="AT879" s="212"/>
      <c r="AU879" s="212"/>
      <c r="AV879" s="212"/>
      <c r="AW879" s="212"/>
      <c r="AX879" s="212"/>
      <c r="AY879" s="212"/>
      <c r="AZ879" s="212"/>
      <c r="BA879" s="212"/>
      <c r="BB879" s="212"/>
      <c r="BC879" s="212"/>
      <c r="BD879" s="212"/>
      <c r="BE879" s="212"/>
      <c r="BF879" s="212"/>
      <c r="BG879" s="212"/>
      <c r="BH879" s="212"/>
      <c r="BI879" s="212"/>
    </row>
    <row r="880" spans="1:61" ht="24" customHeight="1">
      <c r="A880" s="215"/>
      <c r="B880" s="215"/>
      <c r="C880" s="229"/>
      <c r="D880" s="213"/>
      <c r="E880" s="213"/>
      <c r="F880" s="213"/>
      <c r="G880" s="213"/>
      <c r="H880" s="213"/>
      <c r="I880" s="213"/>
      <c r="J880" s="213"/>
      <c r="K880" s="213"/>
      <c r="L880" s="213"/>
      <c r="M880" s="215"/>
      <c r="N880" s="212"/>
      <c r="O880" s="212"/>
      <c r="P880" s="212"/>
      <c r="Q880" s="212"/>
      <c r="R880" s="212"/>
      <c r="S880" s="212"/>
      <c r="T880" s="212"/>
      <c r="U880" s="212"/>
      <c r="V880" s="212"/>
      <c r="W880" s="212"/>
      <c r="X880" s="212"/>
      <c r="Y880" s="212"/>
      <c r="Z880" s="212"/>
      <c r="AA880" s="212"/>
      <c r="AB880" s="212"/>
      <c r="AC880" s="212"/>
      <c r="AD880" s="212"/>
      <c r="AE880" s="212"/>
      <c r="AF880" s="212"/>
      <c r="AG880" s="212"/>
      <c r="AH880" s="212"/>
      <c r="AI880" s="212"/>
      <c r="AJ880" s="212"/>
      <c r="AK880" s="212"/>
      <c r="AL880" s="212"/>
      <c r="AM880" s="212"/>
      <c r="AN880" s="212"/>
      <c r="AO880" s="212"/>
      <c r="AP880" s="212"/>
      <c r="AQ880" s="212"/>
      <c r="AR880" s="212"/>
      <c r="AS880" s="212"/>
      <c r="AT880" s="212"/>
      <c r="AU880" s="212"/>
      <c r="AV880" s="212"/>
      <c r="AW880" s="212"/>
      <c r="AX880" s="212"/>
      <c r="AY880" s="212"/>
      <c r="AZ880" s="212"/>
      <c r="BA880" s="212"/>
      <c r="BB880" s="212"/>
      <c r="BC880" s="212"/>
      <c r="BD880" s="212"/>
      <c r="BE880" s="212"/>
      <c r="BF880" s="212"/>
      <c r="BG880" s="212"/>
      <c r="BH880" s="212"/>
      <c r="BI880" s="212"/>
    </row>
    <row r="881" spans="1:61" ht="24" customHeight="1">
      <c r="A881" s="218" t="s">
        <v>2492</v>
      </c>
      <c r="B881" s="218" t="s">
        <v>1910</v>
      </c>
      <c r="C881" s="228">
        <v>1</v>
      </c>
      <c r="D881" s="213" t="s">
        <v>378</v>
      </c>
      <c r="E881" s="212"/>
      <c r="F881" s="217">
        <f>TRUNC(F882+F883,0)</f>
        <v>0</v>
      </c>
      <c r="G881" s="212"/>
      <c r="H881" s="217">
        <f>TRUNC(H882+H883,0)</f>
        <v>0</v>
      </c>
      <c r="I881" s="212"/>
      <c r="J881" s="217">
        <f>TRUNC(J882+J883,0)</f>
        <v>0</v>
      </c>
      <c r="K881" s="212"/>
      <c r="L881" s="217">
        <f>F881+H881+J881</f>
        <v>0</v>
      </c>
      <c r="M881" s="215" t="s">
        <v>1770</v>
      </c>
      <c r="N881" s="212" t="s">
        <v>68</v>
      </c>
      <c r="O881" s="212" t="s">
        <v>1911</v>
      </c>
      <c r="P881" s="212"/>
      <c r="Q881" s="212"/>
      <c r="R881" s="212"/>
      <c r="S881" s="212"/>
      <c r="T881" s="212"/>
      <c r="U881" s="212"/>
      <c r="V881" s="212"/>
      <c r="W881" s="212"/>
      <c r="X881" s="212"/>
      <c r="Y881" s="212"/>
      <c r="Z881" s="212"/>
      <c r="AA881" s="212"/>
      <c r="AB881" s="212"/>
      <c r="AC881" s="212"/>
      <c r="AD881" s="212"/>
      <c r="AE881" s="212"/>
      <c r="AF881" s="212"/>
      <c r="AG881" s="212"/>
      <c r="AH881" s="212"/>
      <c r="AI881" s="212"/>
      <c r="AJ881" s="212"/>
      <c r="AK881" s="212"/>
      <c r="AL881" s="212"/>
      <c r="AM881" s="212"/>
      <c r="AN881" s="212"/>
      <c r="AO881" s="212"/>
      <c r="AP881" s="212"/>
      <c r="AQ881" s="212"/>
      <c r="AR881" s="212"/>
      <c r="AS881" s="212"/>
      <c r="AT881" s="212"/>
      <c r="AU881" s="212"/>
      <c r="AV881" s="212"/>
      <c r="AW881" s="212"/>
      <c r="AX881" s="212"/>
      <c r="AY881" s="212"/>
      <c r="AZ881" s="212"/>
      <c r="BA881" s="212"/>
      <c r="BB881" s="212"/>
      <c r="BC881" s="212"/>
      <c r="BD881" s="212"/>
      <c r="BE881" s="212"/>
      <c r="BF881" s="212"/>
      <c r="BG881" s="212"/>
      <c r="BH881" s="212"/>
      <c r="BI881" s="212"/>
    </row>
    <row r="882" spans="1:61" ht="24" customHeight="1">
      <c r="A882" s="218" t="s">
        <v>2026</v>
      </c>
      <c r="B882" s="218" t="s">
        <v>1946</v>
      </c>
      <c r="C882" s="229">
        <v>3.1E-2</v>
      </c>
      <c r="D882" s="213" t="s">
        <v>1286</v>
      </c>
      <c r="E882" s="217">
        <v>0</v>
      </c>
      <c r="F882" s="217"/>
      <c r="G882" s="217">
        <f>노임!D13</f>
        <v>0</v>
      </c>
      <c r="H882" s="217">
        <f>TRUNC(G882*C882,0)</f>
        <v>0</v>
      </c>
      <c r="I882" s="217">
        <v>0</v>
      </c>
      <c r="J882" s="217"/>
      <c r="K882" s="217">
        <f>E882+G882+I882</f>
        <v>0</v>
      </c>
      <c r="L882" s="217">
        <f>F882+H882+J882</f>
        <v>0</v>
      </c>
      <c r="M882" s="215" t="s">
        <v>68</v>
      </c>
      <c r="N882" s="212" t="s">
        <v>68</v>
      </c>
      <c r="O882" s="212"/>
      <c r="P882" s="212" t="s">
        <v>1098</v>
      </c>
      <c r="Q882" s="212" t="s">
        <v>68</v>
      </c>
      <c r="R882" s="212" t="s">
        <v>2027</v>
      </c>
      <c r="S882" s="212"/>
      <c r="T882" s="212"/>
      <c r="U882" s="212"/>
      <c r="V882" s="212"/>
      <c r="W882" s="212"/>
      <c r="X882" s="212"/>
      <c r="Y882" s="212"/>
      <c r="Z882" s="212"/>
      <c r="AA882" s="220" t="s">
        <v>1955</v>
      </c>
      <c r="AB882" s="212">
        <f>호표!H882*0.04</f>
        <v>0</v>
      </c>
      <c r="AC882" s="220" t="s">
        <v>1956</v>
      </c>
      <c r="AD882" s="212">
        <f>$AB882</f>
        <v>0</v>
      </c>
      <c r="AE882" s="212"/>
      <c r="AF882" s="212"/>
      <c r="AG882" s="212"/>
      <c r="AH882" s="212"/>
      <c r="AI882" s="212"/>
      <c r="AJ882" s="212"/>
      <c r="AK882" s="212"/>
      <c r="AL882" s="212"/>
      <c r="AM882" s="212"/>
      <c r="AN882" s="212"/>
      <c r="AO882" s="212"/>
      <c r="AP882" s="212"/>
      <c r="AQ882" s="212"/>
      <c r="AR882" s="212"/>
      <c r="AS882" s="212"/>
      <c r="AT882" s="212"/>
      <c r="AU882" s="212"/>
      <c r="AV882" s="212"/>
      <c r="AW882" s="212"/>
      <c r="AX882" s="212"/>
      <c r="AY882" s="212"/>
      <c r="AZ882" s="212"/>
      <c r="BA882" s="212"/>
      <c r="BB882" s="212"/>
      <c r="BC882" s="212"/>
      <c r="BD882" s="212"/>
      <c r="BE882" s="212"/>
      <c r="BF882" s="212"/>
      <c r="BG882" s="212"/>
      <c r="BH882" s="212"/>
      <c r="BI882" s="231" t="str">
        <f>HYPERLINK("#노임!A13","L001010101000024 →")</f>
        <v>L001010101000024 →</v>
      </c>
    </row>
    <row r="883" spans="1:61" ht="24" customHeight="1">
      <c r="A883" s="218" t="s">
        <v>1948</v>
      </c>
      <c r="B883" s="218" t="s">
        <v>2149</v>
      </c>
      <c r="C883" s="228">
        <v>4</v>
      </c>
      <c r="D883" s="213" t="s">
        <v>1950</v>
      </c>
      <c r="E883" s="213"/>
      <c r="F883" s="217">
        <v>0</v>
      </c>
      <c r="G883" s="213"/>
      <c r="H883" s="217">
        <v>0</v>
      </c>
      <c r="I883" s="213"/>
      <c r="J883" s="217">
        <f>TRUNC((H882*0.04),0)</f>
        <v>0</v>
      </c>
      <c r="K883" s="217">
        <f>E883+G883+I883</f>
        <v>0</v>
      </c>
      <c r="L883" s="217">
        <f>F883+H883+J883</f>
        <v>0</v>
      </c>
      <c r="M883" s="215" t="s">
        <v>68</v>
      </c>
      <c r="N883" s="212" t="s">
        <v>68</v>
      </c>
      <c r="O883" s="212"/>
      <c r="P883" s="212" t="s">
        <v>1101</v>
      </c>
      <c r="Q883" s="212" t="s">
        <v>68</v>
      </c>
      <c r="R883" s="212" t="s">
        <v>1121</v>
      </c>
      <c r="S883" s="212"/>
      <c r="T883" s="212"/>
      <c r="U883" s="212"/>
      <c r="V883" s="212"/>
      <c r="W883" s="212"/>
      <c r="X883" s="212" t="s">
        <v>2493</v>
      </c>
      <c r="Y883" s="212"/>
      <c r="Z883" s="212"/>
      <c r="AA883" s="212"/>
      <c r="AB883" s="212"/>
      <c r="AC883" s="212"/>
      <c r="AD883" s="212"/>
      <c r="AE883" s="212"/>
      <c r="AF883" s="212"/>
      <c r="AG883" s="212"/>
      <c r="AH883" s="212"/>
      <c r="AI883" s="212"/>
      <c r="AJ883" s="212"/>
      <c r="AK883" s="212"/>
      <c r="AL883" s="212"/>
      <c r="AM883" s="212"/>
      <c r="AN883" s="212"/>
      <c r="AO883" s="212"/>
      <c r="AP883" s="212"/>
      <c r="AQ883" s="212"/>
      <c r="AR883" s="212"/>
      <c r="AS883" s="212"/>
      <c r="AT883" s="212"/>
      <c r="AU883" s="212"/>
      <c r="AV883" s="212"/>
      <c r="AW883" s="212"/>
      <c r="AX883" s="212"/>
      <c r="AY883" s="212"/>
      <c r="AZ883" s="212"/>
      <c r="BA883" s="212"/>
      <c r="BB883" s="212"/>
      <c r="BC883" s="212"/>
      <c r="BD883" s="212"/>
      <c r="BE883" s="212"/>
      <c r="BF883" s="212"/>
      <c r="BG883" s="212"/>
      <c r="BH883" s="212"/>
      <c r="BI883" s="212"/>
    </row>
    <row r="884" spans="1:61" ht="24" customHeight="1">
      <c r="A884" s="215"/>
      <c r="B884" s="215"/>
      <c r="C884" s="229"/>
      <c r="D884" s="213"/>
      <c r="E884" s="213"/>
      <c r="F884" s="213"/>
      <c r="G884" s="213"/>
      <c r="H884" s="213"/>
      <c r="I884" s="213"/>
      <c r="J884" s="213"/>
      <c r="K884" s="213"/>
      <c r="L884" s="213"/>
      <c r="M884" s="215"/>
      <c r="N884" s="212"/>
      <c r="O884" s="212"/>
      <c r="P884" s="212"/>
      <c r="Q884" s="212"/>
      <c r="R884" s="212"/>
      <c r="S884" s="212"/>
      <c r="T884" s="212"/>
      <c r="U884" s="212"/>
      <c r="V884" s="212"/>
      <c r="W884" s="212"/>
      <c r="X884" s="212"/>
      <c r="Y884" s="212"/>
      <c r="Z884" s="212"/>
      <c r="AA884" s="212"/>
      <c r="AB884" s="212"/>
      <c r="AC884" s="212"/>
      <c r="AD884" s="212"/>
      <c r="AE884" s="212"/>
      <c r="AF884" s="212"/>
      <c r="AG884" s="212"/>
      <c r="AH884" s="212"/>
      <c r="AI884" s="212"/>
      <c r="AJ884" s="212"/>
      <c r="AK884" s="212"/>
      <c r="AL884" s="212"/>
      <c r="AM884" s="212"/>
      <c r="AN884" s="212"/>
      <c r="AO884" s="212"/>
      <c r="AP884" s="212"/>
      <c r="AQ884" s="212"/>
      <c r="AR884" s="212"/>
      <c r="AS884" s="212"/>
      <c r="AT884" s="212"/>
      <c r="AU884" s="212"/>
      <c r="AV884" s="212"/>
      <c r="AW884" s="212"/>
      <c r="AX884" s="212"/>
      <c r="AY884" s="212"/>
      <c r="AZ884" s="212"/>
      <c r="BA884" s="212"/>
      <c r="BB884" s="212"/>
      <c r="BC884" s="212"/>
      <c r="BD884" s="212"/>
      <c r="BE884" s="212"/>
      <c r="BF884" s="212"/>
      <c r="BG884" s="212"/>
      <c r="BH884" s="212"/>
      <c r="BI884" s="212"/>
    </row>
    <row r="885" spans="1:61" ht="24" customHeight="1">
      <c r="A885" s="218" t="s">
        <v>2494</v>
      </c>
      <c r="B885" s="218" t="s">
        <v>1913</v>
      </c>
      <c r="C885" s="228">
        <v>1</v>
      </c>
      <c r="D885" s="213" t="s">
        <v>9</v>
      </c>
      <c r="E885" s="212"/>
      <c r="F885" s="217">
        <f>TRUNC(F887+F888+F889+F892+F893+F894,0)</f>
        <v>0</v>
      </c>
      <c r="G885" s="212"/>
      <c r="H885" s="217">
        <f>TRUNC(H887+H888+H889+H892+H893+H894,0)</f>
        <v>0</v>
      </c>
      <c r="I885" s="212"/>
      <c r="J885" s="217">
        <f>TRUNC(J887+J888+J889+J892+J893+J894,0)</f>
        <v>0</v>
      </c>
      <c r="K885" s="212"/>
      <c r="L885" s="217">
        <f t="shared" ref="L885:L894" si="89">F885+H885+J885</f>
        <v>0</v>
      </c>
      <c r="M885" s="215" t="s">
        <v>1828</v>
      </c>
      <c r="N885" s="212" t="s">
        <v>68</v>
      </c>
      <c r="O885" s="212" t="s">
        <v>1914</v>
      </c>
      <c r="P885" s="212"/>
      <c r="Q885" s="212"/>
      <c r="R885" s="212"/>
      <c r="S885" s="212"/>
      <c r="T885" s="212"/>
      <c r="U885" s="212"/>
      <c r="V885" s="212"/>
      <c r="W885" s="212"/>
      <c r="X885" s="212"/>
      <c r="Y885" s="212"/>
      <c r="Z885" s="212"/>
      <c r="AA885" s="212"/>
      <c r="AB885" s="212"/>
      <c r="AC885" s="212"/>
      <c r="AD885" s="212"/>
      <c r="AE885" s="212"/>
      <c r="AF885" s="212"/>
      <c r="AG885" s="212"/>
      <c r="AH885" s="212"/>
      <c r="AI885" s="212"/>
      <c r="AJ885" s="212"/>
      <c r="AK885" s="212"/>
      <c r="AL885" s="212"/>
      <c r="AM885" s="212"/>
      <c r="AN885" s="212"/>
      <c r="AO885" s="212"/>
      <c r="AP885" s="212"/>
      <c r="AQ885" s="212"/>
      <c r="AR885" s="212"/>
      <c r="AS885" s="212"/>
      <c r="AT885" s="212"/>
      <c r="AU885" s="212"/>
      <c r="AV885" s="212"/>
      <c r="AW885" s="212"/>
      <c r="AX885" s="212"/>
      <c r="AY885" s="212"/>
      <c r="AZ885" s="212"/>
      <c r="BA885" s="212"/>
      <c r="BB885" s="212"/>
      <c r="BC885" s="212"/>
      <c r="BD885" s="212"/>
      <c r="BE885" s="212"/>
      <c r="BF885" s="212"/>
      <c r="BG885" s="212"/>
      <c r="BH885" s="212"/>
      <c r="BI885" s="212"/>
    </row>
    <row r="886" spans="1:61" ht="24" customHeight="1">
      <c r="A886" s="218" t="s">
        <v>2309</v>
      </c>
      <c r="B886" s="218" t="s">
        <v>68</v>
      </c>
      <c r="C886" s="229"/>
      <c r="D886" s="213" t="s">
        <v>68</v>
      </c>
      <c r="E886" s="213"/>
      <c r="F886" s="217">
        <v>0</v>
      </c>
      <c r="G886" s="213"/>
      <c r="H886" s="217">
        <v>0</v>
      </c>
      <c r="I886" s="213"/>
      <c r="J886" s="217">
        <v>0</v>
      </c>
      <c r="K886" s="217">
        <f t="shared" ref="K886:K894" si="90">E886+G886+I886</f>
        <v>0</v>
      </c>
      <c r="L886" s="217">
        <f t="shared" si="89"/>
        <v>0</v>
      </c>
      <c r="M886" s="215" t="s">
        <v>68</v>
      </c>
      <c r="N886" s="212" t="s">
        <v>68</v>
      </c>
      <c r="O886" s="212"/>
      <c r="P886" s="212" t="s">
        <v>1095</v>
      </c>
      <c r="Q886" s="212" t="s">
        <v>68</v>
      </c>
      <c r="R886" s="212" t="s">
        <v>68</v>
      </c>
      <c r="S886" s="212"/>
      <c r="T886" s="212"/>
      <c r="U886" s="212"/>
      <c r="V886" s="212"/>
      <c r="W886" s="212"/>
      <c r="X886" s="212"/>
      <c r="Y886" s="212"/>
      <c r="Z886" s="212"/>
      <c r="AA886" s="212"/>
      <c r="AB886" s="212"/>
      <c r="AC886" s="212"/>
      <c r="AD886" s="212"/>
      <c r="AE886" s="212"/>
      <c r="AF886" s="212"/>
      <c r="AG886" s="212"/>
      <c r="AH886" s="212"/>
      <c r="AI886" s="212"/>
      <c r="AJ886" s="212"/>
      <c r="AK886" s="212"/>
      <c r="AL886" s="212"/>
      <c r="AM886" s="212"/>
      <c r="AN886" s="212"/>
      <c r="AO886" s="212"/>
      <c r="AP886" s="212"/>
      <c r="AQ886" s="212"/>
      <c r="AR886" s="212"/>
      <c r="AS886" s="212"/>
      <c r="AT886" s="212"/>
      <c r="AU886" s="212"/>
      <c r="AV886" s="212"/>
      <c r="AW886" s="212"/>
      <c r="AX886" s="212"/>
      <c r="AY886" s="212"/>
      <c r="AZ886" s="212"/>
      <c r="BA886" s="212"/>
      <c r="BB886" s="212"/>
      <c r="BC886" s="212"/>
      <c r="BD886" s="212"/>
      <c r="BE886" s="212"/>
      <c r="BF886" s="212"/>
      <c r="BG886" s="212"/>
      <c r="BH886" s="212"/>
      <c r="BI886" s="212"/>
    </row>
    <row r="887" spans="1:61" ht="24" customHeight="1">
      <c r="A887" s="218" t="s">
        <v>2017</v>
      </c>
      <c r="B887" s="218" t="s">
        <v>2018</v>
      </c>
      <c r="C887" s="228">
        <v>1</v>
      </c>
      <c r="D887" s="213" t="s">
        <v>2019</v>
      </c>
      <c r="E887" s="217">
        <f>자재조서!E29</f>
        <v>0</v>
      </c>
      <c r="F887" s="217">
        <f>TRUNC(E887*C887,0)</f>
        <v>0</v>
      </c>
      <c r="G887" s="217">
        <v>0</v>
      </c>
      <c r="H887" s="217"/>
      <c r="I887" s="217">
        <v>0</v>
      </c>
      <c r="J887" s="217"/>
      <c r="K887" s="217">
        <f t="shared" si="90"/>
        <v>0</v>
      </c>
      <c r="L887" s="217">
        <f t="shared" si="89"/>
        <v>0</v>
      </c>
      <c r="M887" s="215" t="s">
        <v>68</v>
      </c>
      <c r="N887" s="212" t="s">
        <v>68</v>
      </c>
      <c r="O887" s="212"/>
      <c r="P887" s="212" t="s">
        <v>1098</v>
      </c>
      <c r="Q887" s="212" t="s">
        <v>68</v>
      </c>
      <c r="R887" s="212" t="s">
        <v>2020</v>
      </c>
      <c r="S887" s="212"/>
      <c r="T887" s="212"/>
      <c r="U887" s="212"/>
      <c r="V887" s="212"/>
      <c r="W887" s="212"/>
      <c r="X887" s="212"/>
      <c r="Y887" s="212"/>
      <c r="Z887" s="212"/>
      <c r="AA887" s="212"/>
      <c r="AB887" s="212"/>
      <c r="AC887" s="212"/>
      <c r="AD887" s="212"/>
      <c r="AE887" s="212"/>
      <c r="AF887" s="212"/>
      <c r="AG887" s="212"/>
      <c r="AH887" s="212"/>
      <c r="AI887" s="212"/>
      <c r="AJ887" s="212"/>
      <c r="AK887" s="212"/>
      <c r="AL887" s="212"/>
      <c r="AM887" s="212"/>
      <c r="AN887" s="212"/>
      <c r="AO887" s="212"/>
      <c r="AP887" s="212"/>
      <c r="AQ887" s="212"/>
      <c r="AR887" s="212"/>
      <c r="AS887" s="212"/>
      <c r="AT887" s="212"/>
      <c r="AU887" s="212"/>
      <c r="AV887" s="212"/>
      <c r="AW887" s="212"/>
      <c r="AX887" s="212"/>
      <c r="AY887" s="212"/>
      <c r="AZ887" s="212"/>
      <c r="BA887" s="212"/>
      <c r="BB887" s="212"/>
      <c r="BC887" s="212"/>
      <c r="BD887" s="212"/>
      <c r="BE887" s="212"/>
      <c r="BF887" s="212"/>
      <c r="BG887" s="212"/>
      <c r="BH887" s="212"/>
      <c r="BI887" s="231" t="str">
        <f>HYPERLINK("#자재조서!A29","M8916015 →")</f>
        <v>M8916015 →</v>
      </c>
    </row>
    <row r="888" spans="1:61" ht="24" customHeight="1">
      <c r="A888" s="218" t="s">
        <v>2158</v>
      </c>
      <c r="B888" s="218" t="s">
        <v>1946</v>
      </c>
      <c r="C888" s="229">
        <v>6.0000000000000001E-3</v>
      </c>
      <c r="D888" s="213" t="s">
        <v>1286</v>
      </c>
      <c r="E888" s="217">
        <v>0</v>
      </c>
      <c r="F888" s="217"/>
      <c r="G888" s="217">
        <f>노임!D17</f>
        <v>0</v>
      </c>
      <c r="H888" s="217">
        <f>TRUNC(G888*C888,0)</f>
        <v>0</v>
      </c>
      <c r="I888" s="217">
        <v>0</v>
      </c>
      <c r="J888" s="217"/>
      <c r="K888" s="217">
        <f t="shared" si="90"/>
        <v>0</v>
      </c>
      <c r="L888" s="217">
        <f t="shared" si="89"/>
        <v>0</v>
      </c>
      <c r="M888" s="215" t="s">
        <v>68</v>
      </c>
      <c r="N888" s="212" t="s">
        <v>68</v>
      </c>
      <c r="O888" s="212"/>
      <c r="P888" s="212" t="s">
        <v>1104</v>
      </c>
      <c r="Q888" s="212" t="s">
        <v>68</v>
      </c>
      <c r="R888" s="212" t="s">
        <v>2159</v>
      </c>
      <c r="S888" s="212"/>
      <c r="T888" s="212"/>
      <c r="U888" s="212"/>
      <c r="V888" s="212"/>
      <c r="W888" s="212"/>
      <c r="X888" s="212"/>
      <c r="Y888" s="212"/>
      <c r="Z888" s="212"/>
      <c r="AA888" s="212"/>
      <c r="AB888" s="212"/>
      <c r="AC888" s="212"/>
      <c r="AD888" s="212"/>
      <c r="AE888" s="212"/>
      <c r="AF888" s="212"/>
      <c r="AG888" s="212"/>
      <c r="AH888" s="212"/>
      <c r="AI888" s="212"/>
      <c r="AJ888" s="212"/>
      <c r="AK888" s="212"/>
      <c r="AL888" s="212"/>
      <c r="AM888" s="212"/>
      <c r="AN888" s="212"/>
      <c r="AO888" s="212"/>
      <c r="AP888" s="212"/>
      <c r="AQ888" s="212"/>
      <c r="AR888" s="212"/>
      <c r="AS888" s="212"/>
      <c r="AT888" s="212"/>
      <c r="AU888" s="212"/>
      <c r="AV888" s="212"/>
      <c r="AW888" s="212"/>
      <c r="AX888" s="212"/>
      <c r="AY888" s="212"/>
      <c r="AZ888" s="212"/>
      <c r="BA888" s="212"/>
      <c r="BB888" s="212"/>
      <c r="BC888" s="212"/>
      <c r="BD888" s="212"/>
      <c r="BE888" s="212"/>
      <c r="BF888" s="212"/>
      <c r="BG888" s="212"/>
      <c r="BH888" s="212"/>
      <c r="BI888" s="231" t="str">
        <f>HYPERLINK("#노임!A17","L001010101000029 →")</f>
        <v>L001010101000029 →</v>
      </c>
    </row>
    <row r="889" spans="1:61" ht="24" customHeight="1">
      <c r="A889" s="218" t="s">
        <v>1967</v>
      </c>
      <c r="B889" s="218" t="s">
        <v>1946</v>
      </c>
      <c r="C889" s="229">
        <v>1E-3</v>
      </c>
      <c r="D889" s="213" t="s">
        <v>1286</v>
      </c>
      <c r="E889" s="217">
        <v>0</v>
      </c>
      <c r="F889" s="217"/>
      <c r="G889" s="217">
        <f>노임!D3</f>
        <v>0</v>
      </c>
      <c r="H889" s="217">
        <f>TRUNC(G889*C889,0)</f>
        <v>0</v>
      </c>
      <c r="I889" s="217">
        <v>0</v>
      </c>
      <c r="J889" s="217"/>
      <c r="K889" s="217">
        <f t="shared" si="90"/>
        <v>0</v>
      </c>
      <c r="L889" s="217">
        <f t="shared" si="89"/>
        <v>0</v>
      </c>
      <c r="M889" s="215" t="s">
        <v>68</v>
      </c>
      <c r="N889" s="212" t="s">
        <v>68</v>
      </c>
      <c r="O889" s="212"/>
      <c r="P889" s="212" t="s">
        <v>1107</v>
      </c>
      <c r="Q889" s="212" t="s">
        <v>68</v>
      </c>
      <c r="R889" s="212" t="s">
        <v>1968</v>
      </c>
      <c r="S889" s="212"/>
      <c r="T889" s="212"/>
      <c r="U889" s="212"/>
      <c r="V889" s="212"/>
      <c r="W889" s="212"/>
      <c r="X889" s="212"/>
      <c r="Y889" s="212"/>
      <c r="Z889" s="212"/>
      <c r="AA889" s="212"/>
      <c r="AB889" s="212"/>
      <c r="AC889" s="212"/>
      <c r="AD889" s="212"/>
      <c r="AE889" s="212"/>
      <c r="AF889" s="212"/>
      <c r="AG889" s="212"/>
      <c r="AH889" s="212"/>
      <c r="AI889" s="212"/>
      <c r="AJ889" s="212"/>
      <c r="AK889" s="212"/>
      <c r="AL889" s="212"/>
      <c r="AM889" s="212"/>
      <c r="AN889" s="212"/>
      <c r="AO889" s="212"/>
      <c r="AP889" s="212"/>
      <c r="AQ889" s="212"/>
      <c r="AR889" s="212"/>
      <c r="AS889" s="212"/>
      <c r="AT889" s="212"/>
      <c r="AU889" s="212"/>
      <c r="AV889" s="212"/>
      <c r="AW889" s="212"/>
      <c r="AX889" s="212"/>
      <c r="AY889" s="212"/>
      <c r="AZ889" s="212"/>
      <c r="BA889" s="212"/>
      <c r="BB889" s="212"/>
      <c r="BC889" s="212"/>
      <c r="BD889" s="212"/>
      <c r="BE889" s="212"/>
      <c r="BF889" s="212"/>
      <c r="BG889" s="212"/>
      <c r="BH889" s="212"/>
      <c r="BI889" s="231" t="str">
        <f>HYPERLINK("#노임!A3","L001010101000002 →")</f>
        <v>L001010101000002 →</v>
      </c>
    </row>
    <row r="890" spans="1:61" ht="24" customHeight="1">
      <c r="A890" s="218" t="s">
        <v>68</v>
      </c>
      <c r="B890" s="218" t="s">
        <v>68</v>
      </c>
      <c r="C890" s="229"/>
      <c r="D890" s="213" t="s">
        <v>68</v>
      </c>
      <c r="E890" s="213"/>
      <c r="F890" s="217">
        <v>0</v>
      </c>
      <c r="G890" s="213"/>
      <c r="H890" s="217">
        <v>0</v>
      </c>
      <c r="I890" s="213"/>
      <c r="J890" s="217">
        <v>0</v>
      </c>
      <c r="K890" s="217">
        <f t="shared" si="90"/>
        <v>0</v>
      </c>
      <c r="L890" s="217">
        <f t="shared" si="89"/>
        <v>0</v>
      </c>
      <c r="M890" s="215" t="s">
        <v>68</v>
      </c>
      <c r="N890" s="212" t="s">
        <v>68</v>
      </c>
      <c r="O890" s="212"/>
      <c r="P890" s="212" t="s">
        <v>1108</v>
      </c>
      <c r="Q890" s="212" t="s">
        <v>68</v>
      </c>
      <c r="R890" s="212" t="s">
        <v>68</v>
      </c>
      <c r="S890" s="212"/>
      <c r="T890" s="212"/>
      <c r="U890" s="212"/>
      <c r="V890" s="212"/>
      <c r="W890" s="212"/>
      <c r="X890" s="212"/>
      <c r="Y890" s="212"/>
      <c r="Z890" s="212"/>
      <c r="AA890" s="212"/>
      <c r="AB890" s="212"/>
      <c r="AC890" s="212"/>
      <c r="AD890" s="212"/>
      <c r="AE890" s="212"/>
      <c r="AF890" s="212"/>
      <c r="AG890" s="212"/>
      <c r="AH890" s="212"/>
      <c r="AI890" s="212"/>
      <c r="AJ890" s="212"/>
      <c r="AK890" s="212"/>
      <c r="AL890" s="212"/>
      <c r="AM890" s="212"/>
      <c r="AN890" s="212"/>
      <c r="AO890" s="212"/>
      <c r="AP890" s="212"/>
      <c r="AQ890" s="212"/>
      <c r="AR890" s="212"/>
      <c r="AS890" s="212"/>
      <c r="AT890" s="212"/>
      <c r="AU890" s="212"/>
      <c r="AV890" s="212"/>
      <c r="AW890" s="212"/>
      <c r="AX890" s="212"/>
      <c r="AY890" s="212"/>
      <c r="AZ890" s="212"/>
      <c r="BA890" s="212"/>
      <c r="BB890" s="212"/>
      <c r="BC890" s="212"/>
      <c r="BD890" s="212"/>
      <c r="BE890" s="212"/>
      <c r="BF890" s="212"/>
      <c r="BG890" s="212"/>
      <c r="BH890" s="212"/>
      <c r="BI890" s="212"/>
    </row>
    <row r="891" spans="1:61" ht="24" customHeight="1">
      <c r="A891" s="218" t="s">
        <v>2310</v>
      </c>
      <c r="B891" s="218" t="s">
        <v>68</v>
      </c>
      <c r="C891" s="229"/>
      <c r="D891" s="213" t="s">
        <v>68</v>
      </c>
      <c r="E891" s="213"/>
      <c r="F891" s="217">
        <v>0</v>
      </c>
      <c r="G891" s="213"/>
      <c r="H891" s="217">
        <v>0</v>
      </c>
      <c r="I891" s="213"/>
      <c r="J891" s="217">
        <v>0</v>
      </c>
      <c r="K891" s="217">
        <f t="shared" si="90"/>
        <v>0</v>
      </c>
      <c r="L891" s="217">
        <f t="shared" si="89"/>
        <v>0</v>
      </c>
      <c r="M891" s="215" t="s">
        <v>68</v>
      </c>
      <c r="N891" s="212" t="s">
        <v>68</v>
      </c>
      <c r="O891" s="212"/>
      <c r="P891" s="212" t="s">
        <v>1109</v>
      </c>
      <c r="Q891" s="212" t="s">
        <v>68</v>
      </c>
      <c r="R891" s="212" t="s">
        <v>68</v>
      </c>
      <c r="S891" s="212"/>
      <c r="T891" s="212"/>
      <c r="U891" s="212"/>
      <c r="V891" s="212"/>
      <c r="W891" s="212"/>
      <c r="X891" s="212"/>
      <c r="Y891" s="212"/>
      <c r="Z891" s="212"/>
      <c r="AA891" s="212"/>
      <c r="AB891" s="212"/>
      <c r="AC891" s="212"/>
      <c r="AD891" s="212"/>
      <c r="AE891" s="212"/>
      <c r="AF891" s="212"/>
      <c r="AG891" s="212"/>
      <c r="AH891" s="212"/>
      <c r="AI891" s="212"/>
      <c r="AJ891" s="212"/>
      <c r="AK891" s="212"/>
      <c r="AL891" s="212"/>
      <c r="AM891" s="212"/>
      <c r="AN891" s="212"/>
      <c r="AO891" s="212"/>
      <c r="AP891" s="212"/>
      <c r="AQ891" s="212"/>
      <c r="AR891" s="212"/>
      <c r="AS891" s="212"/>
      <c r="AT891" s="212"/>
      <c r="AU891" s="212"/>
      <c r="AV891" s="212"/>
      <c r="AW891" s="212"/>
      <c r="AX891" s="212"/>
      <c r="AY891" s="212"/>
      <c r="AZ891" s="212"/>
      <c r="BA891" s="212"/>
      <c r="BB891" s="212"/>
      <c r="BC891" s="212"/>
      <c r="BD891" s="212"/>
      <c r="BE891" s="212"/>
      <c r="BF891" s="212"/>
      <c r="BG891" s="212"/>
      <c r="BH891" s="212"/>
      <c r="BI891" s="212"/>
    </row>
    <row r="892" spans="1:61" ht="24" customHeight="1">
      <c r="A892" s="218" t="s">
        <v>2158</v>
      </c>
      <c r="B892" s="218" t="s">
        <v>1946</v>
      </c>
      <c r="C892" s="229">
        <v>8.9999999999999993E-3</v>
      </c>
      <c r="D892" s="213" t="s">
        <v>1286</v>
      </c>
      <c r="E892" s="217">
        <v>0</v>
      </c>
      <c r="F892" s="217"/>
      <c r="G892" s="217">
        <f>노임!D17</f>
        <v>0</v>
      </c>
      <c r="H892" s="217">
        <f>TRUNC(G892*C892,0)</f>
        <v>0</v>
      </c>
      <c r="I892" s="217">
        <v>0</v>
      </c>
      <c r="J892" s="217"/>
      <c r="K892" s="217">
        <f t="shared" si="90"/>
        <v>0</v>
      </c>
      <c r="L892" s="217">
        <f t="shared" si="89"/>
        <v>0</v>
      </c>
      <c r="M892" s="215" t="s">
        <v>68</v>
      </c>
      <c r="N892" s="212" t="s">
        <v>68</v>
      </c>
      <c r="O892" s="212"/>
      <c r="P892" s="212" t="s">
        <v>1110</v>
      </c>
      <c r="Q892" s="212" t="s">
        <v>68</v>
      </c>
      <c r="R892" s="212" t="s">
        <v>2159</v>
      </c>
      <c r="S892" s="212"/>
      <c r="T892" s="212"/>
      <c r="U892" s="212"/>
      <c r="V892" s="212"/>
      <c r="W892" s="212"/>
      <c r="X892" s="212"/>
      <c r="Y892" s="212"/>
      <c r="Z892" s="212"/>
      <c r="AA892" s="212"/>
      <c r="AB892" s="212"/>
      <c r="AC892" s="212"/>
      <c r="AD892" s="212"/>
      <c r="AE892" s="212"/>
      <c r="AF892" s="212"/>
      <c r="AG892" s="212"/>
      <c r="AH892" s="212"/>
      <c r="AI892" s="212"/>
      <c r="AJ892" s="212"/>
      <c r="AK892" s="212"/>
      <c r="AL892" s="212"/>
      <c r="AM892" s="212"/>
      <c r="AN892" s="212"/>
      <c r="AO892" s="212"/>
      <c r="AP892" s="212"/>
      <c r="AQ892" s="212"/>
      <c r="AR892" s="212"/>
      <c r="AS892" s="212"/>
      <c r="AT892" s="212"/>
      <c r="AU892" s="212"/>
      <c r="AV892" s="212"/>
      <c r="AW892" s="212"/>
      <c r="AX892" s="212"/>
      <c r="AY892" s="212"/>
      <c r="AZ892" s="212"/>
      <c r="BA892" s="212"/>
      <c r="BB892" s="212"/>
      <c r="BC892" s="212"/>
      <c r="BD892" s="212"/>
      <c r="BE892" s="212"/>
      <c r="BF892" s="212"/>
      <c r="BG892" s="212"/>
      <c r="BH892" s="212"/>
      <c r="BI892" s="231" t="str">
        <f>HYPERLINK("#노임!A17","L001010101000029 →")</f>
        <v>L001010101000029 →</v>
      </c>
    </row>
    <row r="893" spans="1:61" ht="24" customHeight="1">
      <c r="A893" s="218" t="s">
        <v>1967</v>
      </c>
      <c r="B893" s="218" t="s">
        <v>1946</v>
      </c>
      <c r="C893" s="229">
        <v>1E-3</v>
      </c>
      <c r="D893" s="213" t="s">
        <v>1286</v>
      </c>
      <c r="E893" s="217">
        <v>0</v>
      </c>
      <c r="F893" s="217"/>
      <c r="G893" s="217">
        <f>노임!D3</f>
        <v>0</v>
      </c>
      <c r="H893" s="217">
        <f>TRUNC(G893*C893,0)</f>
        <v>0</v>
      </c>
      <c r="I893" s="217">
        <v>0</v>
      </c>
      <c r="J893" s="217"/>
      <c r="K893" s="217">
        <f t="shared" si="90"/>
        <v>0</v>
      </c>
      <c r="L893" s="217">
        <f t="shared" si="89"/>
        <v>0</v>
      </c>
      <c r="M893" s="215" t="s">
        <v>68</v>
      </c>
      <c r="N893" s="212" t="s">
        <v>68</v>
      </c>
      <c r="O893" s="212"/>
      <c r="P893" s="212" t="s">
        <v>1111</v>
      </c>
      <c r="Q893" s="212" t="s">
        <v>68</v>
      </c>
      <c r="R893" s="212" t="s">
        <v>1968</v>
      </c>
      <c r="S893" s="212"/>
      <c r="T893" s="212"/>
      <c r="U893" s="212"/>
      <c r="V893" s="212"/>
      <c r="W893" s="212"/>
      <c r="X893" s="212"/>
      <c r="Y893" s="212"/>
      <c r="Z893" s="212"/>
      <c r="AA893" s="220" t="s">
        <v>1955</v>
      </c>
      <c r="AB893" s="212">
        <f>(호표!H888+호표!H889+호표!H892+호표!H893)*0.03</f>
        <v>0</v>
      </c>
      <c r="AC893" s="220" t="s">
        <v>1956</v>
      </c>
      <c r="AD893" s="212">
        <f>$AB893</f>
        <v>0</v>
      </c>
      <c r="AE893" s="212"/>
      <c r="AF893" s="212"/>
      <c r="AG893" s="212"/>
      <c r="AH893" s="212"/>
      <c r="AI893" s="212"/>
      <c r="AJ893" s="212"/>
      <c r="AK893" s="212"/>
      <c r="AL893" s="212"/>
      <c r="AM893" s="212"/>
      <c r="AN893" s="212"/>
      <c r="AO893" s="212"/>
      <c r="AP893" s="212"/>
      <c r="AQ893" s="212"/>
      <c r="AR893" s="212"/>
      <c r="AS893" s="212"/>
      <c r="AT893" s="212"/>
      <c r="AU893" s="212"/>
      <c r="AV893" s="212"/>
      <c r="AW893" s="212"/>
      <c r="AX893" s="212"/>
      <c r="AY893" s="212"/>
      <c r="AZ893" s="212"/>
      <c r="BA893" s="212"/>
      <c r="BB893" s="212"/>
      <c r="BC893" s="212"/>
      <c r="BD893" s="212"/>
      <c r="BE893" s="212"/>
      <c r="BF893" s="212"/>
      <c r="BG893" s="212"/>
      <c r="BH893" s="212"/>
      <c r="BI893" s="231" t="str">
        <f>HYPERLINK("#노임!A3","L001010101000002 →")</f>
        <v>L001010101000002 →</v>
      </c>
    </row>
    <row r="894" spans="1:61" ht="24" customHeight="1">
      <c r="A894" s="218" t="s">
        <v>1948</v>
      </c>
      <c r="B894" s="218" t="s">
        <v>1949</v>
      </c>
      <c r="C894" s="228">
        <v>3</v>
      </c>
      <c r="D894" s="213" t="s">
        <v>1950</v>
      </c>
      <c r="E894" s="213"/>
      <c r="F894" s="217">
        <v>0</v>
      </c>
      <c r="G894" s="213"/>
      <c r="H894" s="217">
        <v>0</v>
      </c>
      <c r="I894" s="213"/>
      <c r="J894" s="217">
        <f>TRUNC(((H888+H889+H892+H893)*0.03),0)</f>
        <v>0</v>
      </c>
      <c r="K894" s="217">
        <f t="shared" si="90"/>
        <v>0</v>
      </c>
      <c r="L894" s="217">
        <f t="shared" si="89"/>
        <v>0</v>
      </c>
      <c r="M894" s="215" t="s">
        <v>68</v>
      </c>
      <c r="N894" s="212" t="s">
        <v>68</v>
      </c>
      <c r="O894" s="212"/>
      <c r="P894" s="212" t="s">
        <v>1112</v>
      </c>
      <c r="Q894" s="212" t="s">
        <v>68</v>
      </c>
      <c r="R894" s="212" t="s">
        <v>1121</v>
      </c>
      <c r="S894" s="212"/>
      <c r="T894" s="212"/>
      <c r="U894" s="212"/>
      <c r="V894" s="212"/>
      <c r="W894" s="212"/>
      <c r="X894" s="212" t="s">
        <v>2311</v>
      </c>
      <c r="Y894" s="212"/>
      <c r="Z894" s="212"/>
      <c r="AA894" s="212"/>
      <c r="AB894" s="212"/>
      <c r="AC894" s="212"/>
      <c r="AD894" s="212"/>
      <c r="AE894" s="212"/>
      <c r="AF894" s="212"/>
      <c r="AG894" s="212"/>
      <c r="AH894" s="212"/>
      <c r="AI894" s="212"/>
      <c r="AJ894" s="212"/>
      <c r="AK894" s="212"/>
      <c r="AL894" s="212"/>
      <c r="AM894" s="212"/>
      <c r="AN894" s="212"/>
      <c r="AO894" s="212"/>
      <c r="AP894" s="212"/>
      <c r="AQ894" s="212"/>
      <c r="AR894" s="212"/>
      <c r="AS894" s="212"/>
      <c r="AT894" s="212"/>
      <c r="AU894" s="212"/>
      <c r="AV894" s="212"/>
      <c r="AW894" s="212"/>
      <c r="AX894" s="212"/>
      <c r="AY894" s="212"/>
      <c r="AZ894" s="212"/>
      <c r="BA894" s="212"/>
      <c r="BB894" s="212"/>
      <c r="BC894" s="212"/>
      <c r="BD894" s="212"/>
      <c r="BE894" s="212"/>
      <c r="BF894" s="212"/>
      <c r="BG894" s="212"/>
      <c r="BH894" s="212"/>
      <c r="BI894" s="212"/>
    </row>
    <row r="895" spans="1:61" ht="24" customHeight="1">
      <c r="A895" s="215"/>
      <c r="B895" s="215"/>
      <c r="C895" s="229"/>
      <c r="D895" s="213"/>
      <c r="E895" s="213"/>
      <c r="F895" s="213"/>
      <c r="G895" s="213"/>
      <c r="H895" s="213"/>
      <c r="I895" s="213"/>
      <c r="J895" s="213"/>
      <c r="K895" s="213"/>
      <c r="L895" s="213"/>
      <c r="M895" s="215"/>
      <c r="N895" s="212"/>
      <c r="O895" s="212"/>
      <c r="P895" s="212"/>
      <c r="Q895" s="212"/>
      <c r="R895" s="212"/>
      <c r="S895" s="212"/>
      <c r="T895" s="212"/>
      <c r="U895" s="212"/>
      <c r="V895" s="212"/>
      <c r="W895" s="212"/>
      <c r="X895" s="212"/>
      <c r="Y895" s="212"/>
      <c r="Z895" s="212"/>
      <c r="AA895" s="212"/>
      <c r="AB895" s="212"/>
      <c r="AC895" s="212"/>
      <c r="AD895" s="212"/>
      <c r="AE895" s="212"/>
      <c r="AF895" s="212"/>
      <c r="AG895" s="212"/>
      <c r="AH895" s="212"/>
      <c r="AI895" s="212"/>
      <c r="AJ895" s="212"/>
      <c r="AK895" s="212"/>
      <c r="AL895" s="212"/>
      <c r="AM895" s="212"/>
      <c r="AN895" s="212"/>
      <c r="AO895" s="212"/>
      <c r="AP895" s="212"/>
      <c r="AQ895" s="212"/>
      <c r="AR895" s="212"/>
      <c r="AS895" s="212"/>
      <c r="AT895" s="212"/>
      <c r="AU895" s="212"/>
      <c r="AV895" s="212"/>
      <c r="AW895" s="212"/>
      <c r="AX895" s="212"/>
      <c r="AY895" s="212"/>
      <c r="AZ895" s="212"/>
      <c r="BA895" s="212"/>
      <c r="BB895" s="212"/>
      <c r="BC895" s="212"/>
      <c r="BD895" s="212"/>
      <c r="BE895" s="212"/>
      <c r="BF895" s="212"/>
      <c r="BG895" s="212"/>
      <c r="BH895" s="212"/>
      <c r="BI895" s="212"/>
    </row>
    <row r="896" spans="1:61" ht="24" customHeight="1">
      <c r="A896" s="218" t="s">
        <v>2495</v>
      </c>
      <c r="B896" s="218" t="s">
        <v>1916</v>
      </c>
      <c r="C896" s="228">
        <v>1</v>
      </c>
      <c r="D896" s="213" t="s">
        <v>9</v>
      </c>
      <c r="E896" s="212"/>
      <c r="F896" s="217">
        <f>TRUNC(F897+F898+F899+F900,0)</f>
        <v>0</v>
      </c>
      <c r="G896" s="212"/>
      <c r="H896" s="217">
        <f>TRUNC(H897+H898+H899+H900,0)</f>
        <v>0</v>
      </c>
      <c r="I896" s="212"/>
      <c r="J896" s="217">
        <f>TRUNC(J897+J898+J899+J900,0)</f>
        <v>0</v>
      </c>
      <c r="K896" s="212"/>
      <c r="L896" s="217">
        <f>F896+H896+J896</f>
        <v>0</v>
      </c>
      <c r="M896" s="215" t="s">
        <v>1830</v>
      </c>
      <c r="N896" s="212" t="s">
        <v>68</v>
      </c>
      <c r="O896" s="212" t="s">
        <v>1917</v>
      </c>
      <c r="P896" s="212"/>
      <c r="Q896" s="212"/>
      <c r="R896" s="212"/>
      <c r="S896" s="212"/>
      <c r="T896" s="212"/>
      <c r="U896" s="212"/>
      <c r="V896" s="212"/>
      <c r="W896" s="212"/>
      <c r="X896" s="212"/>
      <c r="Y896" s="212"/>
      <c r="Z896" s="212"/>
      <c r="AA896" s="212"/>
      <c r="AB896" s="212"/>
      <c r="AC896" s="212"/>
      <c r="AD896" s="212"/>
      <c r="AE896" s="212"/>
      <c r="AF896" s="212"/>
      <c r="AG896" s="212"/>
      <c r="AH896" s="212"/>
      <c r="AI896" s="212"/>
      <c r="AJ896" s="212"/>
      <c r="AK896" s="212"/>
      <c r="AL896" s="212"/>
      <c r="AM896" s="212"/>
      <c r="AN896" s="212"/>
      <c r="AO896" s="212"/>
      <c r="AP896" s="212"/>
      <c r="AQ896" s="212"/>
      <c r="AR896" s="212"/>
      <c r="AS896" s="212"/>
      <c r="AT896" s="212"/>
      <c r="AU896" s="212"/>
      <c r="AV896" s="212"/>
      <c r="AW896" s="212"/>
      <c r="AX896" s="212"/>
      <c r="AY896" s="212"/>
      <c r="AZ896" s="212"/>
      <c r="BA896" s="212"/>
      <c r="BB896" s="212"/>
      <c r="BC896" s="212"/>
      <c r="BD896" s="212"/>
      <c r="BE896" s="212"/>
      <c r="BF896" s="212"/>
      <c r="BG896" s="212"/>
      <c r="BH896" s="212"/>
      <c r="BI896" s="212"/>
    </row>
    <row r="897" spans="1:61" ht="24" customHeight="1">
      <c r="A897" s="218" t="s">
        <v>2315</v>
      </c>
      <c r="B897" s="218" t="s">
        <v>2316</v>
      </c>
      <c r="C897" s="229">
        <v>0.4</v>
      </c>
      <c r="D897" s="213" t="s">
        <v>2155</v>
      </c>
      <c r="E897" s="217">
        <f>자재조서!E34</f>
        <v>0</v>
      </c>
      <c r="F897" s="217">
        <f>TRUNC(E897*C897,0)</f>
        <v>0</v>
      </c>
      <c r="G897" s="217">
        <v>0</v>
      </c>
      <c r="H897" s="217"/>
      <c r="I897" s="217">
        <v>0</v>
      </c>
      <c r="J897" s="217"/>
      <c r="K897" s="217">
        <f>E897+G897+I897</f>
        <v>0</v>
      </c>
      <c r="L897" s="217">
        <f>F897+H897+J897</f>
        <v>0</v>
      </c>
      <c r="M897" s="215" t="s">
        <v>68</v>
      </c>
      <c r="N897" s="212" t="s">
        <v>68</v>
      </c>
      <c r="O897" s="212"/>
      <c r="P897" s="212" t="s">
        <v>1095</v>
      </c>
      <c r="Q897" s="212" t="s">
        <v>68</v>
      </c>
      <c r="R897" s="212" t="s">
        <v>2317</v>
      </c>
      <c r="S897" s="212"/>
      <c r="T897" s="212"/>
      <c r="U897" s="212"/>
      <c r="V897" s="212"/>
      <c r="W897" s="212"/>
      <c r="X897" s="212"/>
      <c r="Y897" s="212"/>
      <c r="Z897" s="212"/>
      <c r="AA897" s="212"/>
      <c r="AB897" s="212"/>
      <c r="AC897" s="212"/>
      <c r="AD897" s="212"/>
      <c r="AE897" s="212"/>
      <c r="AF897" s="212"/>
      <c r="AG897" s="212"/>
      <c r="AH897" s="212"/>
      <c r="AI897" s="212"/>
      <c r="AJ897" s="212"/>
      <c r="AK897" s="212"/>
      <c r="AL897" s="212"/>
      <c r="AM897" s="212"/>
      <c r="AN897" s="212"/>
      <c r="AO897" s="212"/>
      <c r="AP897" s="212"/>
      <c r="AQ897" s="212"/>
      <c r="AR897" s="212"/>
      <c r="AS897" s="212"/>
      <c r="AT897" s="212"/>
      <c r="AU897" s="212"/>
      <c r="AV897" s="212"/>
      <c r="AW897" s="212"/>
      <c r="AX897" s="212"/>
      <c r="AY897" s="212"/>
      <c r="AZ897" s="212"/>
      <c r="BA897" s="212"/>
      <c r="BB897" s="212"/>
      <c r="BC897" s="212"/>
      <c r="BD897" s="212"/>
      <c r="BE897" s="212"/>
      <c r="BF897" s="212"/>
      <c r="BG897" s="212"/>
      <c r="BH897" s="212"/>
      <c r="BI897" s="231" t="str">
        <f>HYPERLINK("#자재조서!A34","MVP2021 →")</f>
        <v>MVP2021 →</v>
      </c>
    </row>
    <row r="898" spans="1:61" ht="24" customHeight="1">
      <c r="A898" s="218" t="s">
        <v>2158</v>
      </c>
      <c r="B898" s="218" t="s">
        <v>1946</v>
      </c>
      <c r="C898" s="229">
        <v>3.7999999999999999E-2</v>
      </c>
      <c r="D898" s="213" t="s">
        <v>1286</v>
      </c>
      <c r="E898" s="217">
        <v>0</v>
      </c>
      <c r="F898" s="217"/>
      <c r="G898" s="217">
        <f>노임!D17</f>
        <v>0</v>
      </c>
      <c r="H898" s="217">
        <f>TRUNC(G898*C898,0)</f>
        <v>0</v>
      </c>
      <c r="I898" s="217">
        <v>0</v>
      </c>
      <c r="J898" s="217"/>
      <c r="K898" s="217">
        <f>E898+G898+I898</f>
        <v>0</v>
      </c>
      <c r="L898" s="217">
        <f>F898+H898+J898</f>
        <v>0</v>
      </c>
      <c r="M898" s="215" t="s">
        <v>68</v>
      </c>
      <c r="N898" s="212" t="s">
        <v>68</v>
      </c>
      <c r="O898" s="212"/>
      <c r="P898" s="212" t="s">
        <v>1098</v>
      </c>
      <c r="Q898" s="212" t="s">
        <v>68</v>
      </c>
      <c r="R898" s="212" t="s">
        <v>2159</v>
      </c>
      <c r="S898" s="212"/>
      <c r="T898" s="212"/>
      <c r="U898" s="212"/>
      <c r="V898" s="212"/>
      <c r="W898" s="212"/>
      <c r="X898" s="212"/>
      <c r="Y898" s="212"/>
      <c r="Z898" s="212"/>
      <c r="AA898" s="212"/>
      <c r="AB898" s="212"/>
      <c r="AC898" s="212"/>
      <c r="AD898" s="212"/>
      <c r="AE898" s="212"/>
      <c r="AF898" s="212"/>
      <c r="AG898" s="212"/>
      <c r="AH898" s="212"/>
      <c r="AI898" s="212"/>
      <c r="AJ898" s="212"/>
      <c r="AK898" s="212"/>
      <c r="AL898" s="212"/>
      <c r="AM898" s="212"/>
      <c r="AN898" s="212"/>
      <c r="AO898" s="212"/>
      <c r="AP898" s="212"/>
      <c r="AQ898" s="212"/>
      <c r="AR898" s="212"/>
      <c r="AS898" s="212"/>
      <c r="AT898" s="212"/>
      <c r="AU898" s="212"/>
      <c r="AV898" s="212"/>
      <c r="AW898" s="212"/>
      <c r="AX898" s="212"/>
      <c r="AY898" s="212"/>
      <c r="AZ898" s="212"/>
      <c r="BA898" s="212"/>
      <c r="BB898" s="212"/>
      <c r="BC898" s="212"/>
      <c r="BD898" s="212"/>
      <c r="BE898" s="212"/>
      <c r="BF898" s="212"/>
      <c r="BG898" s="212"/>
      <c r="BH898" s="212"/>
      <c r="BI898" s="231" t="str">
        <f>HYPERLINK("#노임!A17","L001010101000029 →")</f>
        <v>L001010101000029 →</v>
      </c>
    </row>
    <row r="899" spans="1:61" ht="24" customHeight="1">
      <c r="A899" s="218" t="s">
        <v>1967</v>
      </c>
      <c r="B899" s="218" t="s">
        <v>1946</v>
      </c>
      <c r="C899" s="229">
        <v>6.0000000000000001E-3</v>
      </c>
      <c r="D899" s="213" t="s">
        <v>1286</v>
      </c>
      <c r="E899" s="217">
        <v>0</v>
      </c>
      <c r="F899" s="217"/>
      <c r="G899" s="217">
        <f>노임!D3</f>
        <v>0</v>
      </c>
      <c r="H899" s="217">
        <f>TRUNC(G899*C899,0)</f>
        <v>0</v>
      </c>
      <c r="I899" s="217">
        <v>0</v>
      </c>
      <c r="J899" s="217"/>
      <c r="K899" s="217">
        <f>E899+G899+I899</f>
        <v>0</v>
      </c>
      <c r="L899" s="217">
        <f>F899+H899+J899</f>
        <v>0</v>
      </c>
      <c r="M899" s="215" t="s">
        <v>68</v>
      </c>
      <c r="N899" s="212" t="s">
        <v>68</v>
      </c>
      <c r="O899" s="212"/>
      <c r="P899" s="212" t="s">
        <v>1101</v>
      </c>
      <c r="Q899" s="212" t="s">
        <v>68</v>
      </c>
      <c r="R899" s="212" t="s">
        <v>1968</v>
      </c>
      <c r="S899" s="212"/>
      <c r="T899" s="212"/>
      <c r="U899" s="212"/>
      <c r="V899" s="212"/>
      <c r="W899" s="212"/>
      <c r="X899" s="212"/>
      <c r="Y899" s="212"/>
      <c r="Z899" s="212"/>
      <c r="AA899" s="220" t="s">
        <v>1955</v>
      </c>
      <c r="AB899" s="212">
        <f>(호표!H898+호표!H899)*0.02</f>
        <v>0</v>
      </c>
      <c r="AC899" s="220" t="s">
        <v>1956</v>
      </c>
      <c r="AD899" s="212">
        <f>$AB899</f>
        <v>0</v>
      </c>
      <c r="AE899" s="212"/>
      <c r="AF899" s="212"/>
      <c r="AG899" s="212"/>
      <c r="AH899" s="212"/>
      <c r="AI899" s="212"/>
      <c r="AJ899" s="212"/>
      <c r="AK899" s="212"/>
      <c r="AL899" s="212"/>
      <c r="AM899" s="212"/>
      <c r="AN899" s="212"/>
      <c r="AO899" s="212"/>
      <c r="AP899" s="212"/>
      <c r="AQ899" s="212"/>
      <c r="AR899" s="212"/>
      <c r="AS899" s="212"/>
      <c r="AT899" s="212"/>
      <c r="AU899" s="212"/>
      <c r="AV899" s="212"/>
      <c r="AW899" s="212"/>
      <c r="AX899" s="212"/>
      <c r="AY899" s="212"/>
      <c r="AZ899" s="212"/>
      <c r="BA899" s="212"/>
      <c r="BB899" s="212"/>
      <c r="BC899" s="212"/>
      <c r="BD899" s="212"/>
      <c r="BE899" s="212"/>
      <c r="BF899" s="212"/>
      <c r="BG899" s="212"/>
      <c r="BH899" s="212"/>
      <c r="BI899" s="231" t="str">
        <f>HYPERLINK("#노임!A3","L001010101000002 →")</f>
        <v>L001010101000002 →</v>
      </c>
    </row>
    <row r="900" spans="1:61" ht="24" customHeight="1">
      <c r="A900" s="218" t="s">
        <v>1948</v>
      </c>
      <c r="B900" s="218" t="s">
        <v>1958</v>
      </c>
      <c r="C900" s="228">
        <v>2</v>
      </c>
      <c r="D900" s="213" t="s">
        <v>1950</v>
      </c>
      <c r="E900" s="213"/>
      <c r="F900" s="217">
        <v>0</v>
      </c>
      <c r="G900" s="213"/>
      <c r="H900" s="217">
        <v>0</v>
      </c>
      <c r="I900" s="213"/>
      <c r="J900" s="217">
        <f>TRUNC(((H898+H899)*0.02),0)</f>
        <v>0</v>
      </c>
      <c r="K900" s="217">
        <f>E900+G900+I900</f>
        <v>0</v>
      </c>
      <c r="L900" s="217">
        <f>F900+H900+J900</f>
        <v>0</v>
      </c>
      <c r="M900" s="215" t="s">
        <v>68</v>
      </c>
      <c r="N900" s="212" t="s">
        <v>68</v>
      </c>
      <c r="O900" s="212"/>
      <c r="P900" s="212" t="s">
        <v>1104</v>
      </c>
      <c r="Q900" s="212" t="s">
        <v>68</v>
      </c>
      <c r="R900" s="212" t="s">
        <v>1121</v>
      </c>
      <c r="S900" s="212"/>
      <c r="T900" s="212"/>
      <c r="U900" s="212"/>
      <c r="V900" s="212"/>
      <c r="W900" s="212"/>
      <c r="X900" s="212" t="s">
        <v>1986</v>
      </c>
      <c r="Y900" s="212"/>
      <c r="Z900" s="212"/>
      <c r="AA900" s="212"/>
      <c r="AB900" s="212"/>
      <c r="AC900" s="212"/>
      <c r="AD900" s="212"/>
      <c r="AE900" s="212"/>
      <c r="AF900" s="212"/>
      <c r="AG900" s="212"/>
      <c r="AH900" s="212"/>
      <c r="AI900" s="212"/>
      <c r="AJ900" s="212"/>
      <c r="AK900" s="212"/>
      <c r="AL900" s="212"/>
      <c r="AM900" s="212"/>
      <c r="AN900" s="212"/>
      <c r="AO900" s="212"/>
      <c r="AP900" s="212"/>
      <c r="AQ900" s="212"/>
      <c r="AR900" s="212"/>
      <c r="AS900" s="212"/>
      <c r="AT900" s="212"/>
      <c r="AU900" s="212"/>
      <c r="AV900" s="212"/>
      <c r="AW900" s="212"/>
      <c r="AX900" s="212"/>
      <c r="AY900" s="212"/>
      <c r="AZ900" s="212"/>
      <c r="BA900" s="212"/>
      <c r="BB900" s="212"/>
      <c r="BC900" s="212"/>
      <c r="BD900" s="212"/>
      <c r="BE900" s="212"/>
      <c r="BF900" s="212"/>
      <c r="BG900" s="212"/>
      <c r="BH900" s="212"/>
      <c r="BI900" s="212"/>
    </row>
    <row r="901" spans="1:61" ht="24" customHeight="1">
      <c r="A901" s="215"/>
      <c r="B901" s="215"/>
      <c r="C901" s="229"/>
      <c r="D901" s="213"/>
      <c r="E901" s="213"/>
      <c r="F901" s="213"/>
      <c r="G901" s="213"/>
      <c r="H901" s="213"/>
      <c r="I901" s="213"/>
      <c r="J901" s="213"/>
      <c r="K901" s="213"/>
      <c r="L901" s="213"/>
      <c r="M901" s="215"/>
      <c r="N901" s="212"/>
      <c r="O901" s="212"/>
      <c r="P901" s="212"/>
      <c r="Q901" s="212"/>
      <c r="R901" s="212"/>
      <c r="S901" s="212"/>
      <c r="T901" s="212"/>
      <c r="U901" s="212"/>
      <c r="V901" s="212"/>
      <c r="W901" s="212"/>
      <c r="X901" s="212"/>
      <c r="Y901" s="212"/>
      <c r="Z901" s="212"/>
      <c r="AA901" s="212"/>
      <c r="AB901" s="212"/>
      <c r="AC901" s="212"/>
      <c r="AD901" s="212"/>
      <c r="AE901" s="212"/>
      <c r="AF901" s="212"/>
      <c r="AG901" s="212"/>
      <c r="AH901" s="212"/>
      <c r="AI901" s="212"/>
      <c r="AJ901" s="212"/>
      <c r="AK901" s="212"/>
      <c r="AL901" s="212"/>
      <c r="AM901" s="212"/>
      <c r="AN901" s="212"/>
      <c r="AO901" s="212"/>
      <c r="AP901" s="212"/>
      <c r="AQ901" s="212"/>
      <c r="AR901" s="212"/>
      <c r="AS901" s="212"/>
      <c r="AT901" s="212"/>
      <c r="AU901" s="212"/>
      <c r="AV901" s="212"/>
      <c r="AW901" s="212"/>
      <c r="AX901" s="212"/>
      <c r="AY901" s="212"/>
      <c r="AZ901" s="212"/>
      <c r="BA901" s="212"/>
      <c r="BB901" s="212"/>
      <c r="BC901" s="212"/>
      <c r="BD901" s="212"/>
      <c r="BE901" s="212"/>
      <c r="BF901" s="212"/>
      <c r="BG901" s="212"/>
      <c r="BH901" s="212"/>
      <c r="BI901" s="212"/>
    </row>
    <row r="902" spans="1:61" ht="24" customHeight="1">
      <c r="A902" s="218" t="s">
        <v>2496</v>
      </c>
      <c r="B902" s="218" t="s">
        <v>1727</v>
      </c>
      <c r="C902" s="228">
        <v>1</v>
      </c>
      <c r="D902" s="213" t="s">
        <v>378</v>
      </c>
      <c r="E902" s="212"/>
      <c r="F902" s="217">
        <f>TRUNC(F903+F904+F905,0)</f>
        <v>0</v>
      </c>
      <c r="G902" s="212"/>
      <c r="H902" s="217">
        <f>TRUNC(H903+H904+H905,0)</f>
        <v>0</v>
      </c>
      <c r="I902" s="212"/>
      <c r="J902" s="217">
        <f>TRUNC(J903+J904+J905,0)</f>
        <v>0</v>
      </c>
      <c r="K902" s="212"/>
      <c r="L902" s="217">
        <f>F902+H902+J902</f>
        <v>0</v>
      </c>
      <c r="M902" s="215" t="s">
        <v>1712</v>
      </c>
      <c r="N902" s="212" t="s">
        <v>68</v>
      </c>
      <c r="O902" s="212" t="s">
        <v>1919</v>
      </c>
      <c r="P902" s="212"/>
      <c r="Q902" s="212"/>
      <c r="R902" s="212"/>
      <c r="S902" s="212"/>
      <c r="T902" s="212"/>
      <c r="U902" s="212"/>
      <c r="V902" s="212"/>
      <c r="W902" s="212"/>
      <c r="X902" s="212"/>
      <c r="Y902" s="212"/>
      <c r="Z902" s="212"/>
      <c r="AA902" s="212"/>
      <c r="AB902" s="212"/>
      <c r="AC902" s="212"/>
      <c r="AD902" s="212"/>
      <c r="AE902" s="212"/>
      <c r="AF902" s="212"/>
      <c r="AG902" s="212"/>
      <c r="AH902" s="212"/>
      <c r="AI902" s="212"/>
      <c r="AJ902" s="212"/>
      <c r="AK902" s="212"/>
      <c r="AL902" s="212"/>
      <c r="AM902" s="212"/>
      <c r="AN902" s="212"/>
      <c r="AO902" s="212"/>
      <c r="AP902" s="212"/>
      <c r="AQ902" s="212"/>
      <c r="AR902" s="212"/>
      <c r="AS902" s="212"/>
      <c r="AT902" s="212"/>
      <c r="AU902" s="212"/>
      <c r="AV902" s="212"/>
      <c r="AW902" s="212"/>
      <c r="AX902" s="212"/>
      <c r="AY902" s="212"/>
      <c r="AZ902" s="212"/>
      <c r="BA902" s="212"/>
      <c r="BB902" s="212"/>
      <c r="BC902" s="212"/>
      <c r="BD902" s="212"/>
      <c r="BE902" s="212"/>
      <c r="BF902" s="212"/>
      <c r="BG902" s="212"/>
      <c r="BH902" s="212"/>
      <c r="BI902" s="212"/>
    </row>
    <row r="903" spans="1:61" ht="24" customHeight="1">
      <c r="A903" s="218" t="s">
        <v>2026</v>
      </c>
      <c r="B903" s="218" t="s">
        <v>1946</v>
      </c>
      <c r="C903" s="229">
        <v>0.432</v>
      </c>
      <c r="D903" s="213" t="s">
        <v>1286</v>
      </c>
      <c r="E903" s="217">
        <v>0</v>
      </c>
      <c r="F903" s="217"/>
      <c r="G903" s="217">
        <f>노임!D13</f>
        <v>0</v>
      </c>
      <c r="H903" s="217">
        <f>TRUNC(G903*C903,0)</f>
        <v>0</v>
      </c>
      <c r="I903" s="217">
        <v>0</v>
      </c>
      <c r="J903" s="217"/>
      <c r="K903" s="217">
        <f>E903+G903+I903</f>
        <v>0</v>
      </c>
      <c r="L903" s="217">
        <f>F903+H903+J903</f>
        <v>0</v>
      </c>
      <c r="M903" s="215" t="s">
        <v>68</v>
      </c>
      <c r="N903" s="212" t="s">
        <v>68</v>
      </c>
      <c r="O903" s="212"/>
      <c r="P903" s="212" t="s">
        <v>1095</v>
      </c>
      <c r="Q903" s="212" t="s">
        <v>68</v>
      </c>
      <c r="R903" s="212" t="s">
        <v>2027</v>
      </c>
      <c r="S903" s="212"/>
      <c r="T903" s="212"/>
      <c r="U903" s="212"/>
      <c r="V903" s="212"/>
      <c r="W903" s="212"/>
      <c r="X903" s="212"/>
      <c r="Y903" s="212"/>
      <c r="Z903" s="212"/>
      <c r="AA903" s="212"/>
      <c r="AB903" s="212"/>
      <c r="AC903" s="212"/>
      <c r="AD903" s="212"/>
      <c r="AE903" s="212"/>
      <c r="AF903" s="212"/>
      <c r="AG903" s="212"/>
      <c r="AH903" s="212"/>
      <c r="AI903" s="212"/>
      <c r="AJ903" s="212"/>
      <c r="AK903" s="212"/>
      <c r="AL903" s="212"/>
      <c r="AM903" s="212"/>
      <c r="AN903" s="212"/>
      <c r="AO903" s="212"/>
      <c r="AP903" s="212"/>
      <c r="AQ903" s="212"/>
      <c r="AR903" s="212"/>
      <c r="AS903" s="212"/>
      <c r="AT903" s="212"/>
      <c r="AU903" s="212"/>
      <c r="AV903" s="212"/>
      <c r="AW903" s="212"/>
      <c r="AX903" s="212"/>
      <c r="AY903" s="212"/>
      <c r="AZ903" s="212"/>
      <c r="BA903" s="212"/>
      <c r="BB903" s="212"/>
      <c r="BC903" s="212"/>
      <c r="BD903" s="212"/>
      <c r="BE903" s="212"/>
      <c r="BF903" s="212"/>
      <c r="BG903" s="212"/>
      <c r="BH903" s="212"/>
      <c r="BI903" s="231" t="str">
        <f>HYPERLINK("#노임!A13","L001010101000024 →")</f>
        <v>L001010101000024 →</v>
      </c>
    </row>
    <row r="904" spans="1:61" ht="24" customHeight="1">
      <c r="A904" s="218" t="s">
        <v>1967</v>
      </c>
      <c r="B904" s="218" t="s">
        <v>1946</v>
      </c>
      <c r="C904" s="229">
        <v>0.10299999999999999</v>
      </c>
      <c r="D904" s="213" t="s">
        <v>1286</v>
      </c>
      <c r="E904" s="217">
        <v>0</v>
      </c>
      <c r="F904" s="217"/>
      <c r="G904" s="217">
        <f>노임!D3</f>
        <v>0</v>
      </c>
      <c r="H904" s="217">
        <f>TRUNC(G904*C904,0)</f>
        <v>0</v>
      </c>
      <c r="I904" s="217">
        <v>0</v>
      </c>
      <c r="J904" s="217"/>
      <c r="K904" s="217">
        <f>E904+G904+I904</f>
        <v>0</v>
      </c>
      <c r="L904" s="217">
        <f>F904+H904+J904</f>
        <v>0</v>
      </c>
      <c r="M904" s="215" t="s">
        <v>68</v>
      </c>
      <c r="N904" s="212" t="s">
        <v>68</v>
      </c>
      <c r="O904" s="212"/>
      <c r="P904" s="212" t="s">
        <v>1098</v>
      </c>
      <c r="Q904" s="212" t="s">
        <v>68</v>
      </c>
      <c r="R904" s="212" t="s">
        <v>1968</v>
      </c>
      <c r="S904" s="212"/>
      <c r="T904" s="212"/>
      <c r="U904" s="212"/>
      <c r="V904" s="212"/>
      <c r="W904" s="212"/>
      <c r="X904" s="212"/>
      <c r="Y904" s="212"/>
      <c r="Z904" s="212"/>
      <c r="AA904" s="220" t="s">
        <v>1955</v>
      </c>
      <c r="AB904" s="212">
        <f>(호표!H903+호표!H904)*0.03</f>
        <v>0</v>
      </c>
      <c r="AC904" s="220" t="s">
        <v>1956</v>
      </c>
      <c r="AD904" s="212">
        <f>$AB904</f>
        <v>0</v>
      </c>
      <c r="AE904" s="212"/>
      <c r="AF904" s="212"/>
      <c r="AG904" s="212"/>
      <c r="AH904" s="212"/>
      <c r="AI904" s="212"/>
      <c r="AJ904" s="212"/>
      <c r="AK904" s="212"/>
      <c r="AL904" s="212"/>
      <c r="AM904" s="212"/>
      <c r="AN904" s="212"/>
      <c r="AO904" s="212"/>
      <c r="AP904" s="212"/>
      <c r="AQ904" s="212"/>
      <c r="AR904" s="212"/>
      <c r="AS904" s="212"/>
      <c r="AT904" s="212"/>
      <c r="AU904" s="212"/>
      <c r="AV904" s="212"/>
      <c r="AW904" s="212"/>
      <c r="AX904" s="212"/>
      <c r="AY904" s="212"/>
      <c r="AZ904" s="212"/>
      <c r="BA904" s="212"/>
      <c r="BB904" s="212"/>
      <c r="BC904" s="212"/>
      <c r="BD904" s="212"/>
      <c r="BE904" s="212"/>
      <c r="BF904" s="212"/>
      <c r="BG904" s="212"/>
      <c r="BH904" s="212"/>
      <c r="BI904" s="231" t="str">
        <f>HYPERLINK("#노임!A3","L001010101000002 →")</f>
        <v>L001010101000002 →</v>
      </c>
    </row>
    <row r="905" spans="1:61" ht="24" customHeight="1">
      <c r="A905" s="218" t="s">
        <v>1948</v>
      </c>
      <c r="B905" s="218" t="s">
        <v>1949</v>
      </c>
      <c r="C905" s="228">
        <v>3</v>
      </c>
      <c r="D905" s="213" t="s">
        <v>1950</v>
      </c>
      <c r="E905" s="213"/>
      <c r="F905" s="217">
        <v>0</v>
      </c>
      <c r="G905" s="213"/>
      <c r="H905" s="217">
        <v>0</v>
      </c>
      <c r="I905" s="213"/>
      <c r="J905" s="217">
        <f>TRUNC(((H903+H904)*0.03),0)</f>
        <v>0</v>
      </c>
      <c r="K905" s="217">
        <f>E905+G905+I905</f>
        <v>0</v>
      </c>
      <c r="L905" s="217">
        <f>F905+H905+J905</f>
        <v>0</v>
      </c>
      <c r="M905" s="215" t="s">
        <v>68</v>
      </c>
      <c r="N905" s="212" t="s">
        <v>68</v>
      </c>
      <c r="O905" s="212"/>
      <c r="P905" s="212" t="s">
        <v>1101</v>
      </c>
      <c r="Q905" s="212" t="s">
        <v>68</v>
      </c>
      <c r="R905" s="212" t="s">
        <v>1121</v>
      </c>
      <c r="S905" s="212"/>
      <c r="T905" s="212"/>
      <c r="U905" s="212"/>
      <c r="V905" s="212"/>
      <c r="W905" s="212"/>
      <c r="X905" s="212" t="s">
        <v>2130</v>
      </c>
      <c r="Y905" s="212"/>
      <c r="Z905" s="212"/>
      <c r="AA905" s="212"/>
      <c r="AB905" s="212"/>
      <c r="AC905" s="212"/>
      <c r="AD905" s="212"/>
      <c r="AE905" s="212"/>
      <c r="AF905" s="212"/>
      <c r="AG905" s="212"/>
      <c r="AH905" s="212"/>
      <c r="AI905" s="212"/>
      <c r="AJ905" s="212"/>
      <c r="AK905" s="212"/>
      <c r="AL905" s="212"/>
      <c r="AM905" s="212"/>
      <c r="AN905" s="212"/>
      <c r="AO905" s="212"/>
      <c r="AP905" s="212"/>
      <c r="AQ905" s="212"/>
      <c r="AR905" s="212"/>
      <c r="AS905" s="212"/>
      <c r="AT905" s="212"/>
      <c r="AU905" s="212"/>
      <c r="AV905" s="212"/>
      <c r="AW905" s="212"/>
      <c r="AX905" s="212"/>
      <c r="AY905" s="212"/>
      <c r="AZ905" s="212"/>
      <c r="BA905" s="212"/>
      <c r="BB905" s="212"/>
      <c r="BC905" s="212"/>
      <c r="BD905" s="212"/>
      <c r="BE905" s="212"/>
      <c r="BF905" s="212"/>
      <c r="BG905" s="212"/>
      <c r="BH905" s="212"/>
      <c r="BI905" s="212"/>
    </row>
    <row r="906" spans="1:61" ht="24" customHeight="1">
      <c r="A906" s="215"/>
      <c r="B906" s="215"/>
      <c r="C906" s="229"/>
      <c r="D906" s="213"/>
      <c r="E906" s="213"/>
      <c r="F906" s="213"/>
      <c r="G906" s="213"/>
      <c r="H906" s="213"/>
      <c r="I906" s="213"/>
      <c r="J906" s="213"/>
      <c r="K906" s="213"/>
      <c r="L906" s="213"/>
      <c r="M906" s="215"/>
      <c r="N906" s="212"/>
      <c r="O906" s="212"/>
      <c r="P906" s="212"/>
      <c r="Q906" s="212"/>
      <c r="R906" s="212"/>
      <c r="S906" s="212"/>
      <c r="T906" s="212"/>
      <c r="U906" s="212"/>
      <c r="V906" s="212"/>
      <c r="W906" s="212"/>
      <c r="X906" s="212"/>
      <c r="Y906" s="212"/>
      <c r="Z906" s="212"/>
      <c r="AA906" s="212"/>
      <c r="AB906" s="212"/>
      <c r="AC906" s="212"/>
      <c r="AD906" s="212"/>
      <c r="AE906" s="212"/>
      <c r="AF906" s="212"/>
      <c r="AG906" s="212"/>
      <c r="AH906" s="212"/>
      <c r="AI906" s="212"/>
      <c r="AJ906" s="212"/>
      <c r="AK906" s="212"/>
      <c r="AL906" s="212"/>
      <c r="AM906" s="212"/>
      <c r="AN906" s="212"/>
      <c r="AO906" s="212"/>
      <c r="AP906" s="212"/>
      <c r="AQ906" s="212"/>
      <c r="AR906" s="212"/>
      <c r="AS906" s="212"/>
      <c r="AT906" s="212"/>
      <c r="AU906" s="212"/>
      <c r="AV906" s="212"/>
      <c r="AW906" s="212"/>
      <c r="AX906" s="212"/>
      <c r="AY906" s="212"/>
      <c r="AZ906" s="212"/>
      <c r="BA906" s="212"/>
      <c r="BB906" s="212"/>
      <c r="BC906" s="212"/>
      <c r="BD906" s="212"/>
      <c r="BE906" s="212"/>
      <c r="BF906" s="212"/>
      <c r="BG906" s="212"/>
      <c r="BH906" s="212"/>
      <c r="BI906" s="212"/>
    </row>
    <row r="907" spans="1:61" ht="24" customHeight="1">
      <c r="A907" s="218" t="s">
        <v>2497</v>
      </c>
      <c r="B907" s="218" t="s">
        <v>1921</v>
      </c>
      <c r="C907" s="228">
        <v>1</v>
      </c>
      <c r="D907" s="213" t="s">
        <v>15</v>
      </c>
      <c r="E907" s="212"/>
      <c r="F907" s="217">
        <f>TRUNC(F909+F910+F912,0)</f>
        <v>0</v>
      </c>
      <c r="G907" s="212"/>
      <c r="H907" s="217">
        <f>TRUNC(H909+H910+H912,0)</f>
        <v>0</v>
      </c>
      <c r="I907" s="212"/>
      <c r="J907" s="217">
        <f>TRUNC(J909+J910+J912,0)</f>
        <v>0</v>
      </c>
      <c r="K907" s="212"/>
      <c r="L907" s="217">
        <f t="shared" ref="L907:L912" si="91">F907+H907+J907</f>
        <v>0</v>
      </c>
      <c r="M907" s="215" t="s">
        <v>1922</v>
      </c>
      <c r="N907" s="212" t="s">
        <v>68</v>
      </c>
      <c r="O907" s="212" t="s">
        <v>1923</v>
      </c>
      <c r="P907" s="212"/>
      <c r="Q907" s="212"/>
      <c r="R907" s="212"/>
      <c r="S907" s="212"/>
      <c r="T907" s="212"/>
      <c r="U907" s="212"/>
      <c r="V907" s="212"/>
      <c r="W907" s="212"/>
      <c r="X907" s="212"/>
      <c r="Y907" s="212"/>
      <c r="Z907" s="212"/>
      <c r="AA907" s="212"/>
      <c r="AB907" s="212"/>
      <c r="AC907" s="212"/>
      <c r="AD907" s="212"/>
      <c r="AE907" s="212"/>
      <c r="AF907" s="212"/>
      <c r="AG907" s="212"/>
      <c r="AH907" s="212"/>
      <c r="AI907" s="212"/>
      <c r="AJ907" s="212"/>
      <c r="AK907" s="212"/>
      <c r="AL907" s="212"/>
      <c r="AM907" s="212"/>
      <c r="AN907" s="212"/>
      <c r="AO907" s="212"/>
      <c r="AP907" s="212"/>
      <c r="AQ907" s="212"/>
      <c r="AR907" s="212"/>
      <c r="AS907" s="212"/>
      <c r="AT907" s="212"/>
      <c r="AU907" s="212"/>
      <c r="AV907" s="212"/>
      <c r="AW907" s="212"/>
      <c r="AX907" s="212"/>
      <c r="AY907" s="212"/>
      <c r="AZ907" s="212"/>
      <c r="BA907" s="212"/>
      <c r="BB907" s="212"/>
      <c r="BC907" s="212"/>
      <c r="BD907" s="212"/>
      <c r="BE907" s="212"/>
      <c r="BF907" s="212"/>
      <c r="BG907" s="212"/>
      <c r="BH907" s="212"/>
      <c r="BI907" s="212"/>
    </row>
    <row r="908" spans="1:61" ht="24" customHeight="1">
      <c r="A908" s="218" t="s">
        <v>2498</v>
      </c>
      <c r="B908" s="218" t="s">
        <v>68</v>
      </c>
      <c r="C908" s="229"/>
      <c r="D908" s="213" t="s">
        <v>68</v>
      </c>
      <c r="E908" s="213"/>
      <c r="F908" s="217">
        <v>0</v>
      </c>
      <c r="G908" s="213"/>
      <c r="H908" s="217">
        <v>0</v>
      </c>
      <c r="I908" s="213"/>
      <c r="J908" s="217">
        <v>0</v>
      </c>
      <c r="K908" s="217">
        <f>E908+G908+I908</f>
        <v>0</v>
      </c>
      <c r="L908" s="217">
        <f t="shared" si="91"/>
        <v>0</v>
      </c>
      <c r="M908" s="215" t="s">
        <v>68</v>
      </c>
      <c r="N908" s="212" t="s">
        <v>68</v>
      </c>
      <c r="O908" s="212"/>
      <c r="P908" s="212" t="s">
        <v>1098</v>
      </c>
      <c r="Q908" s="212" t="s">
        <v>68</v>
      </c>
      <c r="R908" s="212" t="s">
        <v>68</v>
      </c>
      <c r="S908" s="212"/>
      <c r="T908" s="212"/>
      <c r="U908" s="212"/>
      <c r="V908" s="212"/>
      <c r="W908" s="212"/>
      <c r="X908" s="212"/>
      <c r="Y908" s="212"/>
      <c r="Z908" s="212"/>
      <c r="AA908" s="212"/>
      <c r="AB908" s="212"/>
      <c r="AC908" s="212"/>
      <c r="AD908" s="212"/>
      <c r="AE908" s="212"/>
      <c r="AF908" s="212"/>
      <c r="AG908" s="212"/>
      <c r="AH908" s="212"/>
      <c r="AI908" s="212"/>
      <c r="AJ908" s="212"/>
      <c r="AK908" s="212"/>
      <c r="AL908" s="212"/>
      <c r="AM908" s="212"/>
      <c r="AN908" s="212"/>
      <c r="AO908" s="212"/>
      <c r="AP908" s="212"/>
      <c r="AQ908" s="212"/>
      <c r="AR908" s="212"/>
      <c r="AS908" s="212"/>
      <c r="AT908" s="212"/>
      <c r="AU908" s="212"/>
      <c r="AV908" s="212"/>
      <c r="AW908" s="212"/>
      <c r="AX908" s="212"/>
      <c r="AY908" s="212"/>
      <c r="AZ908" s="212"/>
      <c r="BA908" s="212"/>
      <c r="BB908" s="212"/>
      <c r="BC908" s="212"/>
      <c r="BD908" s="212"/>
      <c r="BE908" s="212"/>
      <c r="BF908" s="212"/>
      <c r="BG908" s="212"/>
      <c r="BH908" s="212"/>
      <c r="BI908" s="212"/>
    </row>
    <row r="909" spans="1:61" ht="24" customHeight="1">
      <c r="A909" s="218" t="s">
        <v>2136</v>
      </c>
      <c r="B909" s="218" t="s">
        <v>2137</v>
      </c>
      <c r="C909" s="228">
        <v>1093</v>
      </c>
      <c r="D909" s="213" t="s">
        <v>2138</v>
      </c>
      <c r="E909" s="217">
        <f>자재조서!E11</f>
        <v>0</v>
      </c>
      <c r="F909" s="217">
        <f>TRUNC(E909*C909,0)</f>
        <v>0</v>
      </c>
      <c r="G909" s="217">
        <v>0</v>
      </c>
      <c r="H909" s="217"/>
      <c r="I909" s="217">
        <v>0</v>
      </c>
      <c r="J909" s="217"/>
      <c r="K909" s="217">
        <f>E909+G909+I909</f>
        <v>0</v>
      </c>
      <c r="L909" s="217">
        <f t="shared" si="91"/>
        <v>0</v>
      </c>
      <c r="M909" s="215" t="s">
        <v>68</v>
      </c>
      <c r="N909" s="212" t="s">
        <v>2139</v>
      </c>
      <c r="O909" s="212"/>
      <c r="P909" s="212" t="s">
        <v>1101</v>
      </c>
      <c r="Q909" s="212" t="s">
        <v>68</v>
      </c>
      <c r="R909" s="212" t="s">
        <v>2140</v>
      </c>
      <c r="S909" s="212"/>
      <c r="T909" s="212"/>
      <c r="U909" s="212"/>
      <c r="V909" s="212"/>
      <c r="W909" s="212"/>
      <c r="X909" s="212"/>
      <c r="Y909" s="212"/>
      <c r="Z909" s="212"/>
      <c r="AA909" s="212"/>
      <c r="AB909" s="212"/>
      <c r="AC909" s="212"/>
      <c r="AD909" s="212"/>
      <c r="AE909" s="212"/>
      <c r="AF909" s="212"/>
      <c r="AG909" s="212"/>
      <c r="AH909" s="212"/>
      <c r="AI909" s="212"/>
      <c r="AJ909" s="212"/>
      <c r="AK909" s="212"/>
      <c r="AL909" s="212"/>
      <c r="AM909" s="212"/>
      <c r="AN909" s="212"/>
      <c r="AO909" s="212"/>
      <c r="AP909" s="212"/>
      <c r="AQ909" s="212"/>
      <c r="AR909" s="212"/>
      <c r="AS909" s="212"/>
      <c r="AT909" s="212"/>
      <c r="AU909" s="212"/>
      <c r="AV909" s="212"/>
      <c r="AW909" s="212"/>
      <c r="AX909" s="212"/>
      <c r="AY909" s="212"/>
      <c r="AZ909" s="212"/>
      <c r="BA909" s="212"/>
      <c r="BB909" s="212"/>
      <c r="BC909" s="212"/>
      <c r="BD909" s="212"/>
      <c r="BE909" s="212"/>
      <c r="BF909" s="212"/>
      <c r="BG909" s="212"/>
      <c r="BH909" s="212"/>
      <c r="BI909" s="231" t="str">
        <f>HYPERLINK("#자재조서!A11","M0747003 →")</f>
        <v>M0747003 →</v>
      </c>
    </row>
    <row r="910" spans="1:61" ht="24" customHeight="1">
      <c r="A910" s="218" t="s">
        <v>2141</v>
      </c>
      <c r="B910" s="218" t="s">
        <v>2142</v>
      </c>
      <c r="C910" s="229">
        <v>0.78</v>
      </c>
      <c r="D910" s="213" t="s">
        <v>2143</v>
      </c>
      <c r="E910" s="217">
        <f>자재조서!E10</f>
        <v>0</v>
      </c>
      <c r="F910" s="217">
        <f>TRUNC(E910*C910,0)</f>
        <v>0</v>
      </c>
      <c r="G910" s="217">
        <v>0</v>
      </c>
      <c r="H910" s="217"/>
      <c r="I910" s="217">
        <v>0</v>
      </c>
      <c r="J910" s="217"/>
      <c r="K910" s="217">
        <f>E910+G910+I910</f>
        <v>0</v>
      </c>
      <c r="L910" s="217">
        <f t="shared" si="91"/>
        <v>0</v>
      </c>
      <c r="M910" s="215" t="s">
        <v>68</v>
      </c>
      <c r="N910" s="212" t="s">
        <v>68</v>
      </c>
      <c r="O910" s="212"/>
      <c r="P910" s="212" t="s">
        <v>1104</v>
      </c>
      <c r="Q910" s="212" t="s">
        <v>68</v>
      </c>
      <c r="R910" s="212" t="s">
        <v>2144</v>
      </c>
      <c r="S910" s="212"/>
      <c r="T910" s="212"/>
      <c r="U910" s="212"/>
      <c r="V910" s="212"/>
      <c r="W910" s="212"/>
      <c r="X910" s="212"/>
      <c r="Y910" s="212"/>
      <c r="Z910" s="212"/>
      <c r="AA910" s="212"/>
      <c r="AB910" s="212"/>
      <c r="AC910" s="212"/>
      <c r="AD910" s="212"/>
      <c r="AE910" s="212"/>
      <c r="AF910" s="212"/>
      <c r="AG910" s="212"/>
      <c r="AH910" s="212"/>
      <c r="AI910" s="212"/>
      <c r="AJ910" s="212"/>
      <c r="AK910" s="212"/>
      <c r="AL910" s="212"/>
      <c r="AM910" s="212"/>
      <c r="AN910" s="212"/>
      <c r="AO910" s="212"/>
      <c r="AP910" s="212"/>
      <c r="AQ910" s="212"/>
      <c r="AR910" s="212"/>
      <c r="AS910" s="212"/>
      <c r="AT910" s="212"/>
      <c r="AU910" s="212"/>
      <c r="AV910" s="212"/>
      <c r="AW910" s="212"/>
      <c r="AX910" s="212"/>
      <c r="AY910" s="212"/>
      <c r="AZ910" s="212"/>
      <c r="BA910" s="212"/>
      <c r="BB910" s="212"/>
      <c r="BC910" s="212"/>
      <c r="BD910" s="212"/>
      <c r="BE910" s="212"/>
      <c r="BF910" s="212"/>
      <c r="BG910" s="212"/>
      <c r="BH910" s="212"/>
      <c r="BI910" s="231" t="str">
        <f>HYPERLINK("#자재조서!A10","M07170A3 →")</f>
        <v>M07170A3 →</v>
      </c>
    </row>
    <row r="911" spans="1:61" ht="24" customHeight="1">
      <c r="A911" s="218" t="s">
        <v>2499</v>
      </c>
      <c r="B911" s="218" t="s">
        <v>68</v>
      </c>
      <c r="C911" s="229"/>
      <c r="D911" s="213" t="s">
        <v>68</v>
      </c>
      <c r="E911" s="213"/>
      <c r="F911" s="217">
        <v>0</v>
      </c>
      <c r="G911" s="213"/>
      <c r="H911" s="217">
        <v>0</v>
      </c>
      <c r="I911" s="213"/>
      <c r="J911" s="217">
        <v>0</v>
      </c>
      <c r="K911" s="217">
        <f>E911+G911+I911</f>
        <v>0</v>
      </c>
      <c r="L911" s="217">
        <f t="shared" si="91"/>
        <v>0</v>
      </c>
      <c r="M911" s="215" t="s">
        <v>68</v>
      </c>
      <c r="N911" s="212" t="s">
        <v>68</v>
      </c>
      <c r="O911" s="212"/>
      <c r="P911" s="212" t="s">
        <v>1107</v>
      </c>
      <c r="Q911" s="212" t="s">
        <v>68</v>
      </c>
      <c r="R911" s="212" t="s">
        <v>68</v>
      </c>
      <c r="S911" s="212"/>
      <c r="T911" s="212"/>
      <c r="U911" s="212"/>
      <c r="V911" s="212"/>
      <c r="W911" s="212"/>
      <c r="X911" s="212"/>
      <c r="Y911" s="212"/>
      <c r="Z911" s="212"/>
      <c r="AA911" s="212"/>
      <c r="AB911" s="212"/>
      <c r="AC911" s="212"/>
      <c r="AD911" s="212"/>
      <c r="AE911" s="212"/>
      <c r="AF911" s="212"/>
      <c r="AG911" s="212"/>
      <c r="AH911" s="212"/>
      <c r="AI911" s="212"/>
      <c r="AJ911" s="212"/>
      <c r="AK911" s="212"/>
      <c r="AL911" s="212"/>
      <c r="AM911" s="212"/>
      <c r="AN911" s="212"/>
      <c r="AO911" s="212"/>
      <c r="AP911" s="212"/>
      <c r="AQ911" s="212"/>
      <c r="AR911" s="212"/>
      <c r="AS911" s="212"/>
      <c r="AT911" s="212"/>
      <c r="AU911" s="212"/>
      <c r="AV911" s="212"/>
      <c r="AW911" s="212"/>
      <c r="AX911" s="212"/>
      <c r="AY911" s="212"/>
      <c r="AZ911" s="212"/>
      <c r="BA911" s="212"/>
      <c r="BB911" s="212"/>
      <c r="BC911" s="212"/>
      <c r="BD911" s="212"/>
      <c r="BE911" s="212"/>
      <c r="BF911" s="212"/>
      <c r="BG911" s="212"/>
      <c r="BH911" s="212"/>
      <c r="BI911" s="212"/>
    </row>
    <row r="912" spans="1:61" ht="24" customHeight="1">
      <c r="A912" s="218" t="s">
        <v>1967</v>
      </c>
      <c r="B912" s="218" t="s">
        <v>1946</v>
      </c>
      <c r="C912" s="229">
        <v>0.66</v>
      </c>
      <c r="D912" s="213" t="s">
        <v>1286</v>
      </c>
      <c r="E912" s="217">
        <v>0</v>
      </c>
      <c r="F912" s="217"/>
      <c r="G912" s="217">
        <f>노임!D3</f>
        <v>0</v>
      </c>
      <c r="H912" s="217">
        <f>TRUNC(G912*C912,0)</f>
        <v>0</v>
      </c>
      <c r="I912" s="217">
        <v>0</v>
      </c>
      <c r="J912" s="217"/>
      <c r="K912" s="217">
        <f>E912+G912+I912</f>
        <v>0</v>
      </c>
      <c r="L912" s="217">
        <f t="shared" si="91"/>
        <v>0</v>
      </c>
      <c r="M912" s="215" t="s">
        <v>68</v>
      </c>
      <c r="N912" s="212" t="s">
        <v>68</v>
      </c>
      <c r="O912" s="212"/>
      <c r="P912" s="212" t="s">
        <v>1108</v>
      </c>
      <c r="Q912" s="212" t="s">
        <v>68</v>
      </c>
      <c r="R912" s="212" t="s">
        <v>1968</v>
      </c>
      <c r="S912" s="212"/>
      <c r="T912" s="212"/>
      <c r="U912" s="212"/>
      <c r="V912" s="212"/>
      <c r="W912" s="212"/>
      <c r="X912" s="212"/>
      <c r="Y912" s="212"/>
      <c r="Z912" s="212"/>
      <c r="AA912" s="212"/>
      <c r="AB912" s="212"/>
      <c r="AC912" s="212"/>
      <c r="AD912" s="212"/>
      <c r="AE912" s="212"/>
      <c r="AF912" s="212"/>
      <c r="AG912" s="212"/>
      <c r="AH912" s="212"/>
      <c r="AI912" s="212"/>
      <c r="AJ912" s="212"/>
      <c r="AK912" s="212"/>
      <c r="AL912" s="212"/>
      <c r="AM912" s="212"/>
      <c r="AN912" s="212"/>
      <c r="AO912" s="212"/>
      <c r="AP912" s="212"/>
      <c r="AQ912" s="212"/>
      <c r="AR912" s="212"/>
      <c r="AS912" s="212"/>
      <c r="AT912" s="212"/>
      <c r="AU912" s="212"/>
      <c r="AV912" s="212"/>
      <c r="AW912" s="212"/>
      <c r="AX912" s="212"/>
      <c r="AY912" s="212"/>
      <c r="AZ912" s="212"/>
      <c r="BA912" s="212"/>
      <c r="BB912" s="212"/>
      <c r="BC912" s="212"/>
      <c r="BD912" s="212"/>
      <c r="BE912" s="212"/>
      <c r="BF912" s="212"/>
      <c r="BG912" s="212"/>
      <c r="BH912" s="212"/>
      <c r="BI912" s="231" t="str">
        <f>HYPERLINK("#노임!A3","L001010101000002 →")</f>
        <v>L001010101000002 →</v>
      </c>
    </row>
    <row r="913" spans="1:61" ht="24" customHeight="1">
      <c r="A913" s="215"/>
      <c r="B913" s="215"/>
      <c r="C913" s="229"/>
      <c r="D913" s="213"/>
      <c r="E913" s="213"/>
      <c r="F913" s="213"/>
      <c r="G913" s="213"/>
      <c r="H913" s="213"/>
      <c r="I913" s="213"/>
      <c r="J913" s="213"/>
      <c r="K913" s="213"/>
      <c r="L913" s="213"/>
      <c r="M913" s="215"/>
      <c r="N913" s="212"/>
      <c r="O913" s="212"/>
      <c r="P913" s="212"/>
      <c r="Q913" s="212"/>
      <c r="R913" s="212"/>
      <c r="S913" s="212"/>
      <c r="T913" s="212"/>
      <c r="U913" s="212"/>
      <c r="V913" s="212"/>
      <c r="W913" s="212"/>
      <c r="X913" s="212"/>
      <c r="Y913" s="212"/>
      <c r="Z913" s="212"/>
      <c r="AA913" s="212"/>
      <c r="AB913" s="212"/>
      <c r="AC913" s="212"/>
      <c r="AD913" s="212"/>
      <c r="AE913" s="212"/>
      <c r="AF913" s="212"/>
      <c r="AG913" s="212"/>
      <c r="AH913" s="212"/>
      <c r="AI913" s="212"/>
      <c r="AJ913" s="212"/>
      <c r="AK913" s="212"/>
      <c r="AL913" s="212"/>
      <c r="AM913" s="212"/>
      <c r="AN913" s="212"/>
      <c r="AO913" s="212"/>
      <c r="AP913" s="212"/>
      <c r="AQ913" s="212"/>
      <c r="AR913" s="212"/>
      <c r="AS913" s="212"/>
      <c r="AT913" s="212"/>
      <c r="AU913" s="212"/>
      <c r="AV913" s="212"/>
      <c r="AW913" s="212"/>
      <c r="AX913" s="212"/>
      <c r="AY913" s="212"/>
      <c r="AZ913" s="212"/>
      <c r="BA913" s="212"/>
      <c r="BB913" s="212"/>
      <c r="BC913" s="212"/>
      <c r="BD913" s="212"/>
      <c r="BE913" s="212"/>
      <c r="BF913" s="212"/>
      <c r="BG913" s="212"/>
      <c r="BH913" s="212"/>
      <c r="BI913" s="212"/>
    </row>
  </sheetData>
  <autoFilter ref="A2:BI913">
    <filterColumn colId="4" showButton="0"/>
    <filterColumn colId="6" showButton="0"/>
    <filterColumn colId="8" showButton="0"/>
    <filterColumn colId="10" showButton="0"/>
  </autoFilter>
  <mergeCells count="9">
    <mergeCell ref="I2:J2"/>
    <mergeCell ref="K2:L2"/>
    <mergeCell ref="M2:M3"/>
    <mergeCell ref="A2:A3"/>
    <mergeCell ref="B2:B3"/>
    <mergeCell ref="C2:C3"/>
    <mergeCell ref="D2:D3"/>
    <mergeCell ref="E2:F2"/>
    <mergeCell ref="G2:H2"/>
  </mergeCells>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128</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workbookViewId="0">
      <pane ySplit="2" topLeftCell="A3" activePane="bottomLeft" state="frozen"/>
      <selection activeCell="DJ113" sqref="DJ113:FG116"/>
      <selection pane="bottomLeft" activeCell="DJ113" sqref="DJ113:FG116"/>
    </sheetView>
  </sheetViews>
  <sheetFormatPr defaultRowHeight="24" customHeight="1"/>
  <cols>
    <col min="1" max="1" width="19.5" style="226" customWidth="1"/>
    <col min="2" max="2" width="15.75" style="226" customWidth="1"/>
    <col min="3" max="4" width="8.125" style="208" customWidth="1"/>
    <col min="5" max="8" width="15.125" style="209" customWidth="1"/>
    <col min="9" max="9" width="15.125" style="208" customWidth="1"/>
    <col min="10" max="15" width="0" style="209" hidden="1" customWidth="1"/>
    <col min="16" max="256" width="9" style="209"/>
    <col min="257" max="257" width="19.5" style="209" customWidth="1"/>
    <col min="258" max="258" width="15.75" style="209" customWidth="1"/>
    <col min="259" max="260" width="8.125" style="209" customWidth="1"/>
    <col min="261" max="265" width="15.125" style="209" customWidth="1"/>
    <col min="266" max="271" width="0" style="209" hidden="1" customWidth="1"/>
    <col min="272" max="512" width="9" style="209"/>
    <col min="513" max="513" width="19.5" style="209" customWidth="1"/>
    <col min="514" max="514" width="15.75" style="209" customWidth="1"/>
    <col min="515" max="516" width="8.125" style="209" customWidth="1"/>
    <col min="517" max="521" width="15.125" style="209" customWidth="1"/>
    <col min="522" max="527" width="0" style="209" hidden="1" customWidth="1"/>
    <col min="528" max="768" width="9" style="209"/>
    <col min="769" max="769" width="19.5" style="209" customWidth="1"/>
    <col min="770" max="770" width="15.75" style="209" customWidth="1"/>
    <col min="771" max="772" width="8.125" style="209" customWidth="1"/>
    <col min="773" max="777" width="15.125" style="209" customWidth="1"/>
    <col min="778" max="783" width="0" style="209" hidden="1" customWidth="1"/>
    <col min="784" max="1024" width="9" style="209"/>
    <col min="1025" max="1025" width="19.5" style="209" customWidth="1"/>
    <col min="1026" max="1026" width="15.75" style="209" customWidth="1"/>
    <col min="1027" max="1028" width="8.125" style="209" customWidth="1"/>
    <col min="1029" max="1033" width="15.125" style="209" customWidth="1"/>
    <col min="1034" max="1039" width="0" style="209" hidden="1" customWidth="1"/>
    <col min="1040" max="1280" width="9" style="209"/>
    <col min="1281" max="1281" width="19.5" style="209" customWidth="1"/>
    <col min="1282" max="1282" width="15.75" style="209" customWidth="1"/>
    <col min="1283" max="1284" width="8.125" style="209" customWidth="1"/>
    <col min="1285" max="1289" width="15.125" style="209" customWidth="1"/>
    <col min="1290" max="1295" width="0" style="209" hidden="1" customWidth="1"/>
    <col min="1296" max="1536" width="9" style="209"/>
    <col min="1537" max="1537" width="19.5" style="209" customWidth="1"/>
    <col min="1538" max="1538" width="15.75" style="209" customWidth="1"/>
    <col min="1539" max="1540" width="8.125" style="209" customWidth="1"/>
    <col min="1541" max="1545" width="15.125" style="209" customWidth="1"/>
    <col min="1546" max="1551" width="0" style="209" hidden="1" customWidth="1"/>
    <col min="1552" max="1792" width="9" style="209"/>
    <col min="1793" max="1793" width="19.5" style="209" customWidth="1"/>
    <col min="1794" max="1794" width="15.75" style="209" customWidth="1"/>
    <col min="1795" max="1796" width="8.125" style="209" customWidth="1"/>
    <col min="1797" max="1801" width="15.125" style="209" customWidth="1"/>
    <col min="1802" max="1807" width="0" style="209" hidden="1" customWidth="1"/>
    <col min="1808" max="2048" width="9" style="209"/>
    <col min="2049" max="2049" width="19.5" style="209" customWidth="1"/>
    <col min="2050" max="2050" width="15.75" style="209" customWidth="1"/>
    <col min="2051" max="2052" width="8.125" style="209" customWidth="1"/>
    <col min="2053" max="2057" width="15.125" style="209" customWidth="1"/>
    <col min="2058" max="2063" width="0" style="209" hidden="1" customWidth="1"/>
    <col min="2064" max="2304" width="9" style="209"/>
    <col min="2305" max="2305" width="19.5" style="209" customWidth="1"/>
    <col min="2306" max="2306" width="15.75" style="209" customWidth="1"/>
    <col min="2307" max="2308" width="8.125" style="209" customWidth="1"/>
    <col min="2309" max="2313" width="15.125" style="209" customWidth="1"/>
    <col min="2314" max="2319" width="0" style="209" hidden="1" customWidth="1"/>
    <col min="2320" max="2560" width="9" style="209"/>
    <col min="2561" max="2561" width="19.5" style="209" customWidth="1"/>
    <col min="2562" max="2562" width="15.75" style="209" customWidth="1"/>
    <col min="2563" max="2564" width="8.125" style="209" customWidth="1"/>
    <col min="2565" max="2569" width="15.125" style="209" customWidth="1"/>
    <col min="2570" max="2575" width="0" style="209" hidden="1" customWidth="1"/>
    <col min="2576" max="2816" width="9" style="209"/>
    <col min="2817" max="2817" width="19.5" style="209" customWidth="1"/>
    <col min="2818" max="2818" width="15.75" style="209" customWidth="1"/>
    <col min="2819" max="2820" width="8.125" style="209" customWidth="1"/>
    <col min="2821" max="2825" width="15.125" style="209" customWidth="1"/>
    <col min="2826" max="2831" width="0" style="209" hidden="1" customWidth="1"/>
    <col min="2832" max="3072" width="9" style="209"/>
    <col min="3073" max="3073" width="19.5" style="209" customWidth="1"/>
    <col min="3074" max="3074" width="15.75" style="209" customWidth="1"/>
    <col min="3075" max="3076" width="8.125" style="209" customWidth="1"/>
    <col min="3077" max="3081" width="15.125" style="209" customWidth="1"/>
    <col min="3082" max="3087" width="0" style="209" hidden="1" customWidth="1"/>
    <col min="3088" max="3328" width="9" style="209"/>
    <col min="3329" max="3329" width="19.5" style="209" customWidth="1"/>
    <col min="3330" max="3330" width="15.75" style="209" customWidth="1"/>
    <col min="3331" max="3332" width="8.125" style="209" customWidth="1"/>
    <col min="3333" max="3337" width="15.125" style="209" customWidth="1"/>
    <col min="3338" max="3343" width="0" style="209" hidden="1" customWidth="1"/>
    <col min="3344" max="3584" width="9" style="209"/>
    <col min="3585" max="3585" width="19.5" style="209" customWidth="1"/>
    <col min="3586" max="3586" width="15.75" style="209" customWidth="1"/>
    <col min="3587" max="3588" width="8.125" style="209" customWidth="1"/>
    <col min="3589" max="3593" width="15.125" style="209" customWidth="1"/>
    <col min="3594" max="3599" width="0" style="209" hidden="1" customWidth="1"/>
    <col min="3600" max="3840" width="9" style="209"/>
    <col min="3841" max="3841" width="19.5" style="209" customWidth="1"/>
    <col min="3842" max="3842" width="15.75" style="209" customWidth="1"/>
    <col min="3843" max="3844" width="8.125" style="209" customWidth="1"/>
    <col min="3845" max="3849" width="15.125" style="209" customWidth="1"/>
    <col min="3850" max="3855" width="0" style="209" hidden="1" customWidth="1"/>
    <col min="3856" max="4096" width="9" style="209"/>
    <col min="4097" max="4097" width="19.5" style="209" customWidth="1"/>
    <col min="4098" max="4098" width="15.75" style="209" customWidth="1"/>
    <col min="4099" max="4100" width="8.125" style="209" customWidth="1"/>
    <col min="4101" max="4105" width="15.125" style="209" customWidth="1"/>
    <col min="4106" max="4111" width="0" style="209" hidden="1" customWidth="1"/>
    <col min="4112" max="4352" width="9" style="209"/>
    <col min="4353" max="4353" width="19.5" style="209" customWidth="1"/>
    <col min="4354" max="4354" width="15.75" style="209" customWidth="1"/>
    <col min="4355" max="4356" width="8.125" style="209" customWidth="1"/>
    <col min="4357" max="4361" width="15.125" style="209" customWidth="1"/>
    <col min="4362" max="4367" width="0" style="209" hidden="1" customWidth="1"/>
    <col min="4368" max="4608" width="9" style="209"/>
    <col min="4609" max="4609" width="19.5" style="209" customWidth="1"/>
    <col min="4610" max="4610" width="15.75" style="209" customWidth="1"/>
    <col min="4611" max="4612" width="8.125" style="209" customWidth="1"/>
    <col min="4613" max="4617" width="15.125" style="209" customWidth="1"/>
    <col min="4618" max="4623" width="0" style="209" hidden="1" customWidth="1"/>
    <col min="4624" max="4864" width="9" style="209"/>
    <col min="4865" max="4865" width="19.5" style="209" customWidth="1"/>
    <col min="4866" max="4866" width="15.75" style="209" customWidth="1"/>
    <col min="4867" max="4868" width="8.125" style="209" customWidth="1"/>
    <col min="4869" max="4873" width="15.125" style="209" customWidth="1"/>
    <col min="4874" max="4879" width="0" style="209" hidden="1" customWidth="1"/>
    <col min="4880" max="5120" width="9" style="209"/>
    <col min="5121" max="5121" width="19.5" style="209" customWidth="1"/>
    <col min="5122" max="5122" width="15.75" style="209" customWidth="1"/>
    <col min="5123" max="5124" width="8.125" style="209" customWidth="1"/>
    <col min="5125" max="5129" width="15.125" style="209" customWidth="1"/>
    <col min="5130" max="5135" width="0" style="209" hidden="1" customWidth="1"/>
    <col min="5136" max="5376" width="9" style="209"/>
    <col min="5377" max="5377" width="19.5" style="209" customWidth="1"/>
    <col min="5378" max="5378" width="15.75" style="209" customWidth="1"/>
    <col min="5379" max="5380" width="8.125" style="209" customWidth="1"/>
    <col min="5381" max="5385" width="15.125" style="209" customWidth="1"/>
    <col min="5386" max="5391" width="0" style="209" hidden="1" customWidth="1"/>
    <col min="5392" max="5632" width="9" style="209"/>
    <col min="5633" max="5633" width="19.5" style="209" customWidth="1"/>
    <col min="5634" max="5634" width="15.75" style="209" customWidth="1"/>
    <col min="5635" max="5636" width="8.125" style="209" customWidth="1"/>
    <col min="5637" max="5641" width="15.125" style="209" customWidth="1"/>
    <col min="5642" max="5647" width="0" style="209" hidden="1" customWidth="1"/>
    <col min="5648" max="5888" width="9" style="209"/>
    <col min="5889" max="5889" width="19.5" style="209" customWidth="1"/>
    <col min="5890" max="5890" width="15.75" style="209" customWidth="1"/>
    <col min="5891" max="5892" width="8.125" style="209" customWidth="1"/>
    <col min="5893" max="5897" width="15.125" style="209" customWidth="1"/>
    <col min="5898" max="5903" width="0" style="209" hidden="1" customWidth="1"/>
    <col min="5904" max="6144" width="9" style="209"/>
    <col min="6145" max="6145" width="19.5" style="209" customWidth="1"/>
    <col min="6146" max="6146" width="15.75" style="209" customWidth="1"/>
    <col min="6147" max="6148" width="8.125" style="209" customWidth="1"/>
    <col min="6149" max="6153" width="15.125" style="209" customWidth="1"/>
    <col min="6154" max="6159" width="0" style="209" hidden="1" customWidth="1"/>
    <col min="6160" max="6400" width="9" style="209"/>
    <col min="6401" max="6401" width="19.5" style="209" customWidth="1"/>
    <col min="6402" max="6402" width="15.75" style="209" customWidth="1"/>
    <col min="6403" max="6404" width="8.125" style="209" customWidth="1"/>
    <col min="6405" max="6409" width="15.125" style="209" customWidth="1"/>
    <col min="6410" max="6415" width="0" style="209" hidden="1" customWidth="1"/>
    <col min="6416" max="6656" width="9" style="209"/>
    <col min="6657" max="6657" width="19.5" style="209" customWidth="1"/>
    <col min="6658" max="6658" width="15.75" style="209" customWidth="1"/>
    <col min="6659" max="6660" width="8.125" style="209" customWidth="1"/>
    <col min="6661" max="6665" width="15.125" style="209" customWidth="1"/>
    <col min="6666" max="6671" width="0" style="209" hidden="1" customWidth="1"/>
    <col min="6672" max="6912" width="9" style="209"/>
    <col min="6913" max="6913" width="19.5" style="209" customWidth="1"/>
    <col min="6914" max="6914" width="15.75" style="209" customWidth="1"/>
    <col min="6915" max="6916" width="8.125" style="209" customWidth="1"/>
    <col min="6917" max="6921" width="15.125" style="209" customWidth="1"/>
    <col min="6922" max="6927" width="0" style="209" hidden="1" customWidth="1"/>
    <col min="6928" max="7168" width="9" style="209"/>
    <col min="7169" max="7169" width="19.5" style="209" customWidth="1"/>
    <col min="7170" max="7170" width="15.75" style="209" customWidth="1"/>
    <col min="7171" max="7172" width="8.125" style="209" customWidth="1"/>
    <col min="7173" max="7177" width="15.125" style="209" customWidth="1"/>
    <col min="7178" max="7183" width="0" style="209" hidden="1" customWidth="1"/>
    <col min="7184" max="7424" width="9" style="209"/>
    <col min="7425" max="7425" width="19.5" style="209" customWidth="1"/>
    <col min="7426" max="7426" width="15.75" style="209" customWidth="1"/>
    <col min="7427" max="7428" width="8.125" style="209" customWidth="1"/>
    <col min="7429" max="7433" width="15.125" style="209" customWidth="1"/>
    <col min="7434" max="7439" width="0" style="209" hidden="1" customWidth="1"/>
    <col min="7440" max="7680" width="9" style="209"/>
    <col min="7681" max="7681" width="19.5" style="209" customWidth="1"/>
    <col min="7682" max="7682" width="15.75" style="209" customWidth="1"/>
    <col min="7683" max="7684" width="8.125" style="209" customWidth="1"/>
    <col min="7685" max="7689" width="15.125" style="209" customWidth="1"/>
    <col min="7690" max="7695" width="0" style="209" hidden="1" customWidth="1"/>
    <col min="7696" max="7936" width="9" style="209"/>
    <col min="7937" max="7937" width="19.5" style="209" customWidth="1"/>
    <col min="7938" max="7938" width="15.75" style="209" customWidth="1"/>
    <col min="7939" max="7940" width="8.125" style="209" customWidth="1"/>
    <col min="7941" max="7945" width="15.125" style="209" customWidth="1"/>
    <col min="7946" max="7951" width="0" style="209" hidden="1" customWidth="1"/>
    <col min="7952" max="8192" width="9" style="209"/>
    <col min="8193" max="8193" width="19.5" style="209" customWidth="1"/>
    <col min="8194" max="8194" width="15.75" style="209" customWidth="1"/>
    <col min="8195" max="8196" width="8.125" style="209" customWidth="1"/>
    <col min="8197" max="8201" width="15.125" style="209" customWidth="1"/>
    <col min="8202" max="8207" width="0" style="209" hidden="1" customWidth="1"/>
    <col min="8208" max="8448" width="9" style="209"/>
    <col min="8449" max="8449" width="19.5" style="209" customWidth="1"/>
    <col min="8450" max="8450" width="15.75" style="209" customWidth="1"/>
    <col min="8451" max="8452" width="8.125" style="209" customWidth="1"/>
    <col min="8453" max="8457" width="15.125" style="209" customWidth="1"/>
    <col min="8458" max="8463" width="0" style="209" hidden="1" customWidth="1"/>
    <col min="8464" max="8704" width="9" style="209"/>
    <col min="8705" max="8705" width="19.5" style="209" customWidth="1"/>
    <col min="8706" max="8706" width="15.75" style="209" customWidth="1"/>
    <col min="8707" max="8708" width="8.125" style="209" customWidth="1"/>
    <col min="8709" max="8713" width="15.125" style="209" customWidth="1"/>
    <col min="8714" max="8719" width="0" style="209" hidden="1" customWidth="1"/>
    <col min="8720" max="8960" width="9" style="209"/>
    <col min="8961" max="8961" width="19.5" style="209" customWidth="1"/>
    <col min="8962" max="8962" width="15.75" style="209" customWidth="1"/>
    <col min="8963" max="8964" width="8.125" style="209" customWidth="1"/>
    <col min="8965" max="8969" width="15.125" style="209" customWidth="1"/>
    <col min="8970" max="8975" width="0" style="209" hidden="1" customWidth="1"/>
    <col min="8976" max="9216" width="9" style="209"/>
    <col min="9217" max="9217" width="19.5" style="209" customWidth="1"/>
    <col min="9218" max="9218" width="15.75" style="209" customWidth="1"/>
    <col min="9219" max="9220" width="8.125" style="209" customWidth="1"/>
    <col min="9221" max="9225" width="15.125" style="209" customWidth="1"/>
    <col min="9226" max="9231" width="0" style="209" hidden="1" customWidth="1"/>
    <col min="9232" max="9472" width="9" style="209"/>
    <col min="9473" max="9473" width="19.5" style="209" customWidth="1"/>
    <col min="9474" max="9474" width="15.75" style="209" customWidth="1"/>
    <col min="9475" max="9476" width="8.125" style="209" customWidth="1"/>
    <col min="9477" max="9481" width="15.125" style="209" customWidth="1"/>
    <col min="9482" max="9487" width="0" style="209" hidden="1" customWidth="1"/>
    <col min="9488" max="9728" width="9" style="209"/>
    <col min="9729" max="9729" width="19.5" style="209" customWidth="1"/>
    <col min="9730" max="9730" width="15.75" style="209" customWidth="1"/>
    <col min="9731" max="9732" width="8.125" style="209" customWidth="1"/>
    <col min="9733" max="9737" width="15.125" style="209" customWidth="1"/>
    <col min="9738" max="9743" width="0" style="209" hidden="1" customWidth="1"/>
    <col min="9744" max="9984" width="9" style="209"/>
    <col min="9985" max="9985" width="19.5" style="209" customWidth="1"/>
    <col min="9986" max="9986" width="15.75" style="209" customWidth="1"/>
    <col min="9987" max="9988" width="8.125" style="209" customWidth="1"/>
    <col min="9989" max="9993" width="15.125" style="209" customWidth="1"/>
    <col min="9994" max="9999" width="0" style="209" hidden="1" customWidth="1"/>
    <col min="10000" max="10240" width="9" style="209"/>
    <col min="10241" max="10241" width="19.5" style="209" customWidth="1"/>
    <col min="10242" max="10242" width="15.75" style="209" customWidth="1"/>
    <col min="10243" max="10244" width="8.125" style="209" customWidth="1"/>
    <col min="10245" max="10249" width="15.125" style="209" customWidth="1"/>
    <col min="10250" max="10255" width="0" style="209" hidden="1" customWidth="1"/>
    <col min="10256" max="10496" width="9" style="209"/>
    <col min="10497" max="10497" width="19.5" style="209" customWidth="1"/>
    <col min="10498" max="10498" width="15.75" style="209" customWidth="1"/>
    <col min="10499" max="10500" width="8.125" style="209" customWidth="1"/>
    <col min="10501" max="10505" width="15.125" style="209" customWidth="1"/>
    <col min="10506" max="10511" width="0" style="209" hidden="1" customWidth="1"/>
    <col min="10512" max="10752" width="9" style="209"/>
    <col min="10753" max="10753" width="19.5" style="209" customWidth="1"/>
    <col min="10754" max="10754" width="15.75" style="209" customWidth="1"/>
    <col min="10755" max="10756" width="8.125" style="209" customWidth="1"/>
    <col min="10757" max="10761" width="15.125" style="209" customWidth="1"/>
    <col min="10762" max="10767" width="0" style="209" hidden="1" customWidth="1"/>
    <col min="10768" max="11008" width="9" style="209"/>
    <col min="11009" max="11009" width="19.5" style="209" customWidth="1"/>
    <col min="11010" max="11010" width="15.75" style="209" customWidth="1"/>
    <col min="11011" max="11012" width="8.125" style="209" customWidth="1"/>
    <col min="11013" max="11017" width="15.125" style="209" customWidth="1"/>
    <col min="11018" max="11023" width="0" style="209" hidden="1" customWidth="1"/>
    <col min="11024" max="11264" width="9" style="209"/>
    <col min="11265" max="11265" width="19.5" style="209" customWidth="1"/>
    <col min="11266" max="11266" width="15.75" style="209" customWidth="1"/>
    <col min="11267" max="11268" width="8.125" style="209" customWidth="1"/>
    <col min="11269" max="11273" width="15.125" style="209" customWidth="1"/>
    <col min="11274" max="11279" width="0" style="209" hidden="1" customWidth="1"/>
    <col min="11280" max="11520" width="9" style="209"/>
    <col min="11521" max="11521" width="19.5" style="209" customWidth="1"/>
    <col min="11522" max="11522" width="15.75" style="209" customWidth="1"/>
    <col min="11523" max="11524" width="8.125" style="209" customWidth="1"/>
    <col min="11525" max="11529" width="15.125" style="209" customWidth="1"/>
    <col min="11530" max="11535" width="0" style="209" hidden="1" customWidth="1"/>
    <col min="11536" max="11776" width="9" style="209"/>
    <col min="11777" max="11777" width="19.5" style="209" customWidth="1"/>
    <col min="11778" max="11778" width="15.75" style="209" customWidth="1"/>
    <col min="11779" max="11780" width="8.125" style="209" customWidth="1"/>
    <col min="11781" max="11785" width="15.125" style="209" customWidth="1"/>
    <col min="11786" max="11791" width="0" style="209" hidden="1" customWidth="1"/>
    <col min="11792" max="12032" width="9" style="209"/>
    <col min="12033" max="12033" width="19.5" style="209" customWidth="1"/>
    <col min="12034" max="12034" width="15.75" style="209" customWidth="1"/>
    <col min="12035" max="12036" width="8.125" style="209" customWidth="1"/>
    <col min="12037" max="12041" width="15.125" style="209" customWidth="1"/>
    <col min="12042" max="12047" width="0" style="209" hidden="1" customWidth="1"/>
    <col min="12048" max="12288" width="9" style="209"/>
    <col min="12289" max="12289" width="19.5" style="209" customWidth="1"/>
    <col min="12290" max="12290" width="15.75" style="209" customWidth="1"/>
    <col min="12291" max="12292" width="8.125" style="209" customWidth="1"/>
    <col min="12293" max="12297" width="15.125" style="209" customWidth="1"/>
    <col min="12298" max="12303" width="0" style="209" hidden="1" customWidth="1"/>
    <col min="12304" max="12544" width="9" style="209"/>
    <col min="12545" max="12545" width="19.5" style="209" customWidth="1"/>
    <col min="12546" max="12546" width="15.75" style="209" customWidth="1"/>
    <col min="12547" max="12548" width="8.125" style="209" customWidth="1"/>
    <col min="12549" max="12553" width="15.125" style="209" customWidth="1"/>
    <col min="12554" max="12559" width="0" style="209" hidden="1" customWidth="1"/>
    <col min="12560" max="12800" width="9" style="209"/>
    <col min="12801" max="12801" width="19.5" style="209" customWidth="1"/>
    <col min="12802" max="12802" width="15.75" style="209" customWidth="1"/>
    <col min="12803" max="12804" width="8.125" style="209" customWidth="1"/>
    <col min="12805" max="12809" width="15.125" style="209" customWidth="1"/>
    <col min="12810" max="12815" width="0" style="209" hidden="1" customWidth="1"/>
    <col min="12816" max="13056" width="9" style="209"/>
    <col min="13057" max="13057" width="19.5" style="209" customWidth="1"/>
    <col min="13058" max="13058" width="15.75" style="209" customWidth="1"/>
    <col min="13059" max="13060" width="8.125" style="209" customWidth="1"/>
    <col min="13061" max="13065" width="15.125" style="209" customWidth="1"/>
    <col min="13066" max="13071" width="0" style="209" hidden="1" customWidth="1"/>
    <col min="13072" max="13312" width="9" style="209"/>
    <col min="13313" max="13313" width="19.5" style="209" customWidth="1"/>
    <col min="13314" max="13314" width="15.75" style="209" customWidth="1"/>
    <col min="13315" max="13316" width="8.125" style="209" customWidth="1"/>
    <col min="13317" max="13321" width="15.125" style="209" customWidth="1"/>
    <col min="13322" max="13327" width="0" style="209" hidden="1" customWidth="1"/>
    <col min="13328" max="13568" width="9" style="209"/>
    <col min="13569" max="13569" width="19.5" style="209" customWidth="1"/>
    <col min="13570" max="13570" width="15.75" style="209" customWidth="1"/>
    <col min="13571" max="13572" width="8.125" style="209" customWidth="1"/>
    <col min="13573" max="13577" width="15.125" style="209" customWidth="1"/>
    <col min="13578" max="13583" width="0" style="209" hidden="1" customWidth="1"/>
    <col min="13584" max="13824" width="9" style="209"/>
    <col min="13825" max="13825" width="19.5" style="209" customWidth="1"/>
    <col min="13826" max="13826" width="15.75" style="209" customWidth="1"/>
    <col min="13827" max="13828" width="8.125" style="209" customWidth="1"/>
    <col min="13829" max="13833" width="15.125" style="209" customWidth="1"/>
    <col min="13834" max="13839" width="0" style="209" hidden="1" customWidth="1"/>
    <col min="13840" max="14080" width="9" style="209"/>
    <col min="14081" max="14081" width="19.5" style="209" customWidth="1"/>
    <col min="14082" max="14082" width="15.75" style="209" customWidth="1"/>
    <col min="14083" max="14084" width="8.125" style="209" customWidth="1"/>
    <col min="14085" max="14089" width="15.125" style="209" customWidth="1"/>
    <col min="14090" max="14095" width="0" style="209" hidden="1" customWidth="1"/>
    <col min="14096" max="14336" width="9" style="209"/>
    <col min="14337" max="14337" width="19.5" style="209" customWidth="1"/>
    <col min="14338" max="14338" width="15.75" style="209" customWidth="1"/>
    <col min="14339" max="14340" width="8.125" style="209" customWidth="1"/>
    <col min="14341" max="14345" width="15.125" style="209" customWidth="1"/>
    <col min="14346" max="14351" width="0" style="209" hidden="1" customWidth="1"/>
    <col min="14352" max="14592" width="9" style="209"/>
    <col min="14593" max="14593" width="19.5" style="209" customWidth="1"/>
    <col min="14594" max="14594" width="15.75" style="209" customWidth="1"/>
    <col min="14595" max="14596" width="8.125" style="209" customWidth="1"/>
    <col min="14597" max="14601" width="15.125" style="209" customWidth="1"/>
    <col min="14602" max="14607" width="0" style="209" hidden="1" customWidth="1"/>
    <col min="14608" max="14848" width="9" style="209"/>
    <col min="14849" max="14849" width="19.5" style="209" customWidth="1"/>
    <col min="14850" max="14850" width="15.75" style="209" customWidth="1"/>
    <col min="14851" max="14852" width="8.125" style="209" customWidth="1"/>
    <col min="14853" max="14857" width="15.125" style="209" customWidth="1"/>
    <col min="14858" max="14863" width="0" style="209" hidden="1" customWidth="1"/>
    <col min="14864" max="15104" width="9" style="209"/>
    <col min="15105" max="15105" width="19.5" style="209" customWidth="1"/>
    <col min="15106" max="15106" width="15.75" style="209" customWidth="1"/>
    <col min="15107" max="15108" width="8.125" style="209" customWidth="1"/>
    <col min="15109" max="15113" width="15.125" style="209" customWidth="1"/>
    <col min="15114" max="15119" width="0" style="209" hidden="1" customWidth="1"/>
    <col min="15120" max="15360" width="9" style="209"/>
    <col min="15361" max="15361" width="19.5" style="209" customWidth="1"/>
    <col min="15362" max="15362" width="15.75" style="209" customWidth="1"/>
    <col min="15363" max="15364" width="8.125" style="209" customWidth="1"/>
    <col min="15365" max="15369" width="15.125" style="209" customWidth="1"/>
    <col min="15370" max="15375" width="0" style="209" hidden="1" customWidth="1"/>
    <col min="15376" max="15616" width="9" style="209"/>
    <col min="15617" max="15617" width="19.5" style="209" customWidth="1"/>
    <col min="15618" max="15618" width="15.75" style="209" customWidth="1"/>
    <col min="15619" max="15620" width="8.125" style="209" customWidth="1"/>
    <col min="15621" max="15625" width="15.125" style="209" customWidth="1"/>
    <col min="15626" max="15631" width="0" style="209" hidden="1" customWidth="1"/>
    <col min="15632" max="15872" width="9" style="209"/>
    <col min="15873" max="15873" width="19.5" style="209" customWidth="1"/>
    <col min="15874" max="15874" width="15.75" style="209" customWidth="1"/>
    <col min="15875" max="15876" width="8.125" style="209" customWidth="1"/>
    <col min="15877" max="15881" width="15.125" style="209" customWidth="1"/>
    <col min="15882" max="15887" width="0" style="209" hidden="1" customWidth="1"/>
    <col min="15888" max="16128" width="9" style="209"/>
    <col min="16129" max="16129" width="19.5" style="209" customWidth="1"/>
    <col min="16130" max="16130" width="15.75" style="209" customWidth="1"/>
    <col min="16131" max="16132" width="8.125" style="209" customWidth="1"/>
    <col min="16133" max="16137" width="15.125" style="209" customWidth="1"/>
    <col min="16138" max="16143" width="0" style="209" hidden="1" customWidth="1"/>
    <col min="16144" max="16384" width="9" style="209"/>
  </cols>
  <sheetData>
    <row r="1" spans="1:15" ht="24" customHeight="1">
      <c r="A1" s="206" t="s">
        <v>2500</v>
      </c>
    </row>
    <row r="2" spans="1:15" ht="24" customHeight="1">
      <c r="A2" s="210" t="s">
        <v>1077</v>
      </c>
      <c r="B2" s="210" t="s">
        <v>13</v>
      </c>
      <c r="C2" s="211" t="s">
        <v>1628</v>
      </c>
      <c r="D2" s="211" t="s">
        <v>2501</v>
      </c>
      <c r="E2" s="211" t="s">
        <v>1078</v>
      </c>
      <c r="F2" s="211" t="s">
        <v>1079</v>
      </c>
      <c r="G2" s="211" t="s">
        <v>1080</v>
      </c>
      <c r="H2" s="211" t="s">
        <v>1081</v>
      </c>
      <c r="I2" s="210" t="s">
        <v>1082</v>
      </c>
    </row>
    <row r="3" spans="1:15" ht="24" customHeight="1">
      <c r="A3" s="218" t="s">
        <v>2205</v>
      </c>
      <c r="B3" s="218" t="s">
        <v>1226</v>
      </c>
      <c r="C3" s="213">
        <v>1</v>
      </c>
      <c r="D3" s="213" t="s">
        <v>1227</v>
      </c>
      <c r="E3" s="232">
        <f>중기사용료!G10</f>
        <v>0</v>
      </c>
      <c r="F3" s="217">
        <f>중기사용료!G12</f>
        <v>0</v>
      </c>
      <c r="G3" s="217">
        <f>중기사용료!G7</f>
        <v>0</v>
      </c>
      <c r="H3" s="232">
        <f t="shared" ref="H3:H8" si="0">E3+F3+G3</f>
        <v>0</v>
      </c>
      <c r="I3" s="215" t="s">
        <v>68</v>
      </c>
      <c r="J3" s="209" t="s">
        <v>68</v>
      </c>
      <c r="K3" s="209" t="s">
        <v>2206</v>
      </c>
      <c r="O3" s="230" t="str">
        <f>HYPERLINK("#중기사용료!A3","E00000602002500000 →")</f>
        <v>E00000602002500000 →</v>
      </c>
    </row>
    <row r="4" spans="1:15" ht="24" customHeight="1">
      <c r="A4" s="218" t="s">
        <v>1225</v>
      </c>
      <c r="B4" s="218" t="s">
        <v>1226</v>
      </c>
      <c r="C4" s="213">
        <v>1</v>
      </c>
      <c r="D4" s="213" t="s">
        <v>1227</v>
      </c>
      <c r="E4" s="232">
        <f>중기사용료!G22</f>
        <v>0</v>
      </c>
      <c r="F4" s="217">
        <f>중기사용료!G24</f>
        <v>0</v>
      </c>
      <c r="G4" s="217">
        <f>중기사용료!G19</f>
        <v>0</v>
      </c>
      <c r="H4" s="232">
        <f t="shared" si="0"/>
        <v>0</v>
      </c>
      <c r="I4" s="215" t="s">
        <v>68</v>
      </c>
      <c r="J4" s="209" t="s">
        <v>68</v>
      </c>
      <c r="K4" s="209" t="s">
        <v>1228</v>
      </c>
      <c r="O4" s="230" t="str">
        <f>HYPERLINK("#중기사용료!A15","E000006020025000001 →")</f>
        <v>E000006020025000001 →</v>
      </c>
    </row>
    <row r="5" spans="1:15" ht="24" customHeight="1">
      <c r="A5" s="218" t="s">
        <v>1229</v>
      </c>
      <c r="B5" s="218" t="s">
        <v>1230</v>
      </c>
      <c r="C5" s="213">
        <v>1</v>
      </c>
      <c r="D5" s="213" t="s">
        <v>1227</v>
      </c>
      <c r="E5" s="232">
        <f>중기사용료!G34</f>
        <v>0</v>
      </c>
      <c r="F5" s="217">
        <f>중기사용료!G36</f>
        <v>0</v>
      </c>
      <c r="G5" s="217">
        <f>중기사용료!G31</f>
        <v>0</v>
      </c>
      <c r="H5" s="232">
        <f t="shared" si="0"/>
        <v>0</v>
      </c>
      <c r="I5" s="215" t="s">
        <v>68</v>
      </c>
      <c r="J5" s="209" t="s">
        <v>68</v>
      </c>
      <c r="K5" s="209" t="s">
        <v>1232</v>
      </c>
      <c r="O5" s="230" t="str">
        <f>HYPERLINK("#중기사용료!A27","E00002106000500000 →")</f>
        <v>E00002106000500000 →</v>
      </c>
    </row>
    <row r="6" spans="1:15" ht="24" customHeight="1">
      <c r="A6" s="218" t="s">
        <v>2199</v>
      </c>
      <c r="B6" s="218" t="s">
        <v>2200</v>
      </c>
      <c r="C6" s="213">
        <v>1</v>
      </c>
      <c r="D6" s="213" t="s">
        <v>1227</v>
      </c>
      <c r="E6" s="232">
        <f>중기사용료!G46</f>
        <v>0</v>
      </c>
      <c r="F6" s="217">
        <f>중기사용료!G48</f>
        <v>0</v>
      </c>
      <c r="G6" s="217">
        <f>중기사용료!G43</f>
        <v>0</v>
      </c>
      <c r="H6" s="232">
        <f t="shared" si="0"/>
        <v>0</v>
      </c>
      <c r="I6" s="215" t="s">
        <v>68</v>
      </c>
      <c r="J6" s="209" t="s">
        <v>68</v>
      </c>
      <c r="K6" s="209" t="s">
        <v>2201</v>
      </c>
      <c r="O6" s="230" t="str">
        <f>HYPERLINK("#중기사용료!A39","E00004430040000000 →")</f>
        <v>E00004430040000000 →</v>
      </c>
    </row>
    <row r="7" spans="1:15" ht="24" customHeight="1">
      <c r="A7" s="218" t="s">
        <v>2213</v>
      </c>
      <c r="B7" s="218" t="s">
        <v>2214</v>
      </c>
      <c r="C7" s="213">
        <v>1</v>
      </c>
      <c r="D7" s="213" t="s">
        <v>1227</v>
      </c>
      <c r="E7" s="232">
        <v>0</v>
      </c>
      <c r="F7" s="217">
        <v>0</v>
      </c>
      <c r="G7" s="217">
        <f>중기사용료!G55</f>
        <v>0</v>
      </c>
      <c r="H7" s="232">
        <f t="shared" si="0"/>
        <v>0</v>
      </c>
      <c r="I7" s="215" t="s">
        <v>68</v>
      </c>
      <c r="J7" s="209" t="s">
        <v>68</v>
      </c>
      <c r="K7" s="209" t="s">
        <v>2215</v>
      </c>
      <c r="O7" s="230" t="str">
        <f>HYPERLINK("#중기사용료!A51","E00005220001500000 →")</f>
        <v>E00005220001500000 →</v>
      </c>
    </row>
    <row r="8" spans="1:15" ht="24" customHeight="1">
      <c r="A8" s="218" t="s">
        <v>2202</v>
      </c>
      <c r="B8" s="218" t="s">
        <v>2203</v>
      </c>
      <c r="C8" s="213">
        <v>1</v>
      </c>
      <c r="D8" s="213" t="s">
        <v>1227</v>
      </c>
      <c r="E8" s="232">
        <f>중기사용료!G69</f>
        <v>0</v>
      </c>
      <c r="F8" s="217">
        <v>0</v>
      </c>
      <c r="G8" s="217">
        <f>중기사용료!G66</f>
        <v>0</v>
      </c>
      <c r="H8" s="232">
        <f t="shared" si="0"/>
        <v>0</v>
      </c>
      <c r="I8" s="215" t="s">
        <v>68</v>
      </c>
      <c r="J8" s="209" t="s">
        <v>68</v>
      </c>
      <c r="K8" s="209" t="s">
        <v>2204</v>
      </c>
      <c r="O8" s="230" t="str">
        <f>HYPERLINK("#중기사용료!A62","E00007210048500000 →")</f>
        <v>E00007210048500000 →</v>
      </c>
    </row>
  </sheetData>
  <autoFilter ref="A2:I8"/>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129</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3"/>
  <sheetViews>
    <sheetView workbookViewId="0">
      <selection activeCell="AH24" sqref="AH24"/>
    </sheetView>
  </sheetViews>
  <sheetFormatPr defaultRowHeight="24" customHeight="1"/>
  <cols>
    <col min="1" max="2" width="15.875" style="226" customWidth="1"/>
    <col min="3" max="7" width="15.875" style="209" customWidth="1"/>
    <col min="8" max="8" width="15.875" style="208" customWidth="1"/>
    <col min="9" max="33" width="0" style="209" hidden="1" customWidth="1"/>
    <col min="34" max="256" width="9" style="209"/>
    <col min="257" max="264" width="15.875" style="209" customWidth="1"/>
    <col min="265" max="289" width="0" style="209" hidden="1" customWidth="1"/>
    <col min="290" max="512" width="9" style="209"/>
    <col min="513" max="520" width="15.875" style="209" customWidth="1"/>
    <col min="521" max="545" width="0" style="209" hidden="1" customWidth="1"/>
    <col min="546" max="768" width="9" style="209"/>
    <col min="769" max="776" width="15.875" style="209" customWidth="1"/>
    <col min="777" max="801" width="0" style="209" hidden="1" customWidth="1"/>
    <col min="802" max="1024" width="9" style="209"/>
    <col min="1025" max="1032" width="15.875" style="209" customWidth="1"/>
    <col min="1033" max="1057" width="0" style="209" hidden="1" customWidth="1"/>
    <col min="1058" max="1280" width="9" style="209"/>
    <col min="1281" max="1288" width="15.875" style="209" customWidth="1"/>
    <col min="1289" max="1313" width="0" style="209" hidden="1" customWidth="1"/>
    <col min="1314" max="1536" width="9" style="209"/>
    <col min="1537" max="1544" width="15.875" style="209" customWidth="1"/>
    <col min="1545" max="1569" width="0" style="209" hidden="1" customWidth="1"/>
    <col min="1570" max="1792" width="9" style="209"/>
    <col min="1793" max="1800" width="15.875" style="209" customWidth="1"/>
    <col min="1801" max="1825" width="0" style="209" hidden="1" customWidth="1"/>
    <col min="1826" max="2048" width="9" style="209"/>
    <col min="2049" max="2056" width="15.875" style="209" customWidth="1"/>
    <col min="2057" max="2081" width="0" style="209" hidden="1" customWidth="1"/>
    <col min="2082" max="2304" width="9" style="209"/>
    <col min="2305" max="2312" width="15.875" style="209" customWidth="1"/>
    <col min="2313" max="2337" width="0" style="209" hidden="1" customWidth="1"/>
    <col min="2338" max="2560" width="9" style="209"/>
    <col min="2561" max="2568" width="15.875" style="209" customWidth="1"/>
    <col min="2569" max="2593" width="0" style="209" hidden="1" customWidth="1"/>
    <col min="2594" max="2816" width="9" style="209"/>
    <col min="2817" max="2824" width="15.875" style="209" customWidth="1"/>
    <col min="2825" max="2849" width="0" style="209" hidden="1" customWidth="1"/>
    <col min="2850" max="3072" width="9" style="209"/>
    <col min="3073" max="3080" width="15.875" style="209" customWidth="1"/>
    <col min="3081" max="3105" width="0" style="209" hidden="1" customWidth="1"/>
    <col min="3106" max="3328" width="9" style="209"/>
    <col min="3329" max="3336" width="15.875" style="209" customWidth="1"/>
    <col min="3337" max="3361" width="0" style="209" hidden="1" customWidth="1"/>
    <col min="3362" max="3584" width="9" style="209"/>
    <col min="3585" max="3592" width="15.875" style="209" customWidth="1"/>
    <col min="3593" max="3617" width="0" style="209" hidden="1" customWidth="1"/>
    <col min="3618" max="3840" width="9" style="209"/>
    <col min="3841" max="3848" width="15.875" style="209" customWidth="1"/>
    <col min="3849" max="3873" width="0" style="209" hidden="1" customWidth="1"/>
    <col min="3874" max="4096" width="9" style="209"/>
    <col min="4097" max="4104" width="15.875" style="209" customWidth="1"/>
    <col min="4105" max="4129" width="0" style="209" hidden="1" customWidth="1"/>
    <col min="4130" max="4352" width="9" style="209"/>
    <col min="4353" max="4360" width="15.875" style="209" customWidth="1"/>
    <col min="4361" max="4385" width="0" style="209" hidden="1" customWidth="1"/>
    <col min="4386" max="4608" width="9" style="209"/>
    <col min="4609" max="4616" width="15.875" style="209" customWidth="1"/>
    <col min="4617" max="4641" width="0" style="209" hidden="1" customWidth="1"/>
    <col min="4642" max="4864" width="9" style="209"/>
    <col min="4865" max="4872" width="15.875" style="209" customWidth="1"/>
    <col min="4873" max="4897" width="0" style="209" hidden="1" customWidth="1"/>
    <col min="4898" max="5120" width="9" style="209"/>
    <col min="5121" max="5128" width="15.875" style="209" customWidth="1"/>
    <col min="5129" max="5153" width="0" style="209" hidden="1" customWidth="1"/>
    <col min="5154" max="5376" width="9" style="209"/>
    <col min="5377" max="5384" width="15.875" style="209" customWidth="1"/>
    <col min="5385" max="5409" width="0" style="209" hidden="1" customWidth="1"/>
    <col min="5410" max="5632" width="9" style="209"/>
    <col min="5633" max="5640" width="15.875" style="209" customWidth="1"/>
    <col min="5641" max="5665" width="0" style="209" hidden="1" customWidth="1"/>
    <col min="5666" max="5888" width="9" style="209"/>
    <col min="5889" max="5896" width="15.875" style="209" customWidth="1"/>
    <col min="5897" max="5921" width="0" style="209" hidden="1" customWidth="1"/>
    <col min="5922" max="6144" width="9" style="209"/>
    <col min="6145" max="6152" width="15.875" style="209" customWidth="1"/>
    <col min="6153" max="6177" width="0" style="209" hidden="1" customWidth="1"/>
    <col min="6178" max="6400" width="9" style="209"/>
    <col min="6401" max="6408" width="15.875" style="209" customWidth="1"/>
    <col min="6409" max="6433" width="0" style="209" hidden="1" customWidth="1"/>
    <col min="6434" max="6656" width="9" style="209"/>
    <col min="6657" max="6664" width="15.875" style="209" customWidth="1"/>
    <col min="6665" max="6689" width="0" style="209" hidden="1" customWidth="1"/>
    <col min="6690" max="6912" width="9" style="209"/>
    <col min="6913" max="6920" width="15.875" style="209" customWidth="1"/>
    <col min="6921" max="6945" width="0" style="209" hidden="1" customWidth="1"/>
    <col min="6946" max="7168" width="9" style="209"/>
    <col min="7169" max="7176" width="15.875" style="209" customWidth="1"/>
    <col min="7177" max="7201" width="0" style="209" hidden="1" customWidth="1"/>
    <col min="7202" max="7424" width="9" style="209"/>
    <col min="7425" max="7432" width="15.875" style="209" customWidth="1"/>
    <col min="7433" max="7457" width="0" style="209" hidden="1" customWidth="1"/>
    <col min="7458" max="7680" width="9" style="209"/>
    <col min="7681" max="7688" width="15.875" style="209" customWidth="1"/>
    <col min="7689" max="7713" width="0" style="209" hidden="1" customWidth="1"/>
    <col min="7714" max="7936" width="9" style="209"/>
    <col min="7937" max="7944" width="15.875" style="209" customWidth="1"/>
    <col min="7945" max="7969" width="0" style="209" hidden="1" customWidth="1"/>
    <col min="7970" max="8192" width="9" style="209"/>
    <col min="8193" max="8200" width="15.875" style="209" customWidth="1"/>
    <col min="8201" max="8225" width="0" style="209" hidden="1" customWidth="1"/>
    <col min="8226" max="8448" width="9" style="209"/>
    <col min="8449" max="8456" width="15.875" style="209" customWidth="1"/>
    <col min="8457" max="8481" width="0" style="209" hidden="1" customWidth="1"/>
    <col min="8482" max="8704" width="9" style="209"/>
    <col min="8705" max="8712" width="15.875" style="209" customWidth="1"/>
    <col min="8713" max="8737" width="0" style="209" hidden="1" customWidth="1"/>
    <col min="8738" max="8960" width="9" style="209"/>
    <col min="8961" max="8968" width="15.875" style="209" customWidth="1"/>
    <col min="8969" max="8993" width="0" style="209" hidden="1" customWidth="1"/>
    <col min="8994" max="9216" width="9" style="209"/>
    <col min="9217" max="9224" width="15.875" style="209" customWidth="1"/>
    <col min="9225" max="9249" width="0" style="209" hidden="1" customWidth="1"/>
    <col min="9250" max="9472" width="9" style="209"/>
    <col min="9473" max="9480" width="15.875" style="209" customWidth="1"/>
    <col min="9481" max="9505" width="0" style="209" hidden="1" customWidth="1"/>
    <col min="9506" max="9728" width="9" style="209"/>
    <col min="9729" max="9736" width="15.875" style="209" customWidth="1"/>
    <col min="9737" max="9761" width="0" style="209" hidden="1" customWidth="1"/>
    <col min="9762" max="9984" width="9" style="209"/>
    <col min="9985" max="9992" width="15.875" style="209" customWidth="1"/>
    <col min="9993" max="10017" width="0" style="209" hidden="1" customWidth="1"/>
    <col min="10018" max="10240" width="9" style="209"/>
    <col min="10241" max="10248" width="15.875" style="209" customWidth="1"/>
    <col min="10249" max="10273" width="0" style="209" hidden="1" customWidth="1"/>
    <col min="10274" max="10496" width="9" style="209"/>
    <col min="10497" max="10504" width="15.875" style="209" customWidth="1"/>
    <col min="10505" max="10529" width="0" style="209" hidden="1" customWidth="1"/>
    <col min="10530" max="10752" width="9" style="209"/>
    <col min="10753" max="10760" width="15.875" style="209" customWidth="1"/>
    <col min="10761" max="10785" width="0" style="209" hidden="1" customWidth="1"/>
    <col min="10786" max="11008" width="9" style="209"/>
    <col min="11009" max="11016" width="15.875" style="209" customWidth="1"/>
    <col min="11017" max="11041" width="0" style="209" hidden="1" customWidth="1"/>
    <col min="11042" max="11264" width="9" style="209"/>
    <col min="11265" max="11272" width="15.875" style="209" customWidth="1"/>
    <col min="11273" max="11297" width="0" style="209" hidden="1" customWidth="1"/>
    <col min="11298" max="11520" width="9" style="209"/>
    <col min="11521" max="11528" width="15.875" style="209" customWidth="1"/>
    <col min="11529" max="11553" width="0" style="209" hidden="1" customWidth="1"/>
    <col min="11554" max="11776" width="9" style="209"/>
    <col min="11777" max="11784" width="15.875" style="209" customWidth="1"/>
    <col min="11785" max="11809" width="0" style="209" hidden="1" customWidth="1"/>
    <col min="11810" max="12032" width="9" style="209"/>
    <col min="12033" max="12040" width="15.875" style="209" customWidth="1"/>
    <col min="12041" max="12065" width="0" style="209" hidden="1" customWidth="1"/>
    <col min="12066" max="12288" width="9" style="209"/>
    <col min="12289" max="12296" width="15.875" style="209" customWidth="1"/>
    <col min="12297" max="12321" width="0" style="209" hidden="1" customWidth="1"/>
    <col min="12322" max="12544" width="9" style="209"/>
    <col min="12545" max="12552" width="15.875" style="209" customWidth="1"/>
    <col min="12553" max="12577" width="0" style="209" hidden="1" customWidth="1"/>
    <col min="12578" max="12800" width="9" style="209"/>
    <col min="12801" max="12808" width="15.875" style="209" customWidth="1"/>
    <col min="12809" max="12833" width="0" style="209" hidden="1" customWidth="1"/>
    <col min="12834" max="13056" width="9" style="209"/>
    <col min="13057" max="13064" width="15.875" style="209" customWidth="1"/>
    <col min="13065" max="13089" width="0" style="209" hidden="1" customWidth="1"/>
    <col min="13090" max="13312" width="9" style="209"/>
    <col min="13313" max="13320" width="15.875" style="209" customWidth="1"/>
    <col min="13321" max="13345" width="0" style="209" hidden="1" customWidth="1"/>
    <col min="13346" max="13568" width="9" style="209"/>
    <col min="13569" max="13576" width="15.875" style="209" customWidth="1"/>
    <col min="13577" max="13601" width="0" style="209" hidden="1" customWidth="1"/>
    <col min="13602" max="13824" width="9" style="209"/>
    <col min="13825" max="13832" width="15.875" style="209" customWidth="1"/>
    <col min="13833" max="13857" width="0" style="209" hidden="1" customWidth="1"/>
    <col min="13858" max="14080" width="9" style="209"/>
    <col min="14081" max="14088" width="15.875" style="209" customWidth="1"/>
    <col min="14089" max="14113" width="0" style="209" hidden="1" customWidth="1"/>
    <col min="14114" max="14336" width="9" style="209"/>
    <col min="14337" max="14344" width="15.875" style="209" customWidth="1"/>
    <col min="14345" max="14369" width="0" style="209" hidden="1" customWidth="1"/>
    <col min="14370" max="14592" width="9" style="209"/>
    <col min="14593" max="14600" width="15.875" style="209" customWidth="1"/>
    <col min="14601" max="14625" width="0" style="209" hidden="1" customWidth="1"/>
    <col min="14626" max="14848" width="9" style="209"/>
    <col min="14849" max="14856" width="15.875" style="209" customWidth="1"/>
    <col min="14857" max="14881" width="0" style="209" hidden="1" customWidth="1"/>
    <col min="14882" max="15104" width="9" style="209"/>
    <col min="15105" max="15112" width="15.875" style="209" customWidth="1"/>
    <col min="15113" max="15137" width="0" style="209" hidden="1" customWidth="1"/>
    <col min="15138" max="15360" width="9" style="209"/>
    <col min="15361" max="15368" width="15.875" style="209" customWidth="1"/>
    <col min="15369" max="15393" width="0" style="209" hidden="1" customWidth="1"/>
    <col min="15394" max="15616" width="9" style="209"/>
    <col min="15617" max="15624" width="15.875" style="209" customWidth="1"/>
    <col min="15625" max="15649" width="0" style="209" hidden="1" customWidth="1"/>
    <col min="15650" max="15872" width="9" style="209"/>
    <col min="15873" max="15880" width="15.875" style="209" customWidth="1"/>
    <col min="15881" max="15905" width="0" style="209" hidden="1" customWidth="1"/>
    <col min="15906" max="16128" width="9" style="209"/>
    <col min="16129" max="16136" width="15.875" style="209" customWidth="1"/>
    <col min="16137" max="16161" width="0" style="209" hidden="1" customWidth="1"/>
    <col min="16162" max="16384" width="9" style="209"/>
  </cols>
  <sheetData>
    <row r="1" spans="1:33" ht="24" customHeight="1">
      <c r="A1" s="206" t="s">
        <v>2502</v>
      </c>
    </row>
    <row r="2" spans="1:33" ht="24" customHeight="1" thickBot="1"/>
    <row r="3" spans="1:33" ht="24" customHeight="1" thickTop="1" thickBot="1">
      <c r="A3" s="233" t="s">
        <v>2503</v>
      </c>
      <c r="B3" s="233" t="s">
        <v>2504</v>
      </c>
      <c r="C3" s="234"/>
      <c r="D3" s="234"/>
      <c r="E3" s="234"/>
      <c r="F3" s="234"/>
      <c r="G3" s="234"/>
      <c r="H3" s="235"/>
      <c r="I3" s="209" t="s">
        <v>68</v>
      </c>
      <c r="J3" s="209" t="s">
        <v>2206</v>
      </c>
    </row>
    <row r="4" spans="1:33" ht="24" customHeight="1" thickTop="1">
      <c r="A4" s="233" t="s">
        <v>2505</v>
      </c>
      <c r="B4" s="233" t="s">
        <v>2506</v>
      </c>
      <c r="C4" s="234"/>
      <c r="D4" s="234"/>
      <c r="E4" s="234"/>
      <c r="F4" s="234"/>
      <c r="G4" s="234"/>
      <c r="H4" s="235"/>
    </row>
    <row r="5" spans="1:33" ht="24" customHeight="1">
      <c r="A5" s="236" t="s">
        <v>2507</v>
      </c>
      <c r="B5" s="236"/>
      <c r="C5" s="237" t="s">
        <v>2508</v>
      </c>
      <c r="D5" s="237" t="s">
        <v>1628</v>
      </c>
      <c r="E5" s="237" t="s">
        <v>1629</v>
      </c>
      <c r="F5" s="237" t="s">
        <v>1083</v>
      </c>
      <c r="G5" s="237" t="s">
        <v>1084</v>
      </c>
      <c r="H5" s="237" t="s">
        <v>1082</v>
      </c>
    </row>
    <row r="6" spans="1:33" ht="24" customHeight="1">
      <c r="A6" s="226" t="s">
        <v>1632</v>
      </c>
      <c r="B6" s="226" t="s">
        <v>2205</v>
      </c>
      <c r="C6" s="209" t="s">
        <v>2509</v>
      </c>
      <c r="D6" s="209">
        <f>(1200 + 1067 + 700)*10^-4</f>
        <v>0.29670000000000002</v>
      </c>
      <c r="E6" s="238" t="s">
        <v>2510</v>
      </c>
      <c r="F6" s="238">
        <f>중기기초!F3</f>
        <v>0</v>
      </c>
      <c r="G6" s="238">
        <f>TRUNC(F6*D6, 0)</f>
        <v>0</v>
      </c>
      <c r="H6" s="208" t="s">
        <v>68</v>
      </c>
      <c r="I6" s="209" t="s">
        <v>68</v>
      </c>
      <c r="K6" s="209" t="s">
        <v>1095</v>
      </c>
      <c r="L6" s="209" t="s">
        <v>68</v>
      </c>
      <c r="M6" s="209" t="s">
        <v>2511</v>
      </c>
      <c r="N6" s="209" t="s">
        <v>2512</v>
      </c>
      <c r="AG6" s="230" t="str">
        <f>HYPERLINK("#중기기초자료!A3","G0000060200250000 →")</f>
        <v>G0000060200250000 →</v>
      </c>
    </row>
    <row r="7" spans="1:33" ht="24" customHeight="1">
      <c r="B7" s="226" t="s">
        <v>2513</v>
      </c>
      <c r="G7" s="238">
        <f>TRUNC(G6, 0)</f>
        <v>0</v>
      </c>
    </row>
    <row r="8" spans="1:33" ht="24" customHeight="1">
      <c r="A8" s="226" t="s">
        <v>1078</v>
      </c>
      <c r="B8" s="226" t="s">
        <v>2514</v>
      </c>
      <c r="C8" s="209" t="s">
        <v>68</v>
      </c>
      <c r="D8" s="209">
        <v>2.9</v>
      </c>
      <c r="E8" s="239" t="s">
        <v>2515</v>
      </c>
      <c r="F8" s="239">
        <f>중기기초!D11</f>
        <v>0</v>
      </c>
      <c r="G8" s="239">
        <f>TRUNC(F8*D8, 2)</f>
        <v>0</v>
      </c>
      <c r="H8" s="208" t="s">
        <v>68</v>
      </c>
      <c r="I8" s="209" t="s">
        <v>68</v>
      </c>
      <c r="K8" s="209" t="s">
        <v>1104</v>
      </c>
      <c r="L8" s="209" t="s">
        <v>68</v>
      </c>
      <c r="M8" s="209" t="s">
        <v>2516</v>
      </c>
      <c r="AG8" s="230" t="str">
        <f>HYPERLINK("#중기기초자료!A11","M9366005 →")</f>
        <v>M9366005 →</v>
      </c>
    </row>
    <row r="9" spans="1:33" ht="24" customHeight="1">
      <c r="B9" s="226" t="s">
        <v>2517</v>
      </c>
      <c r="C9" s="209" t="s">
        <v>68</v>
      </c>
      <c r="D9" s="209">
        <v>38</v>
      </c>
      <c r="E9" s="239" t="s">
        <v>2518</v>
      </c>
      <c r="F9" s="239">
        <v>0</v>
      </c>
      <c r="G9" s="239">
        <f>TRUNC((G8) * D9/100, 2)</f>
        <v>0</v>
      </c>
      <c r="H9" s="208" t="s">
        <v>68</v>
      </c>
      <c r="I9" s="209" t="s">
        <v>68</v>
      </c>
      <c r="K9" s="209" t="s">
        <v>1107</v>
      </c>
      <c r="L9" s="209" t="s">
        <v>68</v>
      </c>
      <c r="M9" s="209" t="s">
        <v>2519</v>
      </c>
      <c r="N9" s="209" t="s">
        <v>68</v>
      </c>
    </row>
    <row r="10" spans="1:33" ht="24" customHeight="1">
      <c r="B10" s="226" t="s">
        <v>2513</v>
      </c>
      <c r="G10" s="239">
        <f>TRUNC(G8+G9, 2)</f>
        <v>0</v>
      </c>
    </row>
    <row r="11" spans="1:33" ht="24" customHeight="1">
      <c r="A11" s="226" t="s">
        <v>1079</v>
      </c>
      <c r="B11" s="226" t="s">
        <v>2520</v>
      </c>
      <c r="C11" s="209" t="s">
        <v>68</v>
      </c>
      <c r="D11" s="209">
        <v>1</v>
      </c>
      <c r="E11" s="238" t="s">
        <v>2521</v>
      </c>
      <c r="F11" s="238">
        <f>TRUNC(중기기초!E8 * 중기변수!C18, 0)</f>
        <v>0</v>
      </c>
      <c r="G11" s="238">
        <f>TRUNC(F11*D11, 0)</f>
        <v>0</v>
      </c>
      <c r="H11" s="208" t="s">
        <v>68</v>
      </c>
      <c r="I11" s="209" t="s">
        <v>2522</v>
      </c>
      <c r="K11" s="209" t="s">
        <v>2523</v>
      </c>
      <c r="L11" s="209" t="s">
        <v>68</v>
      </c>
      <c r="M11" s="209" t="s">
        <v>2524</v>
      </c>
      <c r="AG11" s="230" t="str">
        <f>HYPERLINK("#중기기초자료!A8","L001010101000049 →")</f>
        <v>L001010101000049 →</v>
      </c>
    </row>
    <row r="12" spans="1:33" ht="24" customHeight="1">
      <c r="B12" s="226" t="s">
        <v>2513</v>
      </c>
      <c r="G12" s="238">
        <f>TRUNC(G11, 0)</f>
        <v>0</v>
      </c>
    </row>
    <row r="13" spans="1:33" ht="24" customHeight="1" thickBot="1">
      <c r="B13" s="226" t="s">
        <v>2525</v>
      </c>
      <c r="G13" s="239">
        <f>TRUNC(G7+G10+G12, 2)</f>
        <v>0</v>
      </c>
    </row>
    <row r="14" spans="1:33" ht="24" customHeight="1" thickTop="1" thickBot="1">
      <c r="A14" s="233"/>
      <c r="B14" s="233"/>
      <c r="C14" s="234"/>
      <c r="D14" s="234"/>
      <c r="E14" s="234"/>
      <c r="F14" s="234"/>
      <c r="G14" s="234"/>
      <c r="H14" s="235"/>
    </row>
    <row r="15" spans="1:33" ht="24" customHeight="1" thickTop="1" thickBot="1">
      <c r="A15" s="233" t="s">
        <v>2503</v>
      </c>
      <c r="B15" s="233" t="s">
        <v>2526</v>
      </c>
      <c r="C15" s="234"/>
      <c r="D15" s="234"/>
      <c r="E15" s="234"/>
      <c r="F15" s="234"/>
      <c r="G15" s="234"/>
      <c r="H15" s="235"/>
      <c r="I15" s="209" t="s">
        <v>68</v>
      </c>
      <c r="J15" s="209" t="s">
        <v>1228</v>
      </c>
    </row>
    <row r="16" spans="1:33" ht="24" customHeight="1" thickTop="1">
      <c r="A16" s="233" t="s">
        <v>2505</v>
      </c>
      <c r="B16" s="233" t="s">
        <v>2506</v>
      </c>
      <c r="C16" s="234"/>
      <c r="D16" s="234"/>
      <c r="E16" s="234"/>
      <c r="F16" s="234"/>
      <c r="G16" s="234"/>
      <c r="H16" s="235"/>
    </row>
    <row r="17" spans="1:33" ht="24" customHeight="1">
      <c r="A17" s="236" t="s">
        <v>2507</v>
      </c>
      <c r="B17" s="236"/>
      <c r="C17" s="237" t="s">
        <v>2508</v>
      </c>
      <c r="D17" s="237" t="s">
        <v>1628</v>
      </c>
      <c r="E17" s="237" t="s">
        <v>1629</v>
      </c>
      <c r="F17" s="237" t="s">
        <v>1083</v>
      </c>
      <c r="G17" s="237" t="s">
        <v>1084</v>
      </c>
      <c r="H17" s="237" t="s">
        <v>1082</v>
      </c>
    </row>
    <row r="18" spans="1:33" ht="24" customHeight="1">
      <c r="A18" s="226" t="s">
        <v>1632</v>
      </c>
      <c r="B18" s="226" t="s">
        <v>2205</v>
      </c>
      <c r="C18" s="209" t="s">
        <v>2509</v>
      </c>
      <c r="D18" s="209">
        <f>(1200 + 1067 + 700)*10^-4</f>
        <v>0.29670000000000002</v>
      </c>
      <c r="E18" s="238" t="s">
        <v>2510</v>
      </c>
      <c r="F18" s="238">
        <f>중기기초!F3</f>
        <v>0</v>
      </c>
      <c r="G18" s="238">
        <f>TRUNC(F18*D18, 0)</f>
        <v>0</v>
      </c>
      <c r="H18" s="208" t="s">
        <v>68</v>
      </c>
      <c r="I18" s="209" t="s">
        <v>68</v>
      </c>
      <c r="K18" s="209" t="s">
        <v>1095</v>
      </c>
      <c r="L18" s="209" t="s">
        <v>68</v>
      </c>
      <c r="M18" s="209" t="s">
        <v>2511</v>
      </c>
      <c r="N18" s="209" t="s">
        <v>2512</v>
      </c>
      <c r="AG18" s="230" t="str">
        <f>HYPERLINK("#중기기초자료!A3","G0000060200250000 →")</f>
        <v>G0000060200250000 →</v>
      </c>
    </row>
    <row r="19" spans="1:33" ht="24" customHeight="1">
      <c r="B19" s="226" t="s">
        <v>2513</v>
      </c>
      <c r="G19" s="238">
        <f>TRUNC(G18, 0)</f>
        <v>0</v>
      </c>
    </row>
    <row r="20" spans="1:33" ht="24" customHeight="1">
      <c r="A20" s="226" t="s">
        <v>1078</v>
      </c>
      <c r="B20" s="226" t="s">
        <v>2514</v>
      </c>
      <c r="C20" s="209" t="s">
        <v>68</v>
      </c>
      <c r="D20" s="209">
        <v>2.9</v>
      </c>
      <c r="E20" s="239" t="s">
        <v>2515</v>
      </c>
      <c r="F20" s="239">
        <f>중기기초!D11</f>
        <v>0</v>
      </c>
      <c r="G20" s="239">
        <f>TRUNC(F20*D20, 2)</f>
        <v>0</v>
      </c>
      <c r="H20" s="208" t="s">
        <v>68</v>
      </c>
      <c r="I20" s="209" t="s">
        <v>68</v>
      </c>
      <c r="K20" s="209" t="s">
        <v>1104</v>
      </c>
      <c r="L20" s="209" t="s">
        <v>68</v>
      </c>
      <c r="M20" s="209" t="s">
        <v>2516</v>
      </c>
      <c r="AG20" s="230" t="str">
        <f>HYPERLINK("#중기기초자료!A11","M9366005 →")</f>
        <v>M9366005 →</v>
      </c>
    </row>
    <row r="21" spans="1:33" ht="24" customHeight="1">
      <c r="B21" s="226" t="s">
        <v>2517</v>
      </c>
      <c r="C21" s="209" t="s">
        <v>68</v>
      </c>
      <c r="D21" s="209">
        <v>38</v>
      </c>
      <c r="E21" s="239" t="s">
        <v>2518</v>
      </c>
      <c r="F21" s="239">
        <v>0</v>
      </c>
      <c r="G21" s="239">
        <f>TRUNC((G20) * D21/100, 2)</f>
        <v>0</v>
      </c>
      <c r="H21" s="208" t="s">
        <v>68</v>
      </c>
      <c r="I21" s="209" t="s">
        <v>68</v>
      </c>
      <c r="K21" s="209" t="s">
        <v>1107</v>
      </c>
      <c r="L21" s="209" t="s">
        <v>68</v>
      </c>
      <c r="M21" s="209" t="s">
        <v>2519</v>
      </c>
      <c r="N21" s="209" t="s">
        <v>68</v>
      </c>
    </row>
    <row r="22" spans="1:33" ht="24" customHeight="1">
      <c r="B22" s="226" t="s">
        <v>2513</v>
      </c>
      <c r="G22" s="239">
        <f>TRUNC(G20+G21, 2)</f>
        <v>0</v>
      </c>
    </row>
    <row r="23" spans="1:33" ht="24" customHeight="1">
      <c r="A23" s="226" t="s">
        <v>1079</v>
      </c>
      <c r="B23" s="226" t="s">
        <v>2520</v>
      </c>
      <c r="C23" s="209" t="s">
        <v>68</v>
      </c>
      <c r="D23" s="209">
        <v>1</v>
      </c>
      <c r="E23" s="238" t="s">
        <v>2521</v>
      </c>
      <c r="F23" s="238">
        <f>TRUNC(중기기초!E8 * 중기변수!C18, 0)</f>
        <v>0</v>
      </c>
      <c r="G23" s="238">
        <f>TRUNC(F23*D23, 0)</f>
        <v>0</v>
      </c>
      <c r="H23" s="208" t="s">
        <v>68</v>
      </c>
      <c r="I23" s="209" t="s">
        <v>2522</v>
      </c>
      <c r="K23" s="209" t="s">
        <v>2523</v>
      </c>
      <c r="L23" s="209" t="s">
        <v>68</v>
      </c>
      <c r="M23" s="209" t="s">
        <v>2524</v>
      </c>
      <c r="AG23" s="230" t="str">
        <f>HYPERLINK("#중기기초자료!A8","L001010101000049 →")</f>
        <v>L001010101000049 →</v>
      </c>
    </row>
    <row r="24" spans="1:33" ht="24" customHeight="1">
      <c r="B24" s="226" t="s">
        <v>2513</v>
      </c>
      <c r="G24" s="238">
        <f>TRUNC(G23, 0)</f>
        <v>0</v>
      </c>
    </row>
    <row r="25" spans="1:33" ht="24" customHeight="1" thickBot="1">
      <c r="B25" s="226" t="s">
        <v>2525</v>
      </c>
      <c r="G25" s="239">
        <f>TRUNC(G19+G22+G24, 2)</f>
        <v>0</v>
      </c>
    </row>
    <row r="26" spans="1:33" ht="24" customHeight="1" thickTop="1" thickBot="1">
      <c r="A26" s="233"/>
      <c r="B26" s="233"/>
      <c r="C26" s="234"/>
      <c r="D26" s="234"/>
      <c r="E26" s="234"/>
      <c r="F26" s="234"/>
      <c r="G26" s="234"/>
      <c r="H26" s="235"/>
    </row>
    <row r="27" spans="1:33" ht="24" customHeight="1" thickTop="1" thickBot="1">
      <c r="A27" s="233" t="s">
        <v>2503</v>
      </c>
      <c r="B27" s="233" t="s">
        <v>2527</v>
      </c>
      <c r="C27" s="234"/>
      <c r="D27" s="234"/>
      <c r="E27" s="234"/>
      <c r="F27" s="234"/>
      <c r="G27" s="234"/>
      <c r="H27" s="235"/>
      <c r="I27" s="209" t="s">
        <v>68</v>
      </c>
      <c r="J27" s="209" t="s">
        <v>1232</v>
      </c>
    </row>
    <row r="28" spans="1:33" ht="24" customHeight="1" thickTop="1">
      <c r="A28" s="233" t="s">
        <v>2505</v>
      </c>
      <c r="B28" s="233" t="s">
        <v>2528</v>
      </c>
      <c r="C28" s="234"/>
      <c r="D28" s="234"/>
      <c r="E28" s="234"/>
      <c r="F28" s="234"/>
      <c r="G28" s="234"/>
      <c r="H28" s="235"/>
    </row>
    <row r="29" spans="1:33" ht="24" customHeight="1">
      <c r="A29" s="236" t="s">
        <v>2507</v>
      </c>
      <c r="B29" s="236"/>
      <c r="C29" s="237" t="s">
        <v>2508</v>
      </c>
      <c r="D29" s="237" t="s">
        <v>1628</v>
      </c>
      <c r="E29" s="237" t="s">
        <v>1629</v>
      </c>
      <c r="F29" s="237" t="s">
        <v>1083</v>
      </c>
      <c r="G29" s="237" t="s">
        <v>1084</v>
      </c>
      <c r="H29" s="237" t="s">
        <v>1082</v>
      </c>
    </row>
    <row r="30" spans="1:33" ht="24" customHeight="1">
      <c r="A30" s="226" t="s">
        <v>1632</v>
      </c>
      <c r="B30" s="226" t="s">
        <v>1229</v>
      </c>
      <c r="C30" s="209" t="s">
        <v>1230</v>
      </c>
      <c r="D30" s="209">
        <f>(1286 + 357 + 955)*10^-4</f>
        <v>0.25980000000000003</v>
      </c>
      <c r="E30" s="238" t="s">
        <v>2510</v>
      </c>
      <c r="F30" s="238">
        <f>중기기초!F4</f>
        <v>0</v>
      </c>
      <c r="G30" s="238">
        <f>TRUNC(F30*D30, 0)</f>
        <v>0</v>
      </c>
      <c r="H30" s="208" t="s">
        <v>68</v>
      </c>
      <c r="I30" s="209" t="s">
        <v>68</v>
      </c>
      <c r="K30" s="209" t="s">
        <v>1095</v>
      </c>
      <c r="L30" s="209" t="s">
        <v>68</v>
      </c>
      <c r="M30" s="209" t="s">
        <v>2529</v>
      </c>
      <c r="N30" s="209" t="s">
        <v>2530</v>
      </c>
      <c r="AG30" s="230" t="str">
        <f>HYPERLINK("#중기기초자료!A4","G0000210600050000 →")</f>
        <v>G0000210600050000 →</v>
      </c>
    </row>
    <row r="31" spans="1:33" ht="24" customHeight="1">
      <c r="B31" s="226" t="s">
        <v>2513</v>
      </c>
      <c r="G31" s="238">
        <f>TRUNC(G30, 0)</f>
        <v>0</v>
      </c>
    </row>
    <row r="32" spans="1:33" ht="24" customHeight="1">
      <c r="A32" s="226" t="s">
        <v>1078</v>
      </c>
      <c r="B32" s="226" t="s">
        <v>2514</v>
      </c>
      <c r="C32" s="209" t="s">
        <v>68</v>
      </c>
      <c r="D32" s="209">
        <v>5.0999999999999996</v>
      </c>
      <c r="E32" s="239" t="s">
        <v>2515</v>
      </c>
      <c r="F32" s="239">
        <f>중기기초!D11</f>
        <v>0</v>
      </c>
      <c r="G32" s="239">
        <f>TRUNC(F32*D32, 2)</f>
        <v>0</v>
      </c>
      <c r="H32" s="208" t="s">
        <v>68</v>
      </c>
      <c r="I32" s="209" t="s">
        <v>68</v>
      </c>
      <c r="K32" s="209" t="s">
        <v>1104</v>
      </c>
      <c r="L32" s="209" t="s">
        <v>68</v>
      </c>
      <c r="M32" s="209" t="s">
        <v>2516</v>
      </c>
      <c r="AG32" s="230" t="str">
        <f>HYPERLINK("#중기기초자료!A11","M9366005 →")</f>
        <v>M9366005 →</v>
      </c>
    </row>
    <row r="33" spans="1:33" ht="24" customHeight="1">
      <c r="B33" s="226" t="s">
        <v>2517</v>
      </c>
      <c r="C33" s="209" t="s">
        <v>68</v>
      </c>
      <c r="D33" s="209">
        <v>20</v>
      </c>
      <c r="E33" s="239" t="s">
        <v>2518</v>
      </c>
      <c r="F33" s="239">
        <v>0</v>
      </c>
      <c r="G33" s="239">
        <f>TRUNC((G32) * D33/100, 2)</f>
        <v>0</v>
      </c>
      <c r="H33" s="208" t="s">
        <v>68</v>
      </c>
      <c r="I33" s="209" t="s">
        <v>68</v>
      </c>
      <c r="K33" s="209" t="s">
        <v>1107</v>
      </c>
      <c r="L33" s="209" t="s">
        <v>68</v>
      </c>
      <c r="M33" s="209" t="s">
        <v>2519</v>
      </c>
      <c r="N33" s="209" t="s">
        <v>68</v>
      </c>
    </row>
    <row r="34" spans="1:33" ht="24" customHeight="1">
      <c r="B34" s="226" t="s">
        <v>2513</v>
      </c>
      <c r="G34" s="239">
        <f>TRUNC(G32+G33, 2)</f>
        <v>0</v>
      </c>
    </row>
    <row r="35" spans="1:33" ht="24" customHeight="1">
      <c r="A35" s="226" t="s">
        <v>1079</v>
      </c>
      <c r="B35" s="226" t="s">
        <v>2520</v>
      </c>
      <c r="C35" s="209" t="s">
        <v>68</v>
      </c>
      <c r="D35" s="209">
        <v>1</v>
      </c>
      <c r="E35" s="238" t="s">
        <v>2521</v>
      </c>
      <c r="F35" s="238">
        <f>TRUNC(중기기초!E8 * 중기변수!C18, 0)</f>
        <v>0</v>
      </c>
      <c r="G35" s="238">
        <f>TRUNC(F35*D35, 0)</f>
        <v>0</v>
      </c>
      <c r="H35" s="208" t="s">
        <v>68</v>
      </c>
      <c r="I35" s="209" t="s">
        <v>2522</v>
      </c>
      <c r="K35" s="209" t="s">
        <v>2523</v>
      </c>
      <c r="L35" s="209" t="s">
        <v>68</v>
      </c>
      <c r="M35" s="209" t="s">
        <v>2524</v>
      </c>
      <c r="AG35" s="230" t="str">
        <f>HYPERLINK("#중기기초자료!A8","L001010101000049 →")</f>
        <v>L001010101000049 →</v>
      </c>
    </row>
    <row r="36" spans="1:33" ht="24" customHeight="1">
      <c r="B36" s="226" t="s">
        <v>2513</v>
      </c>
      <c r="G36" s="238">
        <f>TRUNC(G35, 0)</f>
        <v>0</v>
      </c>
    </row>
    <row r="37" spans="1:33" ht="24" customHeight="1" thickBot="1">
      <c r="B37" s="226" t="s">
        <v>2525</v>
      </c>
      <c r="G37" s="239">
        <f>TRUNC(G31+G34+G36, 2)</f>
        <v>0</v>
      </c>
    </row>
    <row r="38" spans="1:33" ht="24" customHeight="1" thickTop="1" thickBot="1">
      <c r="A38" s="233"/>
      <c r="B38" s="233"/>
      <c r="C38" s="234"/>
      <c r="D38" s="234"/>
      <c r="E38" s="234"/>
      <c r="F38" s="234"/>
      <c r="G38" s="234"/>
      <c r="H38" s="235"/>
    </row>
    <row r="39" spans="1:33" ht="24" customHeight="1" thickTop="1" thickBot="1">
      <c r="A39" s="233" t="s">
        <v>2503</v>
      </c>
      <c r="B39" s="233" t="s">
        <v>2531</v>
      </c>
      <c r="C39" s="234"/>
      <c r="D39" s="234"/>
      <c r="E39" s="234"/>
      <c r="F39" s="234"/>
      <c r="G39" s="234"/>
      <c r="H39" s="235"/>
      <c r="I39" s="209" t="s">
        <v>68</v>
      </c>
      <c r="J39" s="209" t="s">
        <v>2201</v>
      </c>
    </row>
    <row r="40" spans="1:33" ht="24" customHeight="1" thickTop="1">
      <c r="A40" s="233" t="s">
        <v>2505</v>
      </c>
      <c r="B40" s="233" t="s">
        <v>2532</v>
      </c>
      <c r="C40" s="234"/>
      <c r="D40" s="234"/>
      <c r="E40" s="234"/>
      <c r="F40" s="234"/>
      <c r="G40" s="234"/>
      <c r="H40" s="235"/>
    </row>
    <row r="41" spans="1:33" ht="24" customHeight="1">
      <c r="A41" s="236" t="s">
        <v>2507</v>
      </c>
      <c r="B41" s="236"/>
      <c r="C41" s="237" t="s">
        <v>2508</v>
      </c>
      <c r="D41" s="237" t="s">
        <v>1628</v>
      </c>
      <c r="E41" s="237" t="s">
        <v>1629</v>
      </c>
      <c r="F41" s="237" t="s">
        <v>1083</v>
      </c>
      <c r="G41" s="237" t="s">
        <v>1084</v>
      </c>
      <c r="H41" s="237" t="s">
        <v>1082</v>
      </c>
    </row>
    <row r="42" spans="1:33" ht="24" customHeight="1">
      <c r="A42" s="226" t="s">
        <v>1632</v>
      </c>
      <c r="B42" s="226" t="s">
        <v>2199</v>
      </c>
      <c r="C42" s="209" t="s">
        <v>2200</v>
      </c>
      <c r="D42" s="209">
        <f>(4000 + 1333 + 1021)*10^-4</f>
        <v>0.63540000000000008</v>
      </c>
      <c r="E42" s="238" t="s">
        <v>2510</v>
      </c>
      <c r="F42" s="238">
        <f>중기기초!F5</f>
        <v>0</v>
      </c>
      <c r="G42" s="238">
        <f>TRUNC(F42*D42, 0)</f>
        <v>0</v>
      </c>
      <c r="H42" s="208" t="s">
        <v>68</v>
      </c>
      <c r="I42" s="209" t="s">
        <v>68</v>
      </c>
      <c r="K42" s="209" t="s">
        <v>1095</v>
      </c>
      <c r="L42" s="209" t="s">
        <v>68</v>
      </c>
      <c r="M42" s="209" t="s">
        <v>2533</v>
      </c>
      <c r="N42" s="209" t="s">
        <v>2534</v>
      </c>
      <c r="AG42" s="230" t="str">
        <f>HYPERLINK("#중기기초자료!A5","G0000443004000000 →")</f>
        <v>G0000443004000000 →</v>
      </c>
    </row>
    <row r="43" spans="1:33" ht="24" customHeight="1">
      <c r="B43" s="226" t="s">
        <v>2513</v>
      </c>
      <c r="G43" s="238">
        <f>TRUNC(G42, 0)</f>
        <v>0</v>
      </c>
    </row>
    <row r="44" spans="1:33" ht="24" customHeight="1">
      <c r="A44" s="226" t="s">
        <v>1078</v>
      </c>
      <c r="B44" s="226" t="s">
        <v>2535</v>
      </c>
      <c r="C44" s="209" t="s">
        <v>68</v>
      </c>
      <c r="D44" s="209">
        <v>5.6</v>
      </c>
      <c r="E44" s="239" t="s">
        <v>2515</v>
      </c>
      <c r="F44" s="239">
        <f>중기기초!D10</f>
        <v>0</v>
      </c>
      <c r="G44" s="239">
        <f>TRUNC(F44*D44, 2)</f>
        <v>0</v>
      </c>
      <c r="H44" s="208" t="s">
        <v>68</v>
      </c>
      <c r="I44" s="209" t="s">
        <v>68</v>
      </c>
      <c r="K44" s="209" t="s">
        <v>1104</v>
      </c>
      <c r="L44" s="209" t="s">
        <v>68</v>
      </c>
      <c r="M44" s="209" t="s">
        <v>2536</v>
      </c>
      <c r="AG44" s="230" t="str">
        <f>HYPERLINK("#중기기초자료!A10","M1510150620282203 →")</f>
        <v>M1510150620282203 →</v>
      </c>
    </row>
    <row r="45" spans="1:33" ht="24" customHeight="1">
      <c r="B45" s="226" t="s">
        <v>2517</v>
      </c>
      <c r="C45" s="209" t="s">
        <v>68</v>
      </c>
      <c r="D45" s="209">
        <v>20</v>
      </c>
      <c r="E45" s="239" t="s">
        <v>2518</v>
      </c>
      <c r="F45" s="239">
        <v>0</v>
      </c>
      <c r="G45" s="239">
        <f>TRUNC((G44) * D45/100, 2)</f>
        <v>0</v>
      </c>
      <c r="H45" s="208" t="s">
        <v>68</v>
      </c>
      <c r="I45" s="209" t="s">
        <v>68</v>
      </c>
      <c r="K45" s="209" t="s">
        <v>1107</v>
      </c>
      <c r="L45" s="209" t="s">
        <v>68</v>
      </c>
      <c r="M45" s="209" t="s">
        <v>2519</v>
      </c>
      <c r="N45" s="209" t="s">
        <v>68</v>
      </c>
    </row>
    <row r="46" spans="1:33" ht="24" customHeight="1">
      <c r="B46" s="226" t="s">
        <v>2513</v>
      </c>
      <c r="G46" s="239">
        <f>TRUNC(G44+G45, 2)</f>
        <v>0</v>
      </c>
    </row>
    <row r="47" spans="1:33" ht="24" customHeight="1">
      <c r="A47" s="226" t="s">
        <v>1079</v>
      </c>
      <c r="B47" s="226" t="s">
        <v>2537</v>
      </c>
      <c r="C47" s="209" t="s">
        <v>68</v>
      </c>
      <c r="D47" s="209">
        <v>1</v>
      </c>
      <c r="E47" s="238" t="s">
        <v>2521</v>
      </c>
      <c r="F47" s="238">
        <f>TRUNC(중기기초!E9 * 중기변수!C18, 0)</f>
        <v>0</v>
      </c>
      <c r="G47" s="238">
        <f>TRUNC(F47*D47, 0)</f>
        <v>0</v>
      </c>
      <c r="H47" s="208" t="s">
        <v>68</v>
      </c>
      <c r="I47" s="209" t="s">
        <v>2538</v>
      </c>
      <c r="K47" s="209" t="s">
        <v>2523</v>
      </c>
      <c r="L47" s="209" t="s">
        <v>68</v>
      </c>
      <c r="M47" s="209" t="s">
        <v>2539</v>
      </c>
      <c r="AG47" s="230" t="str">
        <f>HYPERLINK("#중기기초자료!A9","L001010101000050 →")</f>
        <v>L001010101000050 →</v>
      </c>
    </row>
    <row r="48" spans="1:33" ht="24" customHeight="1">
      <c r="B48" s="226" t="s">
        <v>2513</v>
      </c>
      <c r="G48" s="238">
        <f>TRUNC(G47, 0)</f>
        <v>0</v>
      </c>
    </row>
    <row r="49" spans="1:33" ht="24" customHeight="1" thickBot="1">
      <c r="B49" s="226" t="s">
        <v>2525</v>
      </c>
      <c r="G49" s="239">
        <f>TRUNC(G43+G46+G48, 2)</f>
        <v>0</v>
      </c>
    </row>
    <row r="50" spans="1:33" ht="24" customHeight="1" thickTop="1" thickBot="1">
      <c r="A50" s="233"/>
      <c r="B50" s="233"/>
      <c r="C50" s="234"/>
      <c r="D50" s="234"/>
      <c r="E50" s="234"/>
      <c r="F50" s="234"/>
      <c r="G50" s="234"/>
      <c r="H50" s="235"/>
    </row>
    <row r="51" spans="1:33" ht="24" customHeight="1" thickTop="1" thickBot="1">
      <c r="A51" s="233" t="s">
        <v>2503</v>
      </c>
      <c r="B51" s="233" t="s">
        <v>2540</v>
      </c>
      <c r="C51" s="234"/>
      <c r="D51" s="234"/>
      <c r="E51" s="234"/>
      <c r="F51" s="234"/>
      <c r="G51" s="234"/>
      <c r="H51" s="235"/>
      <c r="I51" s="209" t="s">
        <v>68</v>
      </c>
      <c r="J51" s="209" t="s">
        <v>2215</v>
      </c>
    </row>
    <row r="52" spans="1:33" ht="24" customHeight="1" thickTop="1">
      <c r="A52" s="233" t="s">
        <v>2505</v>
      </c>
      <c r="B52" s="233" t="s">
        <v>2541</v>
      </c>
      <c r="C52" s="234"/>
      <c r="D52" s="234"/>
      <c r="E52" s="234"/>
      <c r="F52" s="234"/>
      <c r="G52" s="234"/>
      <c r="H52" s="235"/>
    </row>
    <row r="53" spans="1:33" ht="24" customHeight="1">
      <c r="A53" s="236" t="s">
        <v>2507</v>
      </c>
      <c r="B53" s="236"/>
      <c r="C53" s="237" t="s">
        <v>2508</v>
      </c>
      <c r="D53" s="237" t="s">
        <v>1628</v>
      </c>
      <c r="E53" s="237" t="s">
        <v>1629</v>
      </c>
      <c r="F53" s="237" t="s">
        <v>1083</v>
      </c>
      <c r="G53" s="237" t="s">
        <v>1084</v>
      </c>
      <c r="H53" s="237" t="s">
        <v>1082</v>
      </c>
    </row>
    <row r="54" spans="1:33" ht="24" customHeight="1">
      <c r="A54" s="226" t="s">
        <v>1632</v>
      </c>
      <c r="B54" s="226" t="s">
        <v>2213</v>
      </c>
      <c r="C54" s="209" t="s">
        <v>2214</v>
      </c>
      <c r="D54" s="209">
        <f>(2500 + 0 + 0)*10^-4</f>
        <v>0.25</v>
      </c>
      <c r="E54" s="238" t="s">
        <v>2510</v>
      </c>
      <c r="F54" s="238">
        <f>중기기초!F6</f>
        <v>0</v>
      </c>
      <c r="G54" s="238">
        <f>TRUNC(F54*D54, 0)</f>
        <v>0</v>
      </c>
      <c r="H54" s="208" t="s">
        <v>68</v>
      </c>
      <c r="I54" s="209" t="s">
        <v>68</v>
      </c>
      <c r="K54" s="209" t="s">
        <v>1095</v>
      </c>
      <c r="L54" s="209" t="s">
        <v>68</v>
      </c>
      <c r="M54" s="209" t="s">
        <v>2542</v>
      </c>
      <c r="N54" s="209" t="s">
        <v>2543</v>
      </c>
      <c r="AG54" s="230" t="str">
        <f>HYPERLINK("#중기기초자료!A6","G0000522000150000 →")</f>
        <v>G0000522000150000 →</v>
      </c>
    </row>
    <row r="55" spans="1:33" ht="24" customHeight="1">
      <c r="B55" s="226" t="s">
        <v>2513</v>
      </c>
      <c r="G55" s="238">
        <f>TRUNC(G54, 0)</f>
        <v>0</v>
      </c>
    </row>
    <row r="56" spans="1:33" ht="24" customHeight="1">
      <c r="A56" s="226" t="s">
        <v>1078</v>
      </c>
    </row>
    <row r="57" spans="1:33" ht="24" customHeight="1">
      <c r="B57" s="226" t="s">
        <v>2513</v>
      </c>
    </row>
    <row r="58" spans="1:33" ht="24" customHeight="1">
      <c r="A58" s="226" t="s">
        <v>1079</v>
      </c>
    </row>
    <row r="59" spans="1:33" ht="24" customHeight="1">
      <c r="B59" s="226" t="s">
        <v>2513</v>
      </c>
    </row>
    <row r="60" spans="1:33" ht="24" customHeight="1" thickBot="1">
      <c r="B60" s="226" t="s">
        <v>2525</v>
      </c>
      <c r="G60" s="239">
        <f>TRUNC(G55+G57+G59, 2)</f>
        <v>0</v>
      </c>
    </row>
    <row r="61" spans="1:33" ht="24" customHeight="1" thickTop="1" thickBot="1">
      <c r="A61" s="233"/>
      <c r="B61" s="233"/>
      <c r="C61" s="234"/>
      <c r="D61" s="234"/>
      <c r="E61" s="234"/>
      <c r="F61" s="234"/>
      <c r="G61" s="234"/>
      <c r="H61" s="235"/>
    </row>
    <row r="62" spans="1:33" ht="24" customHeight="1" thickTop="1" thickBot="1">
      <c r="A62" s="233" t="s">
        <v>2503</v>
      </c>
      <c r="B62" s="233" t="s">
        <v>2544</v>
      </c>
      <c r="C62" s="234"/>
      <c r="D62" s="234"/>
      <c r="E62" s="234"/>
      <c r="F62" s="234"/>
      <c r="G62" s="234"/>
      <c r="H62" s="235"/>
      <c r="I62" s="209" t="s">
        <v>68</v>
      </c>
      <c r="J62" s="209" t="s">
        <v>2204</v>
      </c>
    </row>
    <row r="63" spans="1:33" ht="24" customHeight="1" thickTop="1">
      <c r="A63" s="233" t="s">
        <v>2505</v>
      </c>
      <c r="B63" s="233" t="s">
        <v>2545</v>
      </c>
      <c r="C63" s="234"/>
      <c r="D63" s="234"/>
      <c r="E63" s="234"/>
      <c r="F63" s="234"/>
      <c r="G63" s="234"/>
      <c r="H63" s="235"/>
    </row>
    <row r="64" spans="1:33" ht="24" customHeight="1">
      <c r="A64" s="236" t="s">
        <v>2507</v>
      </c>
      <c r="B64" s="236"/>
      <c r="C64" s="237" t="s">
        <v>2508</v>
      </c>
      <c r="D64" s="237" t="s">
        <v>1628</v>
      </c>
      <c r="E64" s="237" t="s">
        <v>1629</v>
      </c>
      <c r="F64" s="237" t="s">
        <v>1083</v>
      </c>
      <c r="G64" s="237" t="s">
        <v>1084</v>
      </c>
      <c r="H64" s="237" t="s">
        <v>1082</v>
      </c>
    </row>
    <row r="65" spans="1:33" ht="24" customHeight="1">
      <c r="A65" s="226" t="s">
        <v>1632</v>
      </c>
      <c r="B65" s="226" t="s">
        <v>2202</v>
      </c>
      <c r="C65" s="209" t="s">
        <v>2203</v>
      </c>
      <c r="D65" s="209">
        <f>(1125 + 1000 + 674)*10^-4</f>
        <v>0.27990000000000004</v>
      </c>
      <c r="E65" s="238" t="s">
        <v>2510</v>
      </c>
      <c r="F65" s="238">
        <f>중기기초!F7</f>
        <v>0</v>
      </c>
      <c r="G65" s="238">
        <f>TRUNC(F65*D65, 0)</f>
        <v>0</v>
      </c>
      <c r="H65" s="208" t="s">
        <v>68</v>
      </c>
      <c r="I65" s="209" t="s">
        <v>68</v>
      </c>
      <c r="K65" s="209" t="s">
        <v>1095</v>
      </c>
      <c r="L65" s="209" t="s">
        <v>68</v>
      </c>
      <c r="M65" s="209" t="s">
        <v>2546</v>
      </c>
      <c r="N65" s="209" t="s">
        <v>2547</v>
      </c>
      <c r="AG65" s="230" t="str">
        <f>HYPERLINK("#중기기초자료!A7","G0000721004850000 →")</f>
        <v>G0000721004850000 →</v>
      </c>
    </row>
    <row r="66" spans="1:33" ht="24" customHeight="1">
      <c r="B66" s="226" t="s">
        <v>2513</v>
      </c>
      <c r="G66" s="238">
        <f>TRUNC(G65, 0)</f>
        <v>0</v>
      </c>
    </row>
    <row r="67" spans="1:33" ht="24" customHeight="1">
      <c r="A67" s="226" t="s">
        <v>1078</v>
      </c>
      <c r="B67" s="226" t="s">
        <v>2535</v>
      </c>
      <c r="C67" s="209" t="s">
        <v>68</v>
      </c>
      <c r="D67" s="209">
        <v>1.3</v>
      </c>
      <c r="E67" s="239" t="s">
        <v>2515</v>
      </c>
      <c r="F67" s="239">
        <f>중기기초!D10</f>
        <v>0</v>
      </c>
      <c r="G67" s="239">
        <f>TRUNC(F67*D67, 2)</f>
        <v>0</v>
      </c>
      <c r="H67" s="208" t="s">
        <v>68</v>
      </c>
      <c r="I67" s="209" t="s">
        <v>68</v>
      </c>
      <c r="K67" s="209" t="s">
        <v>1098</v>
      </c>
      <c r="L67" s="209" t="s">
        <v>68</v>
      </c>
      <c r="M67" s="209" t="s">
        <v>2536</v>
      </c>
      <c r="AG67" s="230" t="str">
        <f>HYPERLINK("#중기기초자료!A10","M1510150620282203 →")</f>
        <v>M1510150620282203 →</v>
      </c>
    </row>
    <row r="68" spans="1:33" ht="24" customHeight="1">
      <c r="B68" s="226" t="s">
        <v>2517</v>
      </c>
      <c r="C68" s="209" t="s">
        <v>68</v>
      </c>
      <c r="D68" s="209">
        <v>20</v>
      </c>
      <c r="E68" s="239" t="s">
        <v>2518</v>
      </c>
      <c r="F68" s="239">
        <v>0</v>
      </c>
      <c r="G68" s="239">
        <f>TRUNC((G67) * D68/100, 2)</f>
        <v>0</v>
      </c>
      <c r="H68" s="208" t="s">
        <v>68</v>
      </c>
      <c r="I68" s="209" t="s">
        <v>68</v>
      </c>
      <c r="K68" s="209" t="s">
        <v>1101</v>
      </c>
      <c r="L68" s="209" t="s">
        <v>68</v>
      </c>
      <c r="M68" s="209" t="s">
        <v>2519</v>
      </c>
      <c r="N68" s="209" t="s">
        <v>68</v>
      </c>
    </row>
    <row r="69" spans="1:33" ht="24" customHeight="1">
      <c r="B69" s="226" t="s">
        <v>2513</v>
      </c>
      <c r="G69" s="239">
        <f>TRUNC(G67+G68, 2)</f>
        <v>0</v>
      </c>
    </row>
    <row r="70" spans="1:33" ht="24" customHeight="1">
      <c r="A70" s="226" t="s">
        <v>1079</v>
      </c>
    </row>
    <row r="71" spans="1:33" ht="24" customHeight="1">
      <c r="B71" s="226" t="s">
        <v>2513</v>
      </c>
    </row>
    <row r="72" spans="1:33" ht="24" customHeight="1" thickBot="1">
      <c r="B72" s="226" t="s">
        <v>2525</v>
      </c>
      <c r="G72" s="239">
        <f>TRUNC(G66+G69+G71, 2)</f>
        <v>0</v>
      </c>
    </row>
    <row r="73" spans="1:33" ht="24" customHeight="1" thickTop="1">
      <c r="A73" s="233"/>
      <c r="B73" s="233"/>
      <c r="C73" s="234"/>
      <c r="D73" s="234"/>
      <c r="E73" s="234"/>
      <c r="F73" s="234"/>
      <c r="G73" s="234"/>
      <c r="H73" s="235"/>
    </row>
  </sheetData>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130</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election activeCell="F20" sqref="F20"/>
    </sheetView>
  </sheetViews>
  <sheetFormatPr defaultRowHeight="24" customHeight="1"/>
  <cols>
    <col min="1" max="1" width="21.75" style="226" customWidth="1"/>
    <col min="2" max="2" width="18" style="226" customWidth="1"/>
    <col min="3" max="3" width="10" style="208" customWidth="1"/>
    <col min="4" max="7" width="17.125" style="209" customWidth="1"/>
    <col min="8" max="8" width="10" style="208" customWidth="1"/>
    <col min="9" max="10" width="0" style="209" hidden="1" customWidth="1"/>
    <col min="11" max="256" width="9" style="209"/>
    <col min="257" max="257" width="21.75" style="209" customWidth="1"/>
    <col min="258" max="258" width="18" style="209" customWidth="1"/>
    <col min="259" max="259" width="10" style="209" customWidth="1"/>
    <col min="260" max="263" width="17.125" style="209" customWidth="1"/>
    <col min="264" max="264" width="10" style="209" customWidth="1"/>
    <col min="265" max="266" width="0" style="209" hidden="1" customWidth="1"/>
    <col min="267" max="512" width="9" style="209"/>
    <col min="513" max="513" width="21.75" style="209" customWidth="1"/>
    <col min="514" max="514" width="18" style="209" customWidth="1"/>
    <col min="515" max="515" width="10" style="209" customWidth="1"/>
    <col min="516" max="519" width="17.125" style="209" customWidth="1"/>
    <col min="520" max="520" width="10" style="209" customWidth="1"/>
    <col min="521" max="522" width="0" style="209" hidden="1" customWidth="1"/>
    <col min="523" max="768" width="9" style="209"/>
    <col min="769" max="769" width="21.75" style="209" customWidth="1"/>
    <col min="770" max="770" width="18" style="209" customWidth="1"/>
    <col min="771" max="771" width="10" style="209" customWidth="1"/>
    <col min="772" max="775" width="17.125" style="209" customWidth="1"/>
    <col min="776" max="776" width="10" style="209" customWidth="1"/>
    <col min="777" max="778" width="0" style="209" hidden="1" customWidth="1"/>
    <col min="779" max="1024" width="9" style="209"/>
    <col min="1025" max="1025" width="21.75" style="209" customWidth="1"/>
    <col min="1026" max="1026" width="18" style="209" customWidth="1"/>
    <col min="1027" max="1027" width="10" style="209" customWidth="1"/>
    <col min="1028" max="1031" width="17.125" style="209" customWidth="1"/>
    <col min="1032" max="1032" width="10" style="209" customWidth="1"/>
    <col min="1033" max="1034" width="0" style="209" hidden="1" customWidth="1"/>
    <col min="1035" max="1280" width="9" style="209"/>
    <col min="1281" max="1281" width="21.75" style="209" customWidth="1"/>
    <col min="1282" max="1282" width="18" style="209" customWidth="1"/>
    <col min="1283" max="1283" width="10" style="209" customWidth="1"/>
    <col min="1284" max="1287" width="17.125" style="209" customWidth="1"/>
    <col min="1288" max="1288" width="10" style="209" customWidth="1"/>
    <col min="1289" max="1290" width="0" style="209" hidden="1" customWidth="1"/>
    <col min="1291" max="1536" width="9" style="209"/>
    <col min="1537" max="1537" width="21.75" style="209" customWidth="1"/>
    <col min="1538" max="1538" width="18" style="209" customWidth="1"/>
    <col min="1539" max="1539" width="10" style="209" customWidth="1"/>
    <col min="1540" max="1543" width="17.125" style="209" customWidth="1"/>
    <col min="1544" max="1544" width="10" style="209" customWidth="1"/>
    <col min="1545" max="1546" width="0" style="209" hidden="1" customWidth="1"/>
    <col min="1547" max="1792" width="9" style="209"/>
    <col min="1793" max="1793" width="21.75" style="209" customWidth="1"/>
    <col min="1794" max="1794" width="18" style="209" customWidth="1"/>
    <col min="1795" max="1795" width="10" style="209" customWidth="1"/>
    <col min="1796" max="1799" width="17.125" style="209" customWidth="1"/>
    <col min="1800" max="1800" width="10" style="209" customWidth="1"/>
    <col min="1801" max="1802" width="0" style="209" hidden="1" customWidth="1"/>
    <col min="1803" max="2048" width="9" style="209"/>
    <col min="2049" max="2049" width="21.75" style="209" customWidth="1"/>
    <col min="2050" max="2050" width="18" style="209" customWidth="1"/>
    <col min="2051" max="2051" width="10" style="209" customWidth="1"/>
    <col min="2052" max="2055" width="17.125" style="209" customWidth="1"/>
    <col min="2056" max="2056" width="10" style="209" customWidth="1"/>
    <col min="2057" max="2058" width="0" style="209" hidden="1" customWidth="1"/>
    <col min="2059" max="2304" width="9" style="209"/>
    <col min="2305" max="2305" width="21.75" style="209" customWidth="1"/>
    <col min="2306" max="2306" width="18" style="209" customWidth="1"/>
    <col min="2307" max="2307" width="10" style="209" customWidth="1"/>
    <col min="2308" max="2311" width="17.125" style="209" customWidth="1"/>
    <col min="2312" max="2312" width="10" style="209" customWidth="1"/>
    <col min="2313" max="2314" width="0" style="209" hidden="1" customWidth="1"/>
    <col min="2315" max="2560" width="9" style="209"/>
    <col min="2561" max="2561" width="21.75" style="209" customWidth="1"/>
    <col min="2562" max="2562" width="18" style="209" customWidth="1"/>
    <col min="2563" max="2563" width="10" style="209" customWidth="1"/>
    <col min="2564" max="2567" width="17.125" style="209" customWidth="1"/>
    <col min="2568" max="2568" width="10" style="209" customWidth="1"/>
    <col min="2569" max="2570" width="0" style="209" hidden="1" customWidth="1"/>
    <col min="2571" max="2816" width="9" style="209"/>
    <col min="2817" max="2817" width="21.75" style="209" customWidth="1"/>
    <col min="2818" max="2818" width="18" style="209" customWidth="1"/>
    <col min="2819" max="2819" width="10" style="209" customWidth="1"/>
    <col min="2820" max="2823" width="17.125" style="209" customWidth="1"/>
    <col min="2824" max="2824" width="10" style="209" customWidth="1"/>
    <col min="2825" max="2826" width="0" style="209" hidden="1" customWidth="1"/>
    <col min="2827" max="3072" width="9" style="209"/>
    <col min="3073" max="3073" width="21.75" style="209" customWidth="1"/>
    <col min="3074" max="3074" width="18" style="209" customWidth="1"/>
    <col min="3075" max="3075" width="10" style="209" customWidth="1"/>
    <col min="3076" max="3079" width="17.125" style="209" customWidth="1"/>
    <col min="3080" max="3080" width="10" style="209" customWidth="1"/>
    <col min="3081" max="3082" width="0" style="209" hidden="1" customWidth="1"/>
    <col min="3083" max="3328" width="9" style="209"/>
    <col min="3329" max="3329" width="21.75" style="209" customWidth="1"/>
    <col min="3330" max="3330" width="18" style="209" customWidth="1"/>
    <col min="3331" max="3331" width="10" style="209" customWidth="1"/>
    <col min="3332" max="3335" width="17.125" style="209" customWidth="1"/>
    <col min="3336" max="3336" width="10" style="209" customWidth="1"/>
    <col min="3337" max="3338" width="0" style="209" hidden="1" customWidth="1"/>
    <col min="3339" max="3584" width="9" style="209"/>
    <col min="3585" max="3585" width="21.75" style="209" customWidth="1"/>
    <col min="3586" max="3586" width="18" style="209" customWidth="1"/>
    <col min="3587" max="3587" width="10" style="209" customWidth="1"/>
    <col min="3588" max="3591" width="17.125" style="209" customWidth="1"/>
    <col min="3592" max="3592" width="10" style="209" customWidth="1"/>
    <col min="3593" max="3594" width="0" style="209" hidden="1" customWidth="1"/>
    <col min="3595" max="3840" width="9" style="209"/>
    <col min="3841" max="3841" width="21.75" style="209" customWidth="1"/>
    <col min="3842" max="3842" width="18" style="209" customWidth="1"/>
    <col min="3843" max="3843" width="10" style="209" customWidth="1"/>
    <col min="3844" max="3847" width="17.125" style="209" customWidth="1"/>
    <col min="3848" max="3848" width="10" style="209" customWidth="1"/>
    <col min="3849" max="3850" width="0" style="209" hidden="1" customWidth="1"/>
    <col min="3851" max="4096" width="9" style="209"/>
    <col min="4097" max="4097" width="21.75" style="209" customWidth="1"/>
    <col min="4098" max="4098" width="18" style="209" customWidth="1"/>
    <col min="4099" max="4099" width="10" style="209" customWidth="1"/>
    <col min="4100" max="4103" width="17.125" style="209" customWidth="1"/>
    <col min="4104" max="4104" width="10" style="209" customWidth="1"/>
    <col min="4105" max="4106" width="0" style="209" hidden="1" customWidth="1"/>
    <col min="4107" max="4352" width="9" style="209"/>
    <col min="4353" max="4353" width="21.75" style="209" customWidth="1"/>
    <col min="4354" max="4354" width="18" style="209" customWidth="1"/>
    <col min="4355" max="4355" width="10" style="209" customWidth="1"/>
    <col min="4356" max="4359" width="17.125" style="209" customWidth="1"/>
    <col min="4360" max="4360" width="10" style="209" customWidth="1"/>
    <col min="4361" max="4362" width="0" style="209" hidden="1" customWidth="1"/>
    <col min="4363" max="4608" width="9" style="209"/>
    <col min="4609" max="4609" width="21.75" style="209" customWidth="1"/>
    <col min="4610" max="4610" width="18" style="209" customWidth="1"/>
    <col min="4611" max="4611" width="10" style="209" customWidth="1"/>
    <col min="4612" max="4615" width="17.125" style="209" customWidth="1"/>
    <col min="4616" max="4616" width="10" style="209" customWidth="1"/>
    <col min="4617" max="4618" width="0" style="209" hidden="1" customWidth="1"/>
    <col min="4619" max="4864" width="9" style="209"/>
    <col min="4865" max="4865" width="21.75" style="209" customWidth="1"/>
    <col min="4866" max="4866" width="18" style="209" customWidth="1"/>
    <col min="4867" max="4867" width="10" style="209" customWidth="1"/>
    <col min="4868" max="4871" width="17.125" style="209" customWidth="1"/>
    <col min="4872" max="4872" width="10" style="209" customWidth="1"/>
    <col min="4873" max="4874" width="0" style="209" hidden="1" customWidth="1"/>
    <col min="4875" max="5120" width="9" style="209"/>
    <col min="5121" max="5121" width="21.75" style="209" customWidth="1"/>
    <col min="5122" max="5122" width="18" style="209" customWidth="1"/>
    <col min="5123" max="5123" width="10" style="209" customWidth="1"/>
    <col min="5124" max="5127" width="17.125" style="209" customWidth="1"/>
    <col min="5128" max="5128" width="10" style="209" customWidth="1"/>
    <col min="5129" max="5130" width="0" style="209" hidden="1" customWidth="1"/>
    <col min="5131" max="5376" width="9" style="209"/>
    <col min="5377" max="5377" width="21.75" style="209" customWidth="1"/>
    <col min="5378" max="5378" width="18" style="209" customWidth="1"/>
    <col min="5379" max="5379" width="10" style="209" customWidth="1"/>
    <col min="5380" max="5383" width="17.125" style="209" customWidth="1"/>
    <col min="5384" max="5384" width="10" style="209" customWidth="1"/>
    <col min="5385" max="5386" width="0" style="209" hidden="1" customWidth="1"/>
    <col min="5387" max="5632" width="9" style="209"/>
    <col min="5633" max="5633" width="21.75" style="209" customWidth="1"/>
    <col min="5634" max="5634" width="18" style="209" customWidth="1"/>
    <col min="5635" max="5635" width="10" style="209" customWidth="1"/>
    <col min="5636" max="5639" width="17.125" style="209" customWidth="1"/>
    <col min="5640" max="5640" width="10" style="209" customWidth="1"/>
    <col min="5641" max="5642" width="0" style="209" hidden="1" customWidth="1"/>
    <col min="5643" max="5888" width="9" style="209"/>
    <col min="5889" max="5889" width="21.75" style="209" customWidth="1"/>
    <col min="5890" max="5890" width="18" style="209" customWidth="1"/>
    <col min="5891" max="5891" width="10" style="209" customWidth="1"/>
    <col min="5892" max="5895" width="17.125" style="209" customWidth="1"/>
    <col min="5896" max="5896" width="10" style="209" customWidth="1"/>
    <col min="5897" max="5898" width="0" style="209" hidden="1" customWidth="1"/>
    <col min="5899" max="6144" width="9" style="209"/>
    <col min="6145" max="6145" width="21.75" style="209" customWidth="1"/>
    <col min="6146" max="6146" width="18" style="209" customWidth="1"/>
    <col min="6147" max="6147" width="10" style="209" customWidth="1"/>
    <col min="6148" max="6151" width="17.125" style="209" customWidth="1"/>
    <col min="6152" max="6152" width="10" style="209" customWidth="1"/>
    <col min="6153" max="6154" width="0" style="209" hidden="1" customWidth="1"/>
    <col min="6155" max="6400" width="9" style="209"/>
    <col min="6401" max="6401" width="21.75" style="209" customWidth="1"/>
    <col min="6402" max="6402" width="18" style="209" customWidth="1"/>
    <col min="6403" max="6403" width="10" style="209" customWidth="1"/>
    <col min="6404" max="6407" width="17.125" style="209" customWidth="1"/>
    <col min="6408" max="6408" width="10" style="209" customWidth="1"/>
    <col min="6409" max="6410" width="0" style="209" hidden="1" customWidth="1"/>
    <col min="6411" max="6656" width="9" style="209"/>
    <col min="6657" max="6657" width="21.75" style="209" customWidth="1"/>
    <col min="6658" max="6658" width="18" style="209" customWidth="1"/>
    <col min="6659" max="6659" width="10" style="209" customWidth="1"/>
    <col min="6660" max="6663" width="17.125" style="209" customWidth="1"/>
    <col min="6664" max="6664" width="10" style="209" customWidth="1"/>
    <col min="6665" max="6666" width="0" style="209" hidden="1" customWidth="1"/>
    <col min="6667" max="6912" width="9" style="209"/>
    <col min="6913" max="6913" width="21.75" style="209" customWidth="1"/>
    <col min="6914" max="6914" width="18" style="209" customWidth="1"/>
    <col min="6915" max="6915" width="10" style="209" customWidth="1"/>
    <col min="6916" max="6919" width="17.125" style="209" customWidth="1"/>
    <col min="6920" max="6920" width="10" style="209" customWidth="1"/>
    <col min="6921" max="6922" width="0" style="209" hidden="1" customWidth="1"/>
    <col min="6923" max="7168" width="9" style="209"/>
    <col min="7169" max="7169" width="21.75" style="209" customWidth="1"/>
    <col min="7170" max="7170" width="18" style="209" customWidth="1"/>
    <col min="7171" max="7171" width="10" style="209" customWidth="1"/>
    <col min="7172" max="7175" width="17.125" style="209" customWidth="1"/>
    <col min="7176" max="7176" width="10" style="209" customWidth="1"/>
    <col min="7177" max="7178" width="0" style="209" hidden="1" customWidth="1"/>
    <col min="7179" max="7424" width="9" style="209"/>
    <col min="7425" max="7425" width="21.75" style="209" customWidth="1"/>
    <col min="7426" max="7426" width="18" style="209" customWidth="1"/>
    <col min="7427" max="7427" width="10" style="209" customWidth="1"/>
    <col min="7428" max="7431" width="17.125" style="209" customWidth="1"/>
    <col min="7432" max="7432" width="10" style="209" customWidth="1"/>
    <col min="7433" max="7434" width="0" style="209" hidden="1" customWidth="1"/>
    <col min="7435" max="7680" width="9" style="209"/>
    <col min="7681" max="7681" width="21.75" style="209" customWidth="1"/>
    <col min="7682" max="7682" width="18" style="209" customWidth="1"/>
    <col min="7683" max="7683" width="10" style="209" customWidth="1"/>
    <col min="7684" max="7687" width="17.125" style="209" customWidth="1"/>
    <col min="7688" max="7688" width="10" style="209" customWidth="1"/>
    <col min="7689" max="7690" width="0" style="209" hidden="1" customWidth="1"/>
    <col min="7691" max="7936" width="9" style="209"/>
    <col min="7937" max="7937" width="21.75" style="209" customWidth="1"/>
    <col min="7938" max="7938" width="18" style="209" customWidth="1"/>
    <col min="7939" max="7939" width="10" style="209" customWidth="1"/>
    <col min="7940" max="7943" width="17.125" style="209" customWidth="1"/>
    <col min="7944" max="7944" width="10" style="209" customWidth="1"/>
    <col min="7945" max="7946" width="0" style="209" hidden="1" customWidth="1"/>
    <col min="7947" max="8192" width="9" style="209"/>
    <col min="8193" max="8193" width="21.75" style="209" customWidth="1"/>
    <col min="8194" max="8194" width="18" style="209" customWidth="1"/>
    <col min="8195" max="8195" width="10" style="209" customWidth="1"/>
    <col min="8196" max="8199" width="17.125" style="209" customWidth="1"/>
    <col min="8200" max="8200" width="10" style="209" customWidth="1"/>
    <col min="8201" max="8202" width="0" style="209" hidden="1" customWidth="1"/>
    <col min="8203" max="8448" width="9" style="209"/>
    <col min="8449" max="8449" width="21.75" style="209" customWidth="1"/>
    <col min="8450" max="8450" width="18" style="209" customWidth="1"/>
    <col min="8451" max="8451" width="10" style="209" customWidth="1"/>
    <col min="8452" max="8455" width="17.125" style="209" customWidth="1"/>
    <col min="8456" max="8456" width="10" style="209" customWidth="1"/>
    <col min="8457" max="8458" width="0" style="209" hidden="1" customWidth="1"/>
    <col min="8459" max="8704" width="9" style="209"/>
    <col min="8705" max="8705" width="21.75" style="209" customWidth="1"/>
    <col min="8706" max="8706" width="18" style="209" customWidth="1"/>
    <col min="8707" max="8707" width="10" style="209" customWidth="1"/>
    <col min="8708" max="8711" width="17.125" style="209" customWidth="1"/>
    <col min="8712" max="8712" width="10" style="209" customWidth="1"/>
    <col min="8713" max="8714" width="0" style="209" hidden="1" customWidth="1"/>
    <col min="8715" max="8960" width="9" style="209"/>
    <col min="8961" max="8961" width="21.75" style="209" customWidth="1"/>
    <col min="8962" max="8962" width="18" style="209" customWidth="1"/>
    <col min="8963" max="8963" width="10" style="209" customWidth="1"/>
    <col min="8964" max="8967" width="17.125" style="209" customWidth="1"/>
    <col min="8968" max="8968" width="10" style="209" customWidth="1"/>
    <col min="8969" max="8970" width="0" style="209" hidden="1" customWidth="1"/>
    <col min="8971" max="9216" width="9" style="209"/>
    <col min="9217" max="9217" width="21.75" style="209" customWidth="1"/>
    <col min="9218" max="9218" width="18" style="209" customWidth="1"/>
    <col min="9219" max="9219" width="10" style="209" customWidth="1"/>
    <col min="9220" max="9223" width="17.125" style="209" customWidth="1"/>
    <col min="9224" max="9224" width="10" style="209" customWidth="1"/>
    <col min="9225" max="9226" width="0" style="209" hidden="1" customWidth="1"/>
    <col min="9227" max="9472" width="9" style="209"/>
    <col min="9473" max="9473" width="21.75" style="209" customWidth="1"/>
    <col min="9474" max="9474" width="18" style="209" customWidth="1"/>
    <col min="9475" max="9475" width="10" style="209" customWidth="1"/>
    <col min="9476" max="9479" width="17.125" style="209" customWidth="1"/>
    <col min="9480" max="9480" width="10" style="209" customWidth="1"/>
    <col min="9481" max="9482" width="0" style="209" hidden="1" customWidth="1"/>
    <col min="9483" max="9728" width="9" style="209"/>
    <col min="9729" max="9729" width="21.75" style="209" customWidth="1"/>
    <col min="9730" max="9730" width="18" style="209" customWidth="1"/>
    <col min="9731" max="9731" width="10" style="209" customWidth="1"/>
    <col min="9732" max="9735" width="17.125" style="209" customWidth="1"/>
    <col min="9736" max="9736" width="10" style="209" customWidth="1"/>
    <col min="9737" max="9738" width="0" style="209" hidden="1" customWidth="1"/>
    <col min="9739" max="9984" width="9" style="209"/>
    <col min="9985" max="9985" width="21.75" style="209" customWidth="1"/>
    <col min="9986" max="9986" width="18" style="209" customWidth="1"/>
    <col min="9987" max="9987" width="10" style="209" customWidth="1"/>
    <col min="9988" max="9991" width="17.125" style="209" customWidth="1"/>
    <col min="9992" max="9992" width="10" style="209" customWidth="1"/>
    <col min="9993" max="9994" width="0" style="209" hidden="1" customWidth="1"/>
    <col min="9995" max="10240" width="9" style="209"/>
    <col min="10241" max="10241" width="21.75" style="209" customWidth="1"/>
    <col min="10242" max="10242" width="18" style="209" customWidth="1"/>
    <col min="10243" max="10243" width="10" style="209" customWidth="1"/>
    <col min="10244" max="10247" width="17.125" style="209" customWidth="1"/>
    <col min="10248" max="10248" width="10" style="209" customWidth="1"/>
    <col min="10249" max="10250" width="0" style="209" hidden="1" customWidth="1"/>
    <col min="10251" max="10496" width="9" style="209"/>
    <col min="10497" max="10497" width="21.75" style="209" customWidth="1"/>
    <col min="10498" max="10498" width="18" style="209" customWidth="1"/>
    <col min="10499" max="10499" width="10" style="209" customWidth="1"/>
    <col min="10500" max="10503" width="17.125" style="209" customWidth="1"/>
    <col min="10504" max="10504" width="10" style="209" customWidth="1"/>
    <col min="10505" max="10506" width="0" style="209" hidden="1" customWidth="1"/>
    <col min="10507" max="10752" width="9" style="209"/>
    <col min="10753" max="10753" width="21.75" style="209" customWidth="1"/>
    <col min="10754" max="10754" width="18" style="209" customWidth="1"/>
    <col min="10755" max="10755" width="10" style="209" customWidth="1"/>
    <col min="10756" max="10759" width="17.125" style="209" customWidth="1"/>
    <col min="10760" max="10760" width="10" style="209" customWidth="1"/>
    <col min="10761" max="10762" width="0" style="209" hidden="1" customWidth="1"/>
    <col min="10763" max="11008" width="9" style="209"/>
    <col min="11009" max="11009" width="21.75" style="209" customWidth="1"/>
    <col min="11010" max="11010" width="18" style="209" customWidth="1"/>
    <col min="11011" max="11011" width="10" style="209" customWidth="1"/>
    <col min="11012" max="11015" width="17.125" style="209" customWidth="1"/>
    <col min="11016" max="11016" width="10" style="209" customWidth="1"/>
    <col min="11017" max="11018" width="0" style="209" hidden="1" customWidth="1"/>
    <col min="11019" max="11264" width="9" style="209"/>
    <col min="11265" max="11265" width="21.75" style="209" customWidth="1"/>
    <col min="11266" max="11266" width="18" style="209" customWidth="1"/>
    <col min="11267" max="11267" width="10" style="209" customWidth="1"/>
    <col min="11268" max="11271" width="17.125" style="209" customWidth="1"/>
    <col min="11272" max="11272" width="10" style="209" customWidth="1"/>
    <col min="11273" max="11274" width="0" style="209" hidden="1" customWidth="1"/>
    <col min="11275" max="11520" width="9" style="209"/>
    <col min="11521" max="11521" width="21.75" style="209" customWidth="1"/>
    <col min="11522" max="11522" width="18" style="209" customWidth="1"/>
    <col min="11523" max="11523" width="10" style="209" customWidth="1"/>
    <col min="11524" max="11527" width="17.125" style="209" customWidth="1"/>
    <col min="11528" max="11528" width="10" style="209" customWidth="1"/>
    <col min="11529" max="11530" width="0" style="209" hidden="1" customWidth="1"/>
    <col min="11531" max="11776" width="9" style="209"/>
    <col min="11777" max="11777" width="21.75" style="209" customWidth="1"/>
    <col min="11778" max="11778" width="18" style="209" customWidth="1"/>
    <col min="11779" max="11779" width="10" style="209" customWidth="1"/>
    <col min="11780" max="11783" width="17.125" style="209" customWidth="1"/>
    <col min="11784" max="11784" width="10" style="209" customWidth="1"/>
    <col min="11785" max="11786" width="0" style="209" hidden="1" customWidth="1"/>
    <col min="11787" max="12032" width="9" style="209"/>
    <col min="12033" max="12033" width="21.75" style="209" customWidth="1"/>
    <col min="12034" max="12034" width="18" style="209" customWidth="1"/>
    <col min="12035" max="12035" width="10" style="209" customWidth="1"/>
    <col min="12036" max="12039" width="17.125" style="209" customWidth="1"/>
    <col min="12040" max="12040" width="10" style="209" customWidth="1"/>
    <col min="12041" max="12042" width="0" style="209" hidden="1" customWidth="1"/>
    <col min="12043" max="12288" width="9" style="209"/>
    <col min="12289" max="12289" width="21.75" style="209" customWidth="1"/>
    <col min="12290" max="12290" width="18" style="209" customWidth="1"/>
    <col min="12291" max="12291" width="10" style="209" customWidth="1"/>
    <col min="12292" max="12295" width="17.125" style="209" customWidth="1"/>
    <col min="12296" max="12296" width="10" style="209" customWidth="1"/>
    <col min="12297" max="12298" width="0" style="209" hidden="1" customWidth="1"/>
    <col min="12299" max="12544" width="9" style="209"/>
    <col min="12545" max="12545" width="21.75" style="209" customWidth="1"/>
    <col min="12546" max="12546" width="18" style="209" customWidth="1"/>
    <col min="12547" max="12547" width="10" style="209" customWidth="1"/>
    <col min="12548" max="12551" width="17.125" style="209" customWidth="1"/>
    <col min="12552" max="12552" width="10" style="209" customWidth="1"/>
    <col min="12553" max="12554" width="0" style="209" hidden="1" customWidth="1"/>
    <col min="12555" max="12800" width="9" style="209"/>
    <col min="12801" max="12801" width="21.75" style="209" customWidth="1"/>
    <col min="12802" max="12802" width="18" style="209" customWidth="1"/>
    <col min="12803" max="12803" width="10" style="209" customWidth="1"/>
    <col min="12804" max="12807" width="17.125" style="209" customWidth="1"/>
    <col min="12808" max="12808" width="10" style="209" customWidth="1"/>
    <col min="12809" max="12810" width="0" style="209" hidden="1" customWidth="1"/>
    <col min="12811" max="13056" width="9" style="209"/>
    <col min="13057" max="13057" width="21.75" style="209" customWidth="1"/>
    <col min="13058" max="13058" width="18" style="209" customWidth="1"/>
    <col min="13059" max="13059" width="10" style="209" customWidth="1"/>
    <col min="13060" max="13063" width="17.125" style="209" customWidth="1"/>
    <col min="13064" max="13064" width="10" style="209" customWidth="1"/>
    <col min="13065" max="13066" width="0" style="209" hidden="1" customWidth="1"/>
    <col min="13067" max="13312" width="9" style="209"/>
    <col min="13313" max="13313" width="21.75" style="209" customWidth="1"/>
    <col min="13314" max="13314" width="18" style="209" customWidth="1"/>
    <col min="13315" max="13315" width="10" style="209" customWidth="1"/>
    <col min="13316" max="13319" width="17.125" style="209" customWidth="1"/>
    <col min="13320" max="13320" width="10" style="209" customWidth="1"/>
    <col min="13321" max="13322" width="0" style="209" hidden="1" customWidth="1"/>
    <col min="13323" max="13568" width="9" style="209"/>
    <col min="13569" max="13569" width="21.75" style="209" customWidth="1"/>
    <col min="13570" max="13570" width="18" style="209" customWidth="1"/>
    <col min="13571" max="13571" width="10" style="209" customWidth="1"/>
    <col min="13572" max="13575" width="17.125" style="209" customWidth="1"/>
    <col min="13576" max="13576" width="10" style="209" customWidth="1"/>
    <col min="13577" max="13578" width="0" style="209" hidden="1" customWidth="1"/>
    <col min="13579" max="13824" width="9" style="209"/>
    <col min="13825" max="13825" width="21.75" style="209" customWidth="1"/>
    <col min="13826" max="13826" width="18" style="209" customWidth="1"/>
    <col min="13827" max="13827" width="10" style="209" customWidth="1"/>
    <col min="13828" max="13831" width="17.125" style="209" customWidth="1"/>
    <col min="13832" max="13832" width="10" style="209" customWidth="1"/>
    <col min="13833" max="13834" width="0" style="209" hidden="1" customWidth="1"/>
    <col min="13835" max="14080" width="9" style="209"/>
    <col min="14081" max="14081" width="21.75" style="209" customWidth="1"/>
    <col min="14082" max="14082" width="18" style="209" customWidth="1"/>
    <col min="14083" max="14083" width="10" style="209" customWidth="1"/>
    <col min="14084" max="14087" width="17.125" style="209" customWidth="1"/>
    <col min="14088" max="14088" width="10" style="209" customWidth="1"/>
    <col min="14089" max="14090" width="0" style="209" hidden="1" customWidth="1"/>
    <col min="14091" max="14336" width="9" style="209"/>
    <col min="14337" max="14337" width="21.75" style="209" customWidth="1"/>
    <col min="14338" max="14338" width="18" style="209" customWidth="1"/>
    <col min="14339" max="14339" width="10" style="209" customWidth="1"/>
    <col min="14340" max="14343" width="17.125" style="209" customWidth="1"/>
    <col min="14344" max="14344" width="10" style="209" customWidth="1"/>
    <col min="14345" max="14346" width="0" style="209" hidden="1" customWidth="1"/>
    <col min="14347" max="14592" width="9" style="209"/>
    <col min="14593" max="14593" width="21.75" style="209" customWidth="1"/>
    <col min="14594" max="14594" width="18" style="209" customWidth="1"/>
    <col min="14595" max="14595" width="10" style="209" customWidth="1"/>
    <col min="14596" max="14599" width="17.125" style="209" customWidth="1"/>
    <col min="14600" max="14600" width="10" style="209" customWidth="1"/>
    <col min="14601" max="14602" width="0" style="209" hidden="1" customWidth="1"/>
    <col min="14603" max="14848" width="9" style="209"/>
    <col min="14849" max="14849" width="21.75" style="209" customWidth="1"/>
    <col min="14850" max="14850" width="18" style="209" customWidth="1"/>
    <col min="14851" max="14851" width="10" style="209" customWidth="1"/>
    <col min="14852" max="14855" width="17.125" style="209" customWidth="1"/>
    <col min="14856" max="14856" width="10" style="209" customWidth="1"/>
    <col min="14857" max="14858" width="0" style="209" hidden="1" customWidth="1"/>
    <col min="14859" max="15104" width="9" style="209"/>
    <col min="15105" max="15105" width="21.75" style="209" customWidth="1"/>
    <col min="15106" max="15106" width="18" style="209" customWidth="1"/>
    <col min="15107" max="15107" width="10" style="209" customWidth="1"/>
    <col min="15108" max="15111" width="17.125" style="209" customWidth="1"/>
    <col min="15112" max="15112" width="10" style="209" customWidth="1"/>
    <col min="15113" max="15114" width="0" style="209" hidden="1" customWidth="1"/>
    <col min="15115" max="15360" width="9" style="209"/>
    <col min="15361" max="15361" width="21.75" style="209" customWidth="1"/>
    <col min="15362" max="15362" width="18" style="209" customWidth="1"/>
    <col min="15363" max="15363" width="10" style="209" customWidth="1"/>
    <col min="15364" max="15367" width="17.125" style="209" customWidth="1"/>
    <col min="15368" max="15368" width="10" style="209" customWidth="1"/>
    <col min="15369" max="15370" width="0" style="209" hidden="1" customWidth="1"/>
    <col min="15371" max="15616" width="9" style="209"/>
    <col min="15617" max="15617" width="21.75" style="209" customWidth="1"/>
    <col min="15618" max="15618" width="18" style="209" customWidth="1"/>
    <col min="15619" max="15619" width="10" style="209" customWidth="1"/>
    <col min="15620" max="15623" width="17.125" style="209" customWidth="1"/>
    <col min="15624" max="15624" width="10" style="209" customWidth="1"/>
    <col min="15625" max="15626" width="0" style="209" hidden="1" customWidth="1"/>
    <col min="15627" max="15872" width="9" style="209"/>
    <col min="15873" max="15873" width="21.75" style="209" customWidth="1"/>
    <col min="15874" max="15874" width="18" style="209" customWidth="1"/>
    <col min="15875" max="15875" width="10" style="209" customWidth="1"/>
    <col min="15876" max="15879" width="17.125" style="209" customWidth="1"/>
    <col min="15880" max="15880" width="10" style="209" customWidth="1"/>
    <col min="15881" max="15882" width="0" style="209" hidden="1" customWidth="1"/>
    <col min="15883" max="16128" width="9" style="209"/>
    <col min="16129" max="16129" width="21.75" style="209" customWidth="1"/>
    <col min="16130" max="16130" width="18" style="209" customWidth="1"/>
    <col min="16131" max="16131" width="10" style="209" customWidth="1"/>
    <col min="16132" max="16135" width="17.125" style="209" customWidth="1"/>
    <col min="16136" max="16136" width="10" style="209" customWidth="1"/>
    <col min="16137" max="16138" width="0" style="209" hidden="1" customWidth="1"/>
    <col min="16139" max="16384" width="9" style="209"/>
  </cols>
  <sheetData>
    <row r="1" spans="1:10" ht="24" customHeight="1">
      <c r="A1" s="206" t="s">
        <v>2548</v>
      </c>
    </row>
    <row r="2" spans="1:10" ht="24" customHeight="1">
      <c r="A2" s="210" t="s">
        <v>2549</v>
      </c>
      <c r="B2" s="210" t="s">
        <v>13</v>
      </c>
      <c r="C2" s="211" t="s">
        <v>2501</v>
      </c>
      <c r="D2" s="211" t="s">
        <v>1078</v>
      </c>
      <c r="E2" s="211" t="s">
        <v>1079</v>
      </c>
      <c r="F2" s="211" t="s">
        <v>1080</v>
      </c>
      <c r="G2" s="211" t="s">
        <v>1081</v>
      </c>
      <c r="H2" s="210" t="s">
        <v>1082</v>
      </c>
    </row>
    <row r="3" spans="1:10" ht="24" customHeight="1">
      <c r="A3" s="218" t="s">
        <v>2205</v>
      </c>
      <c r="B3" s="218" t="s">
        <v>2509</v>
      </c>
      <c r="C3" s="213" t="s">
        <v>2550</v>
      </c>
      <c r="D3" s="232"/>
      <c r="E3" s="217"/>
      <c r="F3" s="217"/>
      <c r="G3" s="232"/>
      <c r="H3" s="215" t="s">
        <v>68</v>
      </c>
      <c r="I3" s="209" t="s">
        <v>68</v>
      </c>
      <c r="J3" s="209" t="s">
        <v>2511</v>
      </c>
    </row>
    <row r="4" spans="1:10" ht="24" customHeight="1">
      <c r="A4" s="218" t="s">
        <v>1229</v>
      </c>
      <c r="B4" s="218" t="s">
        <v>1230</v>
      </c>
      <c r="C4" s="213" t="s">
        <v>2550</v>
      </c>
      <c r="D4" s="232"/>
      <c r="E4" s="217"/>
      <c r="F4" s="217"/>
      <c r="G4" s="232"/>
      <c r="H4" s="215" t="s">
        <v>68</v>
      </c>
      <c r="I4" s="209" t="s">
        <v>68</v>
      </c>
      <c r="J4" s="209" t="s">
        <v>2529</v>
      </c>
    </row>
    <row r="5" spans="1:10" ht="24" customHeight="1">
      <c r="A5" s="218" t="s">
        <v>2199</v>
      </c>
      <c r="B5" s="218" t="s">
        <v>2200</v>
      </c>
      <c r="C5" s="213" t="s">
        <v>2550</v>
      </c>
      <c r="D5" s="232"/>
      <c r="E5" s="217"/>
      <c r="F5" s="217"/>
      <c r="G5" s="232"/>
      <c r="H5" s="215" t="s">
        <v>68</v>
      </c>
      <c r="I5" s="209" t="s">
        <v>68</v>
      </c>
      <c r="J5" s="209" t="s">
        <v>2533</v>
      </c>
    </row>
    <row r="6" spans="1:10" ht="24" customHeight="1">
      <c r="A6" s="218" t="s">
        <v>2213</v>
      </c>
      <c r="B6" s="218" t="s">
        <v>2214</v>
      </c>
      <c r="C6" s="213" t="s">
        <v>2550</v>
      </c>
      <c r="D6" s="232"/>
      <c r="E6" s="217"/>
      <c r="F6" s="217"/>
      <c r="G6" s="232"/>
      <c r="H6" s="215" t="s">
        <v>68</v>
      </c>
      <c r="I6" s="209" t="s">
        <v>68</v>
      </c>
      <c r="J6" s="209" t="s">
        <v>2542</v>
      </c>
    </row>
    <row r="7" spans="1:10" ht="24" customHeight="1">
      <c r="A7" s="218" t="s">
        <v>2202</v>
      </c>
      <c r="B7" s="218" t="s">
        <v>2203</v>
      </c>
      <c r="C7" s="213" t="s">
        <v>2550</v>
      </c>
      <c r="D7" s="232"/>
      <c r="E7" s="217"/>
      <c r="F7" s="217"/>
      <c r="G7" s="232"/>
      <c r="H7" s="215" t="s">
        <v>68</v>
      </c>
      <c r="I7" s="209" t="s">
        <v>68</v>
      </c>
      <c r="J7" s="209" t="s">
        <v>2546</v>
      </c>
    </row>
    <row r="8" spans="1:10" ht="24" customHeight="1">
      <c r="A8" s="218" t="s">
        <v>2520</v>
      </c>
      <c r="B8" s="218" t="s">
        <v>1946</v>
      </c>
      <c r="C8" s="213" t="s">
        <v>1286</v>
      </c>
      <c r="D8" s="232"/>
      <c r="E8" s="217"/>
      <c r="F8" s="217"/>
      <c r="G8" s="232"/>
      <c r="H8" s="215" t="s">
        <v>2551</v>
      </c>
      <c r="I8" s="209" t="s">
        <v>2522</v>
      </c>
      <c r="J8" s="209" t="s">
        <v>2524</v>
      </c>
    </row>
    <row r="9" spans="1:10" ht="24" customHeight="1">
      <c r="A9" s="218" t="s">
        <v>2537</v>
      </c>
      <c r="B9" s="218" t="s">
        <v>1946</v>
      </c>
      <c r="C9" s="213" t="s">
        <v>1286</v>
      </c>
      <c r="D9" s="232"/>
      <c r="E9" s="217"/>
      <c r="F9" s="217"/>
      <c r="G9" s="232"/>
      <c r="H9" s="215" t="s">
        <v>2551</v>
      </c>
      <c r="I9" s="209" t="s">
        <v>2538</v>
      </c>
      <c r="J9" s="209" t="s">
        <v>2539</v>
      </c>
    </row>
    <row r="10" spans="1:10" ht="24" customHeight="1">
      <c r="A10" s="218" t="s">
        <v>2535</v>
      </c>
      <c r="B10" s="218" t="s">
        <v>68</v>
      </c>
      <c r="C10" s="213" t="s">
        <v>2155</v>
      </c>
      <c r="D10" s="232"/>
      <c r="E10" s="217"/>
      <c r="F10" s="217"/>
      <c r="G10" s="232"/>
      <c r="H10" s="215" t="s">
        <v>2552</v>
      </c>
      <c r="I10" s="209" t="s">
        <v>68</v>
      </c>
      <c r="J10" s="209" t="s">
        <v>2536</v>
      </c>
    </row>
    <row r="11" spans="1:10" ht="24" customHeight="1">
      <c r="A11" s="218" t="s">
        <v>2514</v>
      </c>
      <c r="B11" s="218" t="s">
        <v>68</v>
      </c>
      <c r="C11" s="213" t="s">
        <v>2155</v>
      </c>
      <c r="D11" s="232"/>
      <c r="E11" s="217"/>
      <c r="F11" s="217"/>
      <c r="G11" s="232"/>
      <c r="H11" s="215" t="s">
        <v>2552</v>
      </c>
      <c r="I11" s="209" t="s">
        <v>68</v>
      </c>
      <c r="J11" s="209" t="s">
        <v>2516</v>
      </c>
    </row>
  </sheetData>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131</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9"/>
  <sheetViews>
    <sheetView topLeftCell="A66" workbookViewId="0">
      <selection activeCell="D169" sqref="D169"/>
    </sheetView>
  </sheetViews>
  <sheetFormatPr defaultRowHeight="24" customHeight="1"/>
  <cols>
    <col min="1" max="2" width="26.125" style="226" customWidth="1"/>
    <col min="3" max="3" width="24.75" style="208" customWidth="1"/>
    <col min="4" max="4" width="26.125" style="209" customWidth="1"/>
    <col min="5" max="5" width="26.125" style="208" customWidth="1"/>
    <col min="6" max="14" width="0" style="209" hidden="1" customWidth="1"/>
    <col min="15" max="256" width="9" style="209"/>
    <col min="257" max="258" width="26.125" style="209" customWidth="1"/>
    <col min="259" max="259" width="24.75" style="209" customWidth="1"/>
    <col min="260" max="261" width="26.125" style="209" customWidth="1"/>
    <col min="262" max="270" width="0" style="209" hidden="1" customWidth="1"/>
    <col min="271" max="512" width="9" style="209"/>
    <col min="513" max="514" width="26.125" style="209" customWidth="1"/>
    <col min="515" max="515" width="24.75" style="209" customWidth="1"/>
    <col min="516" max="517" width="26.125" style="209" customWidth="1"/>
    <col min="518" max="526" width="0" style="209" hidden="1" customWidth="1"/>
    <col min="527" max="768" width="9" style="209"/>
    <col min="769" max="770" width="26.125" style="209" customWidth="1"/>
    <col min="771" max="771" width="24.75" style="209" customWidth="1"/>
    <col min="772" max="773" width="26.125" style="209" customWidth="1"/>
    <col min="774" max="782" width="0" style="209" hidden="1" customWidth="1"/>
    <col min="783" max="1024" width="9" style="209"/>
    <col min="1025" max="1026" width="26.125" style="209" customWidth="1"/>
    <col min="1027" max="1027" width="24.75" style="209" customWidth="1"/>
    <col min="1028" max="1029" width="26.125" style="209" customWidth="1"/>
    <col min="1030" max="1038" width="0" style="209" hidden="1" customWidth="1"/>
    <col min="1039" max="1280" width="9" style="209"/>
    <col min="1281" max="1282" width="26.125" style="209" customWidth="1"/>
    <col min="1283" max="1283" width="24.75" style="209" customWidth="1"/>
    <col min="1284" max="1285" width="26.125" style="209" customWidth="1"/>
    <col min="1286" max="1294" width="0" style="209" hidden="1" customWidth="1"/>
    <col min="1295" max="1536" width="9" style="209"/>
    <col min="1537" max="1538" width="26.125" style="209" customWidth="1"/>
    <col min="1539" max="1539" width="24.75" style="209" customWidth="1"/>
    <col min="1540" max="1541" width="26.125" style="209" customWidth="1"/>
    <col min="1542" max="1550" width="0" style="209" hidden="1" customWidth="1"/>
    <col min="1551" max="1792" width="9" style="209"/>
    <col min="1793" max="1794" width="26.125" style="209" customWidth="1"/>
    <col min="1795" max="1795" width="24.75" style="209" customWidth="1"/>
    <col min="1796" max="1797" width="26.125" style="209" customWidth="1"/>
    <col min="1798" max="1806" width="0" style="209" hidden="1" customWidth="1"/>
    <col min="1807" max="2048" width="9" style="209"/>
    <col min="2049" max="2050" width="26.125" style="209" customWidth="1"/>
    <col min="2051" max="2051" width="24.75" style="209" customWidth="1"/>
    <col min="2052" max="2053" width="26.125" style="209" customWidth="1"/>
    <col min="2054" max="2062" width="0" style="209" hidden="1" customWidth="1"/>
    <col min="2063" max="2304" width="9" style="209"/>
    <col min="2305" max="2306" width="26.125" style="209" customWidth="1"/>
    <col min="2307" max="2307" width="24.75" style="209" customWidth="1"/>
    <col min="2308" max="2309" width="26.125" style="209" customWidth="1"/>
    <col min="2310" max="2318" width="0" style="209" hidden="1" customWidth="1"/>
    <col min="2319" max="2560" width="9" style="209"/>
    <col min="2561" max="2562" width="26.125" style="209" customWidth="1"/>
    <col min="2563" max="2563" width="24.75" style="209" customWidth="1"/>
    <col min="2564" max="2565" width="26.125" style="209" customWidth="1"/>
    <col min="2566" max="2574" width="0" style="209" hidden="1" customWidth="1"/>
    <col min="2575" max="2816" width="9" style="209"/>
    <col min="2817" max="2818" width="26.125" style="209" customWidth="1"/>
    <col min="2819" max="2819" width="24.75" style="209" customWidth="1"/>
    <col min="2820" max="2821" width="26.125" style="209" customWidth="1"/>
    <col min="2822" max="2830" width="0" style="209" hidden="1" customWidth="1"/>
    <col min="2831" max="3072" width="9" style="209"/>
    <col min="3073" max="3074" width="26.125" style="209" customWidth="1"/>
    <col min="3075" max="3075" width="24.75" style="209" customWidth="1"/>
    <col min="3076" max="3077" width="26.125" style="209" customWidth="1"/>
    <col min="3078" max="3086" width="0" style="209" hidden="1" customWidth="1"/>
    <col min="3087" max="3328" width="9" style="209"/>
    <col min="3329" max="3330" width="26.125" style="209" customWidth="1"/>
    <col min="3331" max="3331" width="24.75" style="209" customWidth="1"/>
    <col min="3332" max="3333" width="26.125" style="209" customWidth="1"/>
    <col min="3334" max="3342" width="0" style="209" hidden="1" customWidth="1"/>
    <col min="3343" max="3584" width="9" style="209"/>
    <col min="3585" max="3586" width="26.125" style="209" customWidth="1"/>
    <col min="3587" max="3587" width="24.75" style="209" customWidth="1"/>
    <col min="3588" max="3589" width="26.125" style="209" customWidth="1"/>
    <col min="3590" max="3598" width="0" style="209" hidden="1" customWidth="1"/>
    <col min="3599" max="3840" width="9" style="209"/>
    <col min="3841" max="3842" width="26.125" style="209" customWidth="1"/>
    <col min="3843" max="3843" width="24.75" style="209" customWidth="1"/>
    <col min="3844" max="3845" width="26.125" style="209" customWidth="1"/>
    <col min="3846" max="3854" width="0" style="209" hidden="1" customWidth="1"/>
    <col min="3855" max="4096" width="9" style="209"/>
    <col min="4097" max="4098" width="26.125" style="209" customWidth="1"/>
    <col min="4099" max="4099" width="24.75" style="209" customWidth="1"/>
    <col min="4100" max="4101" width="26.125" style="209" customWidth="1"/>
    <col min="4102" max="4110" width="0" style="209" hidden="1" customWidth="1"/>
    <col min="4111" max="4352" width="9" style="209"/>
    <col min="4353" max="4354" width="26.125" style="209" customWidth="1"/>
    <col min="4355" max="4355" width="24.75" style="209" customWidth="1"/>
    <col min="4356" max="4357" width="26.125" style="209" customWidth="1"/>
    <col min="4358" max="4366" width="0" style="209" hidden="1" customWidth="1"/>
    <col min="4367" max="4608" width="9" style="209"/>
    <col min="4609" max="4610" width="26.125" style="209" customWidth="1"/>
    <col min="4611" max="4611" width="24.75" style="209" customWidth="1"/>
    <col min="4612" max="4613" width="26.125" style="209" customWidth="1"/>
    <col min="4614" max="4622" width="0" style="209" hidden="1" customWidth="1"/>
    <col min="4623" max="4864" width="9" style="209"/>
    <col min="4865" max="4866" width="26.125" style="209" customWidth="1"/>
    <col min="4867" max="4867" width="24.75" style="209" customWidth="1"/>
    <col min="4868" max="4869" width="26.125" style="209" customWidth="1"/>
    <col min="4870" max="4878" width="0" style="209" hidden="1" customWidth="1"/>
    <col min="4879" max="5120" width="9" style="209"/>
    <col min="5121" max="5122" width="26.125" style="209" customWidth="1"/>
    <col min="5123" max="5123" width="24.75" style="209" customWidth="1"/>
    <col min="5124" max="5125" width="26.125" style="209" customWidth="1"/>
    <col min="5126" max="5134" width="0" style="209" hidden="1" customWidth="1"/>
    <col min="5135" max="5376" width="9" style="209"/>
    <col min="5377" max="5378" width="26.125" style="209" customWidth="1"/>
    <col min="5379" max="5379" width="24.75" style="209" customWidth="1"/>
    <col min="5380" max="5381" width="26.125" style="209" customWidth="1"/>
    <col min="5382" max="5390" width="0" style="209" hidden="1" customWidth="1"/>
    <col min="5391" max="5632" width="9" style="209"/>
    <col min="5633" max="5634" width="26.125" style="209" customWidth="1"/>
    <col min="5635" max="5635" width="24.75" style="209" customWidth="1"/>
    <col min="5636" max="5637" width="26.125" style="209" customWidth="1"/>
    <col min="5638" max="5646" width="0" style="209" hidden="1" customWidth="1"/>
    <col min="5647" max="5888" width="9" style="209"/>
    <col min="5889" max="5890" width="26.125" style="209" customWidth="1"/>
    <col min="5891" max="5891" width="24.75" style="209" customWidth="1"/>
    <col min="5892" max="5893" width="26.125" style="209" customWidth="1"/>
    <col min="5894" max="5902" width="0" style="209" hidden="1" customWidth="1"/>
    <col min="5903" max="6144" width="9" style="209"/>
    <col min="6145" max="6146" width="26.125" style="209" customWidth="1"/>
    <col min="6147" max="6147" width="24.75" style="209" customWidth="1"/>
    <col min="6148" max="6149" width="26.125" style="209" customWidth="1"/>
    <col min="6150" max="6158" width="0" style="209" hidden="1" customWidth="1"/>
    <col min="6159" max="6400" width="9" style="209"/>
    <col min="6401" max="6402" width="26.125" style="209" customWidth="1"/>
    <col min="6403" max="6403" width="24.75" style="209" customWidth="1"/>
    <col min="6404" max="6405" width="26.125" style="209" customWidth="1"/>
    <col min="6406" max="6414" width="0" style="209" hidden="1" customWidth="1"/>
    <col min="6415" max="6656" width="9" style="209"/>
    <col min="6657" max="6658" width="26.125" style="209" customWidth="1"/>
    <col min="6659" max="6659" width="24.75" style="209" customWidth="1"/>
    <col min="6660" max="6661" width="26.125" style="209" customWidth="1"/>
    <col min="6662" max="6670" width="0" style="209" hidden="1" customWidth="1"/>
    <col min="6671" max="6912" width="9" style="209"/>
    <col min="6913" max="6914" width="26.125" style="209" customWidth="1"/>
    <col min="6915" max="6915" width="24.75" style="209" customWidth="1"/>
    <col min="6916" max="6917" width="26.125" style="209" customWidth="1"/>
    <col min="6918" max="6926" width="0" style="209" hidden="1" customWidth="1"/>
    <col min="6927" max="7168" width="9" style="209"/>
    <col min="7169" max="7170" width="26.125" style="209" customWidth="1"/>
    <col min="7171" max="7171" width="24.75" style="209" customWidth="1"/>
    <col min="7172" max="7173" width="26.125" style="209" customWidth="1"/>
    <col min="7174" max="7182" width="0" style="209" hidden="1" customWidth="1"/>
    <col min="7183" max="7424" width="9" style="209"/>
    <col min="7425" max="7426" width="26.125" style="209" customWidth="1"/>
    <col min="7427" max="7427" width="24.75" style="209" customWidth="1"/>
    <col min="7428" max="7429" width="26.125" style="209" customWidth="1"/>
    <col min="7430" max="7438" width="0" style="209" hidden="1" customWidth="1"/>
    <col min="7439" max="7680" width="9" style="209"/>
    <col min="7681" max="7682" width="26.125" style="209" customWidth="1"/>
    <col min="7683" max="7683" width="24.75" style="209" customWidth="1"/>
    <col min="7684" max="7685" width="26.125" style="209" customWidth="1"/>
    <col min="7686" max="7694" width="0" style="209" hidden="1" customWidth="1"/>
    <col min="7695" max="7936" width="9" style="209"/>
    <col min="7937" max="7938" width="26.125" style="209" customWidth="1"/>
    <col min="7939" max="7939" width="24.75" style="209" customWidth="1"/>
    <col min="7940" max="7941" width="26.125" style="209" customWidth="1"/>
    <col min="7942" max="7950" width="0" style="209" hidden="1" customWidth="1"/>
    <col min="7951" max="8192" width="9" style="209"/>
    <col min="8193" max="8194" width="26.125" style="209" customWidth="1"/>
    <col min="8195" max="8195" width="24.75" style="209" customWidth="1"/>
    <col min="8196" max="8197" width="26.125" style="209" customWidth="1"/>
    <col min="8198" max="8206" width="0" style="209" hidden="1" customWidth="1"/>
    <col min="8207" max="8448" width="9" style="209"/>
    <col min="8449" max="8450" width="26.125" style="209" customWidth="1"/>
    <col min="8451" max="8451" width="24.75" style="209" customWidth="1"/>
    <col min="8452" max="8453" width="26.125" style="209" customWidth="1"/>
    <col min="8454" max="8462" width="0" style="209" hidden="1" customWidth="1"/>
    <col min="8463" max="8704" width="9" style="209"/>
    <col min="8705" max="8706" width="26.125" style="209" customWidth="1"/>
    <col min="8707" max="8707" width="24.75" style="209" customWidth="1"/>
    <col min="8708" max="8709" width="26.125" style="209" customWidth="1"/>
    <col min="8710" max="8718" width="0" style="209" hidden="1" customWidth="1"/>
    <col min="8719" max="8960" width="9" style="209"/>
    <col min="8961" max="8962" width="26.125" style="209" customWidth="1"/>
    <col min="8963" max="8963" width="24.75" style="209" customWidth="1"/>
    <col min="8964" max="8965" width="26.125" style="209" customWidth="1"/>
    <col min="8966" max="8974" width="0" style="209" hidden="1" customWidth="1"/>
    <col min="8975" max="9216" width="9" style="209"/>
    <col min="9217" max="9218" width="26.125" style="209" customWidth="1"/>
    <col min="9219" max="9219" width="24.75" style="209" customWidth="1"/>
    <col min="9220" max="9221" width="26.125" style="209" customWidth="1"/>
    <col min="9222" max="9230" width="0" style="209" hidden="1" customWidth="1"/>
    <col min="9231" max="9472" width="9" style="209"/>
    <col min="9473" max="9474" width="26.125" style="209" customWidth="1"/>
    <col min="9475" max="9475" width="24.75" style="209" customWidth="1"/>
    <col min="9476" max="9477" width="26.125" style="209" customWidth="1"/>
    <col min="9478" max="9486" width="0" style="209" hidden="1" customWidth="1"/>
    <col min="9487" max="9728" width="9" style="209"/>
    <col min="9729" max="9730" width="26.125" style="209" customWidth="1"/>
    <col min="9731" max="9731" width="24.75" style="209" customWidth="1"/>
    <col min="9732" max="9733" width="26.125" style="209" customWidth="1"/>
    <col min="9734" max="9742" width="0" style="209" hidden="1" customWidth="1"/>
    <col min="9743" max="9984" width="9" style="209"/>
    <col min="9985" max="9986" width="26.125" style="209" customWidth="1"/>
    <col min="9987" max="9987" width="24.75" style="209" customWidth="1"/>
    <col min="9988" max="9989" width="26.125" style="209" customWidth="1"/>
    <col min="9990" max="9998" width="0" style="209" hidden="1" customWidth="1"/>
    <col min="9999" max="10240" width="9" style="209"/>
    <col min="10241" max="10242" width="26.125" style="209" customWidth="1"/>
    <col min="10243" max="10243" width="24.75" style="209" customWidth="1"/>
    <col min="10244" max="10245" width="26.125" style="209" customWidth="1"/>
    <col min="10246" max="10254" width="0" style="209" hidden="1" customWidth="1"/>
    <col min="10255" max="10496" width="9" style="209"/>
    <col min="10497" max="10498" width="26.125" style="209" customWidth="1"/>
    <col min="10499" max="10499" width="24.75" style="209" customWidth="1"/>
    <col min="10500" max="10501" width="26.125" style="209" customWidth="1"/>
    <col min="10502" max="10510" width="0" style="209" hidden="1" customWidth="1"/>
    <col min="10511" max="10752" width="9" style="209"/>
    <col min="10753" max="10754" width="26.125" style="209" customWidth="1"/>
    <col min="10755" max="10755" width="24.75" style="209" customWidth="1"/>
    <col min="10756" max="10757" width="26.125" style="209" customWidth="1"/>
    <col min="10758" max="10766" width="0" style="209" hidden="1" customWidth="1"/>
    <col min="10767" max="11008" width="9" style="209"/>
    <col min="11009" max="11010" width="26.125" style="209" customWidth="1"/>
    <col min="11011" max="11011" width="24.75" style="209" customWidth="1"/>
    <col min="11012" max="11013" width="26.125" style="209" customWidth="1"/>
    <col min="11014" max="11022" width="0" style="209" hidden="1" customWidth="1"/>
    <col min="11023" max="11264" width="9" style="209"/>
    <col min="11265" max="11266" width="26.125" style="209" customWidth="1"/>
    <col min="11267" max="11267" width="24.75" style="209" customWidth="1"/>
    <col min="11268" max="11269" width="26.125" style="209" customWidth="1"/>
    <col min="11270" max="11278" width="0" style="209" hidden="1" customWidth="1"/>
    <col min="11279" max="11520" width="9" style="209"/>
    <col min="11521" max="11522" width="26.125" style="209" customWidth="1"/>
    <col min="11523" max="11523" width="24.75" style="209" customWidth="1"/>
    <col min="11524" max="11525" width="26.125" style="209" customWidth="1"/>
    <col min="11526" max="11534" width="0" style="209" hidden="1" customWidth="1"/>
    <col min="11535" max="11776" width="9" style="209"/>
    <col min="11777" max="11778" width="26.125" style="209" customWidth="1"/>
    <col min="11779" max="11779" width="24.75" style="209" customWidth="1"/>
    <col min="11780" max="11781" width="26.125" style="209" customWidth="1"/>
    <col min="11782" max="11790" width="0" style="209" hidden="1" customWidth="1"/>
    <col min="11791" max="12032" width="9" style="209"/>
    <col min="12033" max="12034" width="26.125" style="209" customWidth="1"/>
    <col min="12035" max="12035" width="24.75" style="209" customWidth="1"/>
    <col min="12036" max="12037" width="26.125" style="209" customWidth="1"/>
    <col min="12038" max="12046" width="0" style="209" hidden="1" customWidth="1"/>
    <col min="12047" max="12288" width="9" style="209"/>
    <col min="12289" max="12290" width="26.125" style="209" customWidth="1"/>
    <col min="12291" max="12291" width="24.75" style="209" customWidth="1"/>
    <col min="12292" max="12293" width="26.125" style="209" customWidth="1"/>
    <col min="12294" max="12302" width="0" style="209" hidden="1" customWidth="1"/>
    <col min="12303" max="12544" width="9" style="209"/>
    <col min="12545" max="12546" width="26.125" style="209" customWidth="1"/>
    <col min="12547" max="12547" width="24.75" style="209" customWidth="1"/>
    <col min="12548" max="12549" width="26.125" style="209" customWidth="1"/>
    <col min="12550" max="12558" width="0" style="209" hidden="1" customWidth="1"/>
    <col min="12559" max="12800" width="9" style="209"/>
    <col min="12801" max="12802" width="26.125" style="209" customWidth="1"/>
    <col min="12803" max="12803" width="24.75" style="209" customWidth="1"/>
    <col min="12804" max="12805" width="26.125" style="209" customWidth="1"/>
    <col min="12806" max="12814" width="0" style="209" hidden="1" customWidth="1"/>
    <col min="12815" max="13056" width="9" style="209"/>
    <col min="13057" max="13058" width="26.125" style="209" customWidth="1"/>
    <col min="13059" max="13059" width="24.75" style="209" customWidth="1"/>
    <col min="13060" max="13061" width="26.125" style="209" customWidth="1"/>
    <col min="13062" max="13070" width="0" style="209" hidden="1" customWidth="1"/>
    <col min="13071" max="13312" width="9" style="209"/>
    <col min="13313" max="13314" width="26.125" style="209" customWidth="1"/>
    <col min="13315" max="13315" width="24.75" style="209" customWidth="1"/>
    <col min="13316" max="13317" width="26.125" style="209" customWidth="1"/>
    <col min="13318" max="13326" width="0" style="209" hidden="1" customWidth="1"/>
    <col min="13327" max="13568" width="9" style="209"/>
    <col min="13569" max="13570" width="26.125" style="209" customWidth="1"/>
    <col min="13571" max="13571" width="24.75" style="209" customWidth="1"/>
    <col min="13572" max="13573" width="26.125" style="209" customWidth="1"/>
    <col min="13574" max="13582" width="0" style="209" hidden="1" customWidth="1"/>
    <col min="13583" max="13824" width="9" style="209"/>
    <col min="13825" max="13826" width="26.125" style="209" customWidth="1"/>
    <col min="13827" max="13827" width="24.75" style="209" customWidth="1"/>
    <col min="13828" max="13829" width="26.125" style="209" customWidth="1"/>
    <col min="13830" max="13838" width="0" style="209" hidden="1" customWidth="1"/>
    <col min="13839" max="14080" width="9" style="209"/>
    <col min="14081" max="14082" width="26.125" style="209" customWidth="1"/>
    <col min="14083" max="14083" width="24.75" style="209" customWidth="1"/>
    <col min="14084" max="14085" width="26.125" style="209" customWidth="1"/>
    <col min="14086" max="14094" width="0" style="209" hidden="1" customWidth="1"/>
    <col min="14095" max="14336" width="9" style="209"/>
    <col min="14337" max="14338" width="26.125" style="209" customWidth="1"/>
    <col min="14339" max="14339" width="24.75" style="209" customWidth="1"/>
    <col min="14340" max="14341" width="26.125" style="209" customWidth="1"/>
    <col min="14342" max="14350" width="0" style="209" hidden="1" customWidth="1"/>
    <col min="14351" max="14592" width="9" style="209"/>
    <col min="14593" max="14594" width="26.125" style="209" customWidth="1"/>
    <col min="14595" max="14595" width="24.75" style="209" customWidth="1"/>
    <col min="14596" max="14597" width="26.125" style="209" customWidth="1"/>
    <col min="14598" max="14606" width="0" style="209" hidden="1" customWidth="1"/>
    <col min="14607" max="14848" width="9" style="209"/>
    <col min="14849" max="14850" width="26.125" style="209" customWidth="1"/>
    <col min="14851" max="14851" width="24.75" style="209" customWidth="1"/>
    <col min="14852" max="14853" width="26.125" style="209" customWidth="1"/>
    <col min="14854" max="14862" width="0" style="209" hidden="1" customWidth="1"/>
    <col min="14863" max="15104" width="9" style="209"/>
    <col min="15105" max="15106" width="26.125" style="209" customWidth="1"/>
    <col min="15107" max="15107" width="24.75" style="209" customWidth="1"/>
    <col min="15108" max="15109" width="26.125" style="209" customWidth="1"/>
    <col min="15110" max="15118" width="0" style="209" hidden="1" customWidth="1"/>
    <col min="15119" max="15360" width="9" style="209"/>
    <col min="15361" max="15362" width="26.125" style="209" customWidth="1"/>
    <col min="15363" max="15363" width="24.75" style="209" customWidth="1"/>
    <col min="15364" max="15365" width="26.125" style="209" customWidth="1"/>
    <col min="15366" max="15374" width="0" style="209" hidden="1" customWidth="1"/>
    <col min="15375" max="15616" width="9" style="209"/>
    <col min="15617" max="15618" width="26.125" style="209" customWidth="1"/>
    <col min="15619" max="15619" width="24.75" style="209" customWidth="1"/>
    <col min="15620" max="15621" width="26.125" style="209" customWidth="1"/>
    <col min="15622" max="15630" width="0" style="209" hidden="1" customWidth="1"/>
    <col min="15631" max="15872" width="9" style="209"/>
    <col min="15873" max="15874" width="26.125" style="209" customWidth="1"/>
    <col min="15875" max="15875" width="24.75" style="209" customWidth="1"/>
    <col min="15876" max="15877" width="26.125" style="209" customWidth="1"/>
    <col min="15878" max="15886" width="0" style="209" hidden="1" customWidth="1"/>
    <col min="15887" max="16128" width="9" style="209"/>
    <col min="16129" max="16130" width="26.125" style="209" customWidth="1"/>
    <col min="16131" max="16131" width="24.75" style="209" customWidth="1"/>
    <col min="16132" max="16133" width="26.125" style="209" customWidth="1"/>
    <col min="16134" max="16142" width="0" style="209" hidden="1" customWidth="1"/>
    <col min="16143" max="16384" width="9" style="209"/>
  </cols>
  <sheetData>
    <row r="1" spans="1:8" ht="24" customHeight="1">
      <c r="A1" s="206" t="s">
        <v>2553</v>
      </c>
    </row>
    <row r="2" spans="1:8" ht="24" customHeight="1">
      <c r="A2" s="210" t="s">
        <v>2549</v>
      </c>
      <c r="B2" s="210" t="s">
        <v>13</v>
      </c>
      <c r="C2" s="211" t="s">
        <v>2554</v>
      </c>
      <c r="D2" s="211" t="s">
        <v>2555</v>
      </c>
      <c r="E2" s="210" t="s">
        <v>2556</v>
      </c>
    </row>
    <row r="3" spans="1:8" ht="24" customHeight="1">
      <c r="A3" s="218" t="s">
        <v>1930</v>
      </c>
      <c r="B3" s="218" t="s">
        <v>1931</v>
      </c>
      <c r="C3" s="213" t="s">
        <v>1932</v>
      </c>
      <c r="D3" s="217"/>
      <c r="E3" s="215" t="s">
        <v>2557</v>
      </c>
      <c r="F3" s="209" t="s">
        <v>68</v>
      </c>
      <c r="G3" s="209" t="s">
        <v>1933</v>
      </c>
      <c r="H3" s="209" t="s">
        <v>1933</v>
      </c>
    </row>
    <row r="4" spans="1:8" ht="24" customHeight="1">
      <c r="A4" s="218" t="s">
        <v>2086</v>
      </c>
      <c r="B4" s="218" t="s">
        <v>2087</v>
      </c>
      <c r="C4" s="213" t="s">
        <v>9</v>
      </c>
      <c r="D4" s="217"/>
      <c r="E4" s="215" t="s">
        <v>2558</v>
      </c>
      <c r="F4" s="209" t="s">
        <v>68</v>
      </c>
      <c r="G4" s="209" t="s">
        <v>2088</v>
      </c>
      <c r="H4" s="209" t="s">
        <v>2088</v>
      </c>
    </row>
    <row r="5" spans="1:8" ht="24" customHeight="1">
      <c r="A5" s="218" t="s">
        <v>2071</v>
      </c>
      <c r="B5" s="218" t="s">
        <v>2333</v>
      </c>
      <c r="C5" s="213" t="s">
        <v>1400</v>
      </c>
      <c r="D5" s="217"/>
      <c r="E5" s="215" t="s">
        <v>2559</v>
      </c>
      <c r="F5" s="209" t="s">
        <v>68</v>
      </c>
      <c r="G5" s="209" t="s">
        <v>2334</v>
      </c>
      <c r="H5" s="209" t="s">
        <v>2334</v>
      </c>
    </row>
    <row r="6" spans="1:8" ht="24" customHeight="1">
      <c r="A6" s="218" t="s">
        <v>2071</v>
      </c>
      <c r="B6" s="218" t="s">
        <v>2072</v>
      </c>
      <c r="C6" s="213" t="s">
        <v>1400</v>
      </c>
      <c r="D6" s="217"/>
      <c r="E6" s="215" t="s">
        <v>2559</v>
      </c>
      <c r="F6" s="209" t="s">
        <v>68</v>
      </c>
      <c r="G6" s="209" t="s">
        <v>2073</v>
      </c>
      <c r="H6" s="209" t="s">
        <v>2073</v>
      </c>
    </row>
    <row r="7" spans="1:8" ht="24" customHeight="1">
      <c r="A7" s="218" t="s">
        <v>2266</v>
      </c>
      <c r="B7" s="218" t="s">
        <v>2419</v>
      </c>
      <c r="C7" s="213" t="s">
        <v>1932</v>
      </c>
      <c r="D7" s="217"/>
      <c r="E7" s="215" t="s">
        <v>2560</v>
      </c>
      <c r="F7" s="209" t="s">
        <v>2420</v>
      </c>
      <c r="G7" s="209" t="s">
        <v>2421</v>
      </c>
      <c r="H7" s="209" t="s">
        <v>2421</v>
      </c>
    </row>
    <row r="8" spans="1:8" ht="24" customHeight="1">
      <c r="A8" s="218" t="s">
        <v>2266</v>
      </c>
      <c r="B8" s="218" t="s">
        <v>2267</v>
      </c>
      <c r="C8" s="213" t="s">
        <v>1932</v>
      </c>
      <c r="D8" s="217"/>
      <c r="E8" s="215" t="s">
        <v>2560</v>
      </c>
      <c r="F8" s="209" t="s">
        <v>2268</v>
      </c>
      <c r="G8" s="209" t="s">
        <v>2269</v>
      </c>
      <c r="H8" s="209" t="s">
        <v>2269</v>
      </c>
    </row>
    <row r="9" spans="1:8" ht="24" customHeight="1">
      <c r="A9" s="218" t="s">
        <v>2141</v>
      </c>
      <c r="B9" s="218" t="s">
        <v>2142</v>
      </c>
      <c r="C9" s="213" t="s">
        <v>2143</v>
      </c>
      <c r="D9" s="217"/>
      <c r="E9" s="215" t="s">
        <v>2561</v>
      </c>
      <c r="F9" s="209" t="s">
        <v>68</v>
      </c>
      <c r="G9" s="209" t="s">
        <v>2144</v>
      </c>
      <c r="H9" s="209" t="s">
        <v>2144</v>
      </c>
    </row>
    <row r="10" spans="1:8" ht="24" customHeight="1">
      <c r="A10" s="218" t="s">
        <v>2136</v>
      </c>
      <c r="B10" s="218" t="s">
        <v>2137</v>
      </c>
      <c r="C10" s="213" t="s">
        <v>2138</v>
      </c>
      <c r="D10" s="240"/>
      <c r="E10" s="215" t="s">
        <v>2562</v>
      </c>
      <c r="F10" s="209" t="s">
        <v>2139</v>
      </c>
      <c r="G10" s="209" t="s">
        <v>2140</v>
      </c>
      <c r="H10" s="209" t="s">
        <v>2140</v>
      </c>
    </row>
    <row r="11" spans="1:8" ht="24" customHeight="1">
      <c r="A11" s="218" t="s">
        <v>1983</v>
      </c>
      <c r="B11" s="218" t="s">
        <v>1984</v>
      </c>
      <c r="C11" s="213" t="s">
        <v>1979</v>
      </c>
      <c r="D11" s="217"/>
      <c r="E11" s="215" t="s">
        <v>2563</v>
      </c>
      <c r="F11" s="209" t="s">
        <v>68</v>
      </c>
      <c r="G11" s="209" t="s">
        <v>1985</v>
      </c>
      <c r="H11" s="209" t="s">
        <v>1985</v>
      </c>
    </row>
    <row r="12" spans="1:8" ht="24" customHeight="1">
      <c r="A12" s="218" t="s">
        <v>2439</v>
      </c>
      <c r="B12" s="218" t="s">
        <v>2440</v>
      </c>
      <c r="C12" s="213" t="s">
        <v>15</v>
      </c>
      <c r="D12" s="240"/>
      <c r="E12" s="215" t="s">
        <v>2564</v>
      </c>
      <c r="F12" s="209" t="s">
        <v>68</v>
      </c>
      <c r="G12" s="209" t="s">
        <v>2441</v>
      </c>
      <c r="H12" s="209" t="s">
        <v>2441</v>
      </c>
    </row>
    <row r="13" spans="1:8" ht="24" customHeight="1">
      <c r="A13" s="218" t="s">
        <v>2319</v>
      </c>
      <c r="B13" s="218" t="s">
        <v>2320</v>
      </c>
      <c r="C13" s="213" t="s">
        <v>2143</v>
      </c>
      <c r="D13" s="217"/>
      <c r="E13" s="215" t="s">
        <v>2565</v>
      </c>
      <c r="F13" s="209" t="s">
        <v>68</v>
      </c>
      <c r="G13" s="209" t="s">
        <v>2321</v>
      </c>
      <c r="H13" s="209" t="s">
        <v>2321</v>
      </c>
    </row>
    <row r="14" spans="1:8" ht="24" customHeight="1">
      <c r="A14" s="218" t="s">
        <v>2429</v>
      </c>
      <c r="B14" s="218" t="s">
        <v>2430</v>
      </c>
      <c r="C14" s="213" t="s">
        <v>1400</v>
      </c>
      <c r="D14" s="217"/>
      <c r="E14" s="215" t="s">
        <v>2566</v>
      </c>
      <c r="F14" s="209" t="s">
        <v>68</v>
      </c>
      <c r="G14" s="209" t="s">
        <v>2431</v>
      </c>
      <c r="H14" s="209" t="s">
        <v>2431</v>
      </c>
    </row>
    <row r="15" spans="1:8" ht="24" customHeight="1">
      <c r="A15" s="218" t="s">
        <v>2132</v>
      </c>
      <c r="B15" s="218" t="s">
        <v>68</v>
      </c>
      <c r="C15" s="213" t="s">
        <v>2133</v>
      </c>
      <c r="D15" s="217"/>
      <c r="E15" s="215" t="s">
        <v>2567</v>
      </c>
      <c r="F15" s="209" t="s">
        <v>68</v>
      </c>
      <c r="G15" s="209" t="s">
        <v>2134</v>
      </c>
      <c r="H15" s="209" t="s">
        <v>2134</v>
      </c>
    </row>
    <row r="16" spans="1:8" ht="24" customHeight="1">
      <c r="A16" s="218" t="s">
        <v>1977</v>
      </c>
      <c r="B16" s="218" t="s">
        <v>1978</v>
      </c>
      <c r="C16" s="213" t="s">
        <v>1979</v>
      </c>
      <c r="D16" s="217"/>
      <c r="E16" s="215" t="s">
        <v>2568</v>
      </c>
      <c r="F16" s="209" t="s">
        <v>68</v>
      </c>
      <c r="G16" s="209" t="s">
        <v>1980</v>
      </c>
      <c r="H16" s="209" t="s">
        <v>1980</v>
      </c>
    </row>
    <row r="17" spans="1:8" ht="24" customHeight="1">
      <c r="A17" s="218" t="s">
        <v>2447</v>
      </c>
      <c r="B17" s="218" t="s">
        <v>2448</v>
      </c>
      <c r="C17" s="213" t="s">
        <v>9</v>
      </c>
      <c r="D17" s="217"/>
      <c r="E17" s="215" t="s">
        <v>2569</v>
      </c>
      <c r="F17" s="209" t="s">
        <v>68</v>
      </c>
      <c r="G17" s="209" t="s">
        <v>2449</v>
      </c>
      <c r="H17" s="209" t="s">
        <v>2449</v>
      </c>
    </row>
    <row r="18" spans="1:8" ht="24" customHeight="1">
      <c r="A18" s="218" t="s">
        <v>2327</v>
      </c>
      <c r="B18" s="218" t="s">
        <v>2328</v>
      </c>
      <c r="C18" s="213" t="s">
        <v>437</v>
      </c>
      <c r="D18" s="217"/>
      <c r="E18" s="215" t="s">
        <v>2570</v>
      </c>
      <c r="F18" s="209" t="s">
        <v>2329</v>
      </c>
      <c r="G18" s="209" t="s">
        <v>2330</v>
      </c>
      <c r="H18" s="209" t="s">
        <v>2330</v>
      </c>
    </row>
    <row r="19" spans="1:8" ht="24" customHeight="1">
      <c r="A19" s="218" t="s">
        <v>2249</v>
      </c>
      <c r="B19" s="218" t="s">
        <v>2250</v>
      </c>
      <c r="C19" s="213" t="s">
        <v>437</v>
      </c>
      <c r="D19" s="217"/>
      <c r="E19" s="215" t="s">
        <v>2571</v>
      </c>
      <c r="F19" s="209" t="s">
        <v>2251</v>
      </c>
      <c r="G19" s="209" t="s">
        <v>2252</v>
      </c>
      <c r="H19" s="209" t="s">
        <v>2252</v>
      </c>
    </row>
    <row r="20" spans="1:8" ht="24" customHeight="1">
      <c r="A20" s="218" t="s">
        <v>2053</v>
      </c>
      <c r="B20" s="218" t="s">
        <v>2054</v>
      </c>
      <c r="C20" s="213" t="s">
        <v>2055</v>
      </c>
      <c r="D20" s="217"/>
      <c r="E20" s="215" t="s">
        <v>2572</v>
      </c>
      <c r="F20" s="209" t="s">
        <v>68</v>
      </c>
      <c r="G20" s="209" t="s">
        <v>2056</v>
      </c>
      <c r="H20" s="209" t="s">
        <v>2056</v>
      </c>
    </row>
    <row r="21" spans="1:8" ht="24" customHeight="1">
      <c r="A21" s="218" t="s">
        <v>2153</v>
      </c>
      <c r="B21" s="218" t="s">
        <v>2154</v>
      </c>
      <c r="C21" s="213" t="s">
        <v>2155</v>
      </c>
      <c r="D21" s="240"/>
      <c r="E21" s="215" t="s">
        <v>2573</v>
      </c>
      <c r="F21" s="209" t="s">
        <v>2156</v>
      </c>
      <c r="G21" s="209" t="s">
        <v>2157</v>
      </c>
      <c r="H21" s="209" t="s">
        <v>2157</v>
      </c>
    </row>
    <row r="22" spans="1:8" ht="24" customHeight="1">
      <c r="A22" s="218" t="s">
        <v>2303</v>
      </c>
      <c r="B22" s="218" t="s">
        <v>2304</v>
      </c>
      <c r="C22" s="213" t="s">
        <v>9</v>
      </c>
      <c r="D22" s="232"/>
      <c r="E22" s="215" t="s">
        <v>2574</v>
      </c>
      <c r="F22" s="209" t="s">
        <v>68</v>
      </c>
      <c r="G22" s="209" t="s">
        <v>2305</v>
      </c>
      <c r="H22" s="209" t="s">
        <v>2305</v>
      </c>
    </row>
    <row r="23" spans="1:8" ht="24" customHeight="1">
      <c r="A23" s="218" t="s">
        <v>2303</v>
      </c>
      <c r="B23" s="218" t="s">
        <v>2473</v>
      </c>
      <c r="C23" s="213" t="s">
        <v>9</v>
      </c>
      <c r="D23" s="240"/>
      <c r="E23" s="215" t="s">
        <v>2574</v>
      </c>
      <c r="F23" s="209" t="s">
        <v>68</v>
      </c>
      <c r="G23" s="209" t="s">
        <v>2474</v>
      </c>
      <c r="H23" s="209" t="s">
        <v>2474</v>
      </c>
    </row>
    <row r="24" spans="1:8" ht="24" customHeight="1">
      <c r="A24" s="218" t="s">
        <v>2303</v>
      </c>
      <c r="B24" s="218" t="s">
        <v>2335</v>
      </c>
      <c r="C24" s="213" t="s">
        <v>9</v>
      </c>
      <c r="D24" s="240"/>
      <c r="E24" s="215" t="s">
        <v>2575</v>
      </c>
      <c r="F24" s="209" t="s">
        <v>68</v>
      </c>
      <c r="G24" s="209" t="s">
        <v>2336</v>
      </c>
      <c r="H24" s="209" t="s">
        <v>2336</v>
      </c>
    </row>
    <row r="25" spans="1:8" ht="24" customHeight="1">
      <c r="A25" s="218" t="s">
        <v>1398</v>
      </c>
      <c r="B25" s="218" t="s">
        <v>1399</v>
      </c>
      <c r="C25" s="213" t="s">
        <v>1400</v>
      </c>
      <c r="D25" s="217"/>
      <c r="E25" s="215" t="s">
        <v>2576</v>
      </c>
      <c r="F25" s="209" t="s">
        <v>68</v>
      </c>
      <c r="G25" s="209" t="s">
        <v>1401</v>
      </c>
      <c r="H25" s="209" t="s">
        <v>1401</v>
      </c>
    </row>
    <row r="26" spans="1:8" ht="24" customHeight="1">
      <c r="A26" s="218" t="s">
        <v>1402</v>
      </c>
      <c r="B26" s="218" t="s">
        <v>1403</v>
      </c>
      <c r="C26" s="213" t="s">
        <v>437</v>
      </c>
      <c r="D26" s="217"/>
      <c r="E26" s="215" t="s">
        <v>2577</v>
      </c>
      <c r="F26" s="209" t="s">
        <v>68</v>
      </c>
      <c r="G26" s="209" t="s">
        <v>1404</v>
      </c>
      <c r="H26" s="209" t="s">
        <v>1404</v>
      </c>
    </row>
    <row r="27" spans="1:8" ht="24" customHeight="1">
      <c r="A27" s="218" t="s">
        <v>1405</v>
      </c>
      <c r="B27" s="218" t="s">
        <v>1403</v>
      </c>
      <c r="C27" s="213" t="s">
        <v>437</v>
      </c>
      <c r="D27" s="217"/>
      <c r="E27" s="215" t="s">
        <v>2577</v>
      </c>
      <c r="F27" s="209" t="s">
        <v>68</v>
      </c>
      <c r="G27" s="209" t="s">
        <v>1406</v>
      </c>
      <c r="H27" s="209" t="s">
        <v>1406</v>
      </c>
    </row>
    <row r="28" spans="1:8" ht="24" customHeight="1">
      <c r="A28" s="218" t="s">
        <v>2017</v>
      </c>
      <c r="B28" s="218" t="s">
        <v>2018</v>
      </c>
      <c r="C28" s="213" t="s">
        <v>2019</v>
      </c>
      <c r="D28" s="217"/>
      <c r="E28" s="215" t="s">
        <v>2578</v>
      </c>
      <c r="F28" s="209" t="s">
        <v>68</v>
      </c>
      <c r="G28" s="209" t="s">
        <v>2020</v>
      </c>
      <c r="H28" s="209" t="s">
        <v>2020</v>
      </c>
    </row>
    <row r="29" spans="1:8" ht="24" customHeight="1">
      <c r="A29" s="218" t="s">
        <v>2174</v>
      </c>
      <c r="B29" s="218" t="s">
        <v>2175</v>
      </c>
      <c r="C29" s="213" t="s">
        <v>2055</v>
      </c>
      <c r="D29" s="217"/>
      <c r="E29" s="215" t="s">
        <v>2579</v>
      </c>
      <c r="F29" s="209" t="s">
        <v>68</v>
      </c>
      <c r="G29" s="209" t="s">
        <v>2176</v>
      </c>
      <c r="H29" s="209" t="s">
        <v>2176</v>
      </c>
    </row>
    <row r="30" spans="1:8" ht="24" customHeight="1">
      <c r="A30" s="218" t="s">
        <v>2081</v>
      </c>
      <c r="B30" s="218" t="s">
        <v>2082</v>
      </c>
      <c r="C30" s="213" t="s">
        <v>2055</v>
      </c>
      <c r="D30" s="217"/>
      <c r="E30" s="215" t="s">
        <v>2580</v>
      </c>
      <c r="F30" s="209" t="s">
        <v>68</v>
      </c>
      <c r="G30" s="209" t="s">
        <v>2083</v>
      </c>
      <c r="H30" s="209" t="s">
        <v>68</v>
      </c>
    </row>
    <row r="31" spans="1:8" ht="24" customHeight="1">
      <c r="A31" s="218" t="s">
        <v>2230</v>
      </c>
      <c r="B31" s="218" t="s">
        <v>2231</v>
      </c>
      <c r="C31" s="213" t="s">
        <v>2155</v>
      </c>
      <c r="D31" s="217"/>
      <c r="E31" s="215" t="s">
        <v>2580</v>
      </c>
      <c r="F31" s="209" t="s">
        <v>68</v>
      </c>
      <c r="G31" s="209" t="s">
        <v>2232</v>
      </c>
      <c r="H31" s="209" t="s">
        <v>68</v>
      </c>
    </row>
    <row r="32" spans="1:8" ht="24" customHeight="1">
      <c r="A32" s="218" t="s">
        <v>2089</v>
      </c>
      <c r="B32" s="218" t="s">
        <v>2090</v>
      </c>
      <c r="C32" s="213" t="s">
        <v>9</v>
      </c>
      <c r="D32" s="217"/>
      <c r="E32" s="215" t="s">
        <v>2581</v>
      </c>
      <c r="F32" s="209" t="s">
        <v>68</v>
      </c>
      <c r="G32" s="209" t="s">
        <v>2091</v>
      </c>
      <c r="H32" s="209" t="s">
        <v>68</v>
      </c>
    </row>
    <row r="33" spans="1:8" ht="24" customHeight="1">
      <c r="A33" s="218" t="s">
        <v>2315</v>
      </c>
      <c r="B33" s="218" t="s">
        <v>2316</v>
      </c>
      <c r="C33" s="213" t="s">
        <v>2155</v>
      </c>
      <c r="D33" s="217"/>
      <c r="E33" s="215" t="s">
        <v>2582</v>
      </c>
      <c r="F33" s="209" t="s">
        <v>68</v>
      </c>
      <c r="G33" s="209" t="s">
        <v>2317</v>
      </c>
      <c r="H33" s="209" t="s">
        <v>68</v>
      </c>
    </row>
    <row r="34" spans="1:8" ht="24" customHeight="1">
      <c r="A34" s="218" t="s">
        <v>2226</v>
      </c>
      <c r="B34" s="218" t="s">
        <v>2227</v>
      </c>
      <c r="C34" s="213" t="s">
        <v>1979</v>
      </c>
      <c r="D34" s="217"/>
      <c r="E34" s="215" t="s">
        <v>2583</v>
      </c>
      <c r="F34" s="209" t="s">
        <v>68</v>
      </c>
      <c r="G34" s="209" t="s">
        <v>2228</v>
      </c>
      <c r="H34" s="209" t="s">
        <v>68</v>
      </c>
    </row>
    <row r="35" spans="1:8" ht="24" customHeight="1">
      <c r="A35" s="218" t="s">
        <v>2179</v>
      </c>
      <c r="B35" s="218" t="s">
        <v>2182</v>
      </c>
      <c r="C35" s="213" t="s">
        <v>1412</v>
      </c>
      <c r="D35" s="217"/>
      <c r="E35" s="215" t="s">
        <v>2584</v>
      </c>
      <c r="F35" s="209" t="s">
        <v>68</v>
      </c>
      <c r="G35" s="209" t="s">
        <v>2183</v>
      </c>
      <c r="H35" s="209" t="s">
        <v>68</v>
      </c>
    </row>
    <row r="36" spans="1:8" ht="24" customHeight="1">
      <c r="A36" s="218" t="s">
        <v>2179</v>
      </c>
      <c r="B36" s="218" t="s">
        <v>2184</v>
      </c>
      <c r="C36" s="213" t="s">
        <v>1412</v>
      </c>
      <c r="D36" s="217"/>
      <c r="E36" s="215" t="s">
        <v>2584</v>
      </c>
      <c r="F36" s="209" t="s">
        <v>68</v>
      </c>
      <c r="G36" s="209" t="s">
        <v>2185</v>
      </c>
      <c r="H36" s="209" t="s">
        <v>68</v>
      </c>
    </row>
    <row r="37" spans="1:8" ht="24" customHeight="1">
      <c r="A37" s="218" t="s">
        <v>2179</v>
      </c>
      <c r="B37" s="218" t="s">
        <v>2186</v>
      </c>
      <c r="C37" s="213" t="s">
        <v>1412</v>
      </c>
      <c r="D37" s="217"/>
      <c r="E37" s="215" t="s">
        <v>2584</v>
      </c>
      <c r="F37" s="209" t="s">
        <v>68</v>
      </c>
      <c r="G37" s="209" t="s">
        <v>2187</v>
      </c>
      <c r="H37" s="209" t="s">
        <v>68</v>
      </c>
    </row>
    <row r="38" spans="1:8" ht="24" customHeight="1">
      <c r="A38" s="218" t="s">
        <v>2179</v>
      </c>
      <c r="B38" s="218" t="s">
        <v>2180</v>
      </c>
      <c r="C38" s="213" t="s">
        <v>1412</v>
      </c>
      <c r="D38" s="217"/>
      <c r="E38" s="215" t="s">
        <v>2585</v>
      </c>
      <c r="F38" s="209" t="s">
        <v>68</v>
      </c>
      <c r="G38" s="209" t="s">
        <v>2181</v>
      </c>
      <c r="H38" s="209" t="s">
        <v>68</v>
      </c>
    </row>
    <row r="39" spans="1:8" ht="24" customHeight="1">
      <c r="A39" s="218" t="s">
        <v>2179</v>
      </c>
      <c r="B39" s="218" t="s">
        <v>2188</v>
      </c>
      <c r="C39" s="213" t="s">
        <v>2189</v>
      </c>
      <c r="D39" s="217"/>
      <c r="E39" s="215" t="s">
        <v>2585</v>
      </c>
      <c r="F39" s="209" t="s">
        <v>68</v>
      </c>
      <c r="G39" s="209" t="s">
        <v>2190</v>
      </c>
      <c r="H39" s="209" t="s">
        <v>68</v>
      </c>
    </row>
    <row r="40" spans="1:8" ht="24" customHeight="1">
      <c r="A40" s="218" t="s">
        <v>1936</v>
      </c>
      <c r="B40" s="218" t="s">
        <v>1937</v>
      </c>
      <c r="C40" s="213" t="s">
        <v>437</v>
      </c>
      <c r="D40" s="217"/>
      <c r="E40" s="215" t="s">
        <v>2586</v>
      </c>
      <c r="F40" s="209" t="s">
        <v>68</v>
      </c>
      <c r="G40" s="209" t="s">
        <v>1938</v>
      </c>
      <c r="H40" s="209" t="s">
        <v>68</v>
      </c>
    </row>
    <row r="41" spans="1:8" ht="24" customHeight="1">
      <c r="A41" s="218" t="s">
        <v>1428</v>
      </c>
      <c r="B41" s="218" t="s">
        <v>1429</v>
      </c>
      <c r="C41" s="213" t="s">
        <v>1033</v>
      </c>
      <c r="D41" s="217"/>
      <c r="E41" s="215" t="s">
        <v>2587</v>
      </c>
      <c r="F41" s="209" t="s">
        <v>68</v>
      </c>
      <c r="G41" s="209" t="s">
        <v>1430</v>
      </c>
      <c r="H41" s="209" t="s">
        <v>68</v>
      </c>
    </row>
    <row r="42" spans="1:8" ht="24" customHeight="1">
      <c r="A42" s="218" t="s">
        <v>2237</v>
      </c>
      <c r="B42" s="218" t="s">
        <v>68</v>
      </c>
      <c r="C42" s="213" t="s">
        <v>2235</v>
      </c>
      <c r="D42" s="217"/>
      <c r="E42" s="215" t="s">
        <v>2588</v>
      </c>
      <c r="F42" s="209" t="s">
        <v>68</v>
      </c>
      <c r="G42" s="209" t="s">
        <v>2238</v>
      </c>
      <c r="H42" s="209" t="s">
        <v>68</v>
      </c>
    </row>
    <row r="43" spans="1:8" ht="24" customHeight="1">
      <c r="A43" s="218" t="s">
        <v>2234</v>
      </c>
      <c r="B43" s="218" t="s">
        <v>68</v>
      </c>
      <c r="C43" s="213" t="s">
        <v>2235</v>
      </c>
      <c r="D43" s="217"/>
      <c r="E43" s="215" t="s">
        <v>2588</v>
      </c>
      <c r="F43" s="209" t="s">
        <v>68</v>
      </c>
      <c r="G43" s="209" t="s">
        <v>2236</v>
      </c>
      <c r="H43" s="209" t="s">
        <v>68</v>
      </c>
    </row>
    <row r="44" spans="1:8" ht="24" customHeight="1">
      <c r="A44" s="218" t="s">
        <v>2207</v>
      </c>
      <c r="B44" s="218" t="s">
        <v>2208</v>
      </c>
      <c r="C44" s="213" t="s">
        <v>437</v>
      </c>
      <c r="D44" s="217"/>
      <c r="E44" s="215" t="s">
        <v>2589</v>
      </c>
      <c r="F44" s="209" t="s">
        <v>68</v>
      </c>
      <c r="G44" s="209" t="s">
        <v>2209</v>
      </c>
      <c r="H44" s="209" t="s">
        <v>68</v>
      </c>
    </row>
    <row r="45" spans="1:8" ht="24" customHeight="1">
      <c r="A45" s="218" t="s">
        <v>2279</v>
      </c>
      <c r="B45" s="218" t="s">
        <v>2280</v>
      </c>
      <c r="C45" s="213" t="s">
        <v>1412</v>
      </c>
      <c r="D45" s="217"/>
      <c r="E45" s="215" t="s">
        <v>2590</v>
      </c>
      <c r="F45" s="209" t="s">
        <v>68</v>
      </c>
      <c r="G45" s="209" t="s">
        <v>2281</v>
      </c>
      <c r="H45" s="209" t="s">
        <v>68</v>
      </c>
    </row>
    <row r="46" spans="1:8" ht="24" customHeight="1">
      <c r="A46" s="218" t="s">
        <v>2279</v>
      </c>
      <c r="B46" s="218" t="s">
        <v>2282</v>
      </c>
      <c r="C46" s="213" t="s">
        <v>1412</v>
      </c>
      <c r="D46" s="217"/>
      <c r="E46" s="215" t="s">
        <v>2590</v>
      </c>
      <c r="F46" s="209" t="s">
        <v>68</v>
      </c>
      <c r="G46" s="209" t="s">
        <v>2283</v>
      </c>
      <c r="H46" s="209" t="s">
        <v>68</v>
      </c>
    </row>
    <row r="47" spans="1:8" ht="24" customHeight="1">
      <c r="A47" s="218" t="s">
        <v>2279</v>
      </c>
      <c r="B47" s="218" t="s">
        <v>2284</v>
      </c>
      <c r="C47" s="213" t="s">
        <v>1033</v>
      </c>
      <c r="D47" s="217"/>
      <c r="E47" s="215" t="s">
        <v>2590</v>
      </c>
      <c r="F47" s="209" t="s">
        <v>68</v>
      </c>
      <c r="G47" s="209" t="s">
        <v>2285</v>
      </c>
      <c r="H47" s="209" t="s">
        <v>68</v>
      </c>
    </row>
    <row r="48" spans="1:8" ht="24" customHeight="1">
      <c r="A48" s="218" t="s">
        <v>2279</v>
      </c>
      <c r="B48" s="218" t="s">
        <v>2286</v>
      </c>
      <c r="C48" s="213" t="s">
        <v>2287</v>
      </c>
      <c r="D48" s="217"/>
      <c r="E48" s="215" t="s">
        <v>2590</v>
      </c>
      <c r="F48" s="209" t="s">
        <v>68</v>
      </c>
      <c r="G48" s="209" t="s">
        <v>2288</v>
      </c>
      <c r="H48" s="209" t="s">
        <v>68</v>
      </c>
    </row>
    <row r="49" spans="1:8" ht="24" customHeight="1">
      <c r="A49" s="218" t="s">
        <v>2279</v>
      </c>
      <c r="B49" s="218" t="s">
        <v>2293</v>
      </c>
      <c r="C49" s="213" t="s">
        <v>1033</v>
      </c>
      <c r="D49" s="217"/>
      <c r="E49" s="215" t="s">
        <v>2590</v>
      </c>
      <c r="F49" s="209" t="s">
        <v>68</v>
      </c>
      <c r="G49" s="209" t="s">
        <v>2294</v>
      </c>
      <c r="H49" s="209" t="s">
        <v>68</v>
      </c>
    </row>
    <row r="50" spans="1:8" ht="24" customHeight="1">
      <c r="A50" s="218" t="s">
        <v>2279</v>
      </c>
      <c r="B50" s="218" t="s">
        <v>2289</v>
      </c>
      <c r="C50" s="213" t="s">
        <v>2287</v>
      </c>
      <c r="D50" s="217"/>
      <c r="E50" s="215" t="s">
        <v>2591</v>
      </c>
      <c r="F50" s="209" t="s">
        <v>68</v>
      </c>
      <c r="G50" s="209" t="s">
        <v>2290</v>
      </c>
      <c r="H50" s="209" t="s">
        <v>68</v>
      </c>
    </row>
    <row r="51" spans="1:8" ht="24" customHeight="1">
      <c r="A51" s="218" t="s">
        <v>2279</v>
      </c>
      <c r="B51" s="218" t="s">
        <v>2291</v>
      </c>
      <c r="C51" s="213" t="s">
        <v>2287</v>
      </c>
      <c r="D51" s="217"/>
      <c r="E51" s="215" t="s">
        <v>2592</v>
      </c>
      <c r="F51" s="209" t="s">
        <v>68</v>
      </c>
      <c r="G51" s="209" t="s">
        <v>2292</v>
      </c>
      <c r="H51" s="209" t="s">
        <v>68</v>
      </c>
    </row>
    <row r="52" spans="1:8" ht="24" customHeight="1">
      <c r="A52" s="218" t="s">
        <v>2279</v>
      </c>
      <c r="B52" s="218" t="s">
        <v>2295</v>
      </c>
      <c r="C52" s="213" t="s">
        <v>1412</v>
      </c>
      <c r="D52" s="217"/>
      <c r="E52" s="215" t="s">
        <v>2592</v>
      </c>
      <c r="F52" s="209" t="s">
        <v>68</v>
      </c>
      <c r="G52" s="209" t="s">
        <v>2296</v>
      </c>
      <c r="H52" s="209" t="s">
        <v>68</v>
      </c>
    </row>
    <row r="53" spans="1:8" ht="24" customHeight="1">
      <c r="A53" s="218" t="s">
        <v>1416</v>
      </c>
      <c r="B53" s="218" t="s">
        <v>1417</v>
      </c>
      <c r="C53" s="213" t="s">
        <v>1033</v>
      </c>
      <c r="D53" s="217"/>
      <c r="E53" s="215" t="s">
        <v>2587</v>
      </c>
      <c r="F53" s="209" t="s">
        <v>68</v>
      </c>
      <c r="G53" s="209" t="s">
        <v>1418</v>
      </c>
      <c r="H53" s="209" t="s">
        <v>68</v>
      </c>
    </row>
    <row r="54" spans="1:8" ht="24" customHeight="1">
      <c r="A54" s="218" t="s">
        <v>1423</v>
      </c>
      <c r="B54" s="218" t="s">
        <v>1417</v>
      </c>
      <c r="C54" s="213" t="s">
        <v>1412</v>
      </c>
      <c r="D54" s="217"/>
      <c r="E54" s="215" t="s">
        <v>2593</v>
      </c>
      <c r="F54" s="209" t="s">
        <v>68</v>
      </c>
      <c r="G54" s="209" t="s">
        <v>1424</v>
      </c>
      <c r="H54" s="209" t="s">
        <v>68</v>
      </c>
    </row>
    <row r="55" spans="1:8" ht="24" customHeight="1">
      <c r="A55" s="218" t="s">
        <v>1423</v>
      </c>
      <c r="B55" s="218" t="s">
        <v>1431</v>
      </c>
      <c r="C55" s="213" t="s">
        <v>1412</v>
      </c>
      <c r="D55" s="217"/>
      <c r="E55" s="215" t="s">
        <v>2593</v>
      </c>
      <c r="F55" s="209" t="s">
        <v>68</v>
      </c>
      <c r="G55" s="209" t="s">
        <v>1433</v>
      </c>
      <c r="H55" s="209" t="s">
        <v>68</v>
      </c>
    </row>
    <row r="56" spans="1:8" ht="24" customHeight="1">
      <c r="A56" s="218" t="s">
        <v>1421</v>
      </c>
      <c r="B56" s="218" t="s">
        <v>1417</v>
      </c>
      <c r="C56" s="213" t="s">
        <v>1412</v>
      </c>
      <c r="D56" s="217"/>
      <c r="E56" s="215" t="s">
        <v>2593</v>
      </c>
      <c r="F56" s="209" t="s">
        <v>68</v>
      </c>
      <c r="G56" s="209" t="s">
        <v>1422</v>
      </c>
      <c r="H56" s="209" t="s">
        <v>68</v>
      </c>
    </row>
    <row r="57" spans="1:8" ht="24" customHeight="1">
      <c r="A57" s="218" t="s">
        <v>1421</v>
      </c>
      <c r="B57" s="218" t="s">
        <v>1431</v>
      </c>
      <c r="C57" s="213" t="s">
        <v>1412</v>
      </c>
      <c r="D57" s="217"/>
      <c r="E57" s="215" t="s">
        <v>2593</v>
      </c>
      <c r="F57" s="209" t="s">
        <v>68</v>
      </c>
      <c r="G57" s="209" t="s">
        <v>1434</v>
      </c>
      <c r="H57" s="209" t="s">
        <v>68</v>
      </c>
    </row>
    <row r="58" spans="1:8" ht="24" customHeight="1">
      <c r="A58" s="218" t="s">
        <v>1419</v>
      </c>
      <c r="B58" s="218" t="s">
        <v>1417</v>
      </c>
      <c r="C58" s="213" t="s">
        <v>1412</v>
      </c>
      <c r="D58" s="217"/>
      <c r="E58" s="215" t="s">
        <v>2593</v>
      </c>
      <c r="F58" s="209" t="s">
        <v>68</v>
      </c>
      <c r="G58" s="209" t="s">
        <v>1420</v>
      </c>
      <c r="H58" s="209" t="s">
        <v>68</v>
      </c>
    </row>
    <row r="59" spans="1:8" ht="24" customHeight="1">
      <c r="A59" s="218" t="s">
        <v>1419</v>
      </c>
      <c r="B59" s="218" t="s">
        <v>1431</v>
      </c>
      <c r="C59" s="213" t="s">
        <v>1412</v>
      </c>
      <c r="D59" s="217"/>
      <c r="E59" s="215" t="s">
        <v>2593</v>
      </c>
      <c r="F59" s="209" t="s">
        <v>68</v>
      </c>
      <c r="G59" s="209" t="s">
        <v>1432</v>
      </c>
      <c r="H59" s="209" t="s">
        <v>68</v>
      </c>
    </row>
    <row r="60" spans="1:8" ht="24" customHeight="1">
      <c r="A60" s="218" t="s">
        <v>2023</v>
      </c>
      <c r="B60" s="218" t="s">
        <v>2024</v>
      </c>
      <c r="C60" s="213" t="s">
        <v>1471</v>
      </c>
      <c r="D60" s="217"/>
      <c r="E60" s="215" t="s">
        <v>2581</v>
      </c>
      <c r="F60" s="209" t="s">
        <v>68</v>
      </c>
      <c r="G60" s="209" t="s">
        <v>2025</v>
      </c>
      <c r="H60" s="209" t="s">
        <v>68</v>
      </c>
    </row>
    <row r="61" spans="1:8" ht="24" customHeight="1">
      <c r="A61" s="218" t="s">
        <v>1926</v>
      </c>
      <c r="B61" s="218" t="s">
        <v>1927</v>
      </c>
      <c r="C61" s="213" t="s">
        <v>9</v>
      </c>
      <c r="D61" s="217"/>
      <c r="E61" s="215" t="s">
        <v>2594</v>
      </c>
      <c r="F61" s="209" t="s">
        <v>68</v>
      </c>
      <c r="G61" s="209" t="s">
        <v>1928</v>
      </c>
      <c r="H61" s="209" t="s">
        <v>68</v>
      </c>
    </row>
    <row r="62" spans="1:8" ht="24" customHeight="1">
      <c r="A62" s="218" t="s">
        <v>2030</v>
      </c>
      <c r="B62" s="218" t="s">
        <v>1183</v>
      </c>
      <c r="C62" s="213" t="s">
        <v>437</v>
      </c>
      <c r="D62" s="217"/>
      <c r="E62" s="215" t="s">
        <v>2595</v>
      </c>
      <c r="F62" s="209" t="s">
        <v>68</v>
      </c>
      <c r="G62" s="209" t="s">
        <v>2031</v>
      </c>
      <c r="H62" s="209" t="s">
        <v>68</v>
      </c>
    </row>
    <row r="63" spans="1:8" ht="24" customHeight="1">
      <c r="A63" s="218" t="s">
        <v>1185</v>
      </c>
      <c r="B63" s="218" t="s">
        <v>1186</v>
      </c>
      <c r="C63" s="213" t="s">
        <v>437</v>
      </c>
      <c r="D63" s="217"/>
      <c r="E63" s="215" t="s">
        <v>2581</v>
      </c>
      <c r="F63" s="209" t="s">
        <v>68</v>
      </c>
      <c r="G63" s="209" t="s">
        <v>2033</v>
      </c>
      <c r="H63" s="209" t="s">
        <v>68</v>
      </c>
    </row>
    <row r="64" spans="1:8" ht="24" customHeight="1">
      <c r="A64" s="218" t="s">
        <v>1185</v>
      </c>
      <c r="B64" s="218" t="s">
        <v>1188</v>
      </c>
      <c r="C64" s="213" t="s">
        <v>437</v>
      </c>
      <c r="D64" s="217"/>
      <c r="E64" s="215" t="s">
        <v>2581</v>
      </c>
      <c r="F64" s="209" t="s">
        <v>68</v>
      </c>
      <c r="G64" s="209" t="s">
        <v>2042</v>
      </c>
      <c r="H64" s="209" t="s">
        <v>68</v>
      </c>
    </row>
    <row r="65" spans="1:8" ht="24" customHeight="1">
      <c r="A65" s="218" t="s">
        <v>1190</v>
      </c>
      <c r="B65" s="218" t="s">
        <v>1191</v>
      </c>
      <c r="C65" s="213" t="s">
        <v>437</v>
      </c>
      <c r="D65" s="217"/>
      <c r="E65" s="215" t="s">
        <v>2581</v>
      </c>
      <c r="F65" s="209" t="s">
        <v>68</v>
      </c>
      <c r="G65" s="209" t="s">
        <v>2044</v>
      </c>
      <c r="H65" s="209" t="s">
        <v>68</v>
      </c>
    </row>
    <row r="66" spans="1:8" ht="24" customHeight="1">
      <c r="A66" s="218" t="s">
        <v>1190</v>
      </c>
      <c r="B66" s="218" t="s">
        <v>1193</v>
      </c>
      <c r="C66" s="213" t="s">
        <v>437</v>
      </c>
      <c r="D66" s="217"/>
      <c r="E66" s="215" t="s">
        <v>2581</v>
      </c>
      <c r="F66" s="209" t="s">
        <v>68</v>
      </c>
      <c r="G66" s="209" t="s">
        <v>2046</v>
      </c>
      <c r="H66" s="209" t="s">
        <v>68</v>
      </c>
    </row>
    <row r="67" spans="1:8" ht="24" customHeight="1">
      <c r="A67" s="218" t="s">
        <v>1190</v>
      </c>
      <c r="B67" s="218" t="s">
        <v>1195</v>
      </c>
      <c r="C67" s="213" t="s">
        <v>437</v>
      </c>
      <c r="D67" s="217"/>
      <c r="E67" s="215" t="s">
        <v>2581</v>
      </c>
      <c r="F67" s="209" t="s">
        <v>68</v>
      </c>
      <c r="G67" s="209" t="s">
        <v>2048</v>
      </c>
      <c r="H67" s="209" t="s">
        <v>68</v>
      </c>
    </row>
    <row r="68" spans="1:8" ht="24" customHeight="1">
      <c r="A68" s="218" t="s">
        <v>1185</v>
      </c>
      <c r="B68" s="218" t="s">
        <v>1197</v>
      </c>
      <c r="C68" s="213" t="s">
        <v>437</v>
      </c>
      <c r="D68" s="217"/>
      <c r="E68" s="215" t="s">
        <v>2581</v>
      </c>
      <c r="F68" s="209" t="s">
        <v>68</v>
      </c>
      <c r="G68" s="209" t="s">
        <v>2050</v>
      </c>
      <c r="H68" s="209" t="s">
        <v>68</v>
      </c>
    </row>
    <row r="69" spans="1:8" ht="24" customHeight="1">
      <c r="A69" s="218" t="s">
        <v>1199</v>
      </c>
      <c r="B69" s="218" t="s">
        <v>1200</v>
      </c>
      <c r="C69" s="213" t="s">
        <v>437</v>
      </c>
      <c r="D69" s="217"/>
      <c r="E69" s="215" t="s">
        <v>2581</v>
      </c>
      <c r="F69" s="209" t="s">
        <v>68</v>
      </c>
      <c r="G69" s="209" t="s">
        <v>2052</v>
      </c>
      <c r="H69" s="209" t="s">
        <v>68</v>
      </c>
    </row>
    <row r="70" spans="1:8" ht="24" customHeight="1">
      <c r="A70" s="218" t="s">
        <v>1202</v>
      </c>
      <c r="B70" s="218" t="s">
        <v>1203</v>
      </c>
      <c r="C70" s="213" t="s">
        <v>437</v>
      </c>
      <c r="D70" s="217"/>
      <c r="E70" s="215" t="s">
        <v>2581</v>
      </c>
      <c r="F70" s="209" t="s">
        <v>68</v>
      </c>
      <c r="G70" s="209" t="s">
        <v>2061</v>
      </c>
      <c r="H70" s="209" t="s">
        <v>68</v>
      </c>
    </row>
    <row r="71" spans="1:8" ht="24" customHeight="1">
      <c r="A71" s="218" t="s">
        <v>1185</v>
      </c>
      <c r="B71" s="218" t="s">
        <v>1205</v>
      </c>
      <c r="C71" s="213" t="s">
        <v>437</v>
      </c>
      <c r="D71" s="217"/>
      <c r="E71" s="215" t="s">
        <v>2581</v>
      </c>
      <c r="F71" s="209" t="s">
        <v>68</v>
      </c>
      <c r="G71" s="209" t="s">
        <v>2063</v>
      </c>
      <c r="H71" s="209" t="s">
        <v>68</v>
      </c>
    </row>
    <row r="72" spans="1:8" ht="24" customHeight="1">
      <c r="A72" s="218" t="s">
        <v>1185</v>
      </c>
      <c r="B72" s="218" t="s">
        <v>1207</v>
      </c>
      <c r="C72" s="213" t="s">
        <v>437</v>
      </c>
      <c r="D72" s="217"/>
      <c r="E72" s="215" t="s">
        <v>2581</v>
      </c>
      <c r="F72" s="209" t="s">
        <v>68</v>
      </c>
      <c r="G72" s="209" t="s">
        <v>2065</v>
      </c>
      <c r="H72" s="209" t="s">
        <v>68</v>
      </c>
    </row>
    <row r="73" spans="1:8" ht="24" customHeight="1">
      <c r="A73" s="218" t="s">
        <v>1209</v>
      </c>
      <c r="B73" s="218" t="s">
        <v>1210</v>
      </c>
      <c r="C73" s="213" t="s">
        <v>437</v>
      </c>
      <c r="D73" s="217"/>
      <c r="E73" s="215" t="s">
        <v>2581</v>
      </c>
      <c r="F73" s="209" t="s">
        <v>68</v>
      </c>
      <c r="G73" s="209" t="s">
        <v>2067</v>
      </c>
      <c r="H73" s="209" t="s">
        <v>68</v>
      </c>
    </row>
    <row r="74" spans="1:8" ht="24" customHeight="1">
      <c r="A74" s="218" t="s">
        <v>1209</v>
      </c>
      <c r="B74" s="218" t="s">
        <v>1212</v>
      </c>
      <c r="C74" s="213" t="s">
        <v>437</v>
      </c>
      <c r="D74" s="217"/>
      <c r="E74" s="215" t="s">
        <v>2581</v>
      </c>
      <c r="F74" s="209" t="s">
        <v>68</v>
      </c>
      <c r="G74" s="209" t="s">
        <v>2069</v>
      </c>
      <c r="H74" s="209" t="s">
        <v>68</v>
      </c>
    </row>
    <row r="75" spans="1:8" ht="24" customHeight="1">
      <c r="A75" s="218" t="s">
        <v>2034</v>
      </c>
      <c r="B75" s="218" t="s">
        <v>2035</v>
      </c>
      <c r="C75" s="213" t="s">
        <v>9</v>
      </c>
      <c r="D75" s="217"/>
      <c r="E75" s="215" t="s">
        <v>2581</v>
      </c>
      <c r="F75" s="209" t="s">
        <v>68</v>
      </c>
      <c r="G75" s="209" t="s">
        <v>2036</v>
      </c>
      <c r="H75" s="209" t="s">
        <v>68</v>
      </c>
    </row>
    <row r="76" spans="1:8" ht="24" customHeight="1">
      <c r="A76" s="218" t="s">
        <v>2075</v>
      </c>
      <c r="B76" s="218" t="s">
        <v>2076</v>
      </c>
      <c r="C76" s="213" t="s">
        <v>1033</v>
      </c>
      <c r="D76" s="217"/>
      <c r="E76" s="215" t="s">
        <v>2581</v>
      </c>
      <c r="F76" s="209" t="s">
        <v>68</v>
      </c>
      <c r="G76" s="209" t="s">
        <v>2077</v>
      </c>
      <c r="H76" s="209" t="s">
        <v>68</v>
      </c>
    </row>
    <row r="77" spans="1:8" ht="24" customHeight="1">
      <c r="A77" s="218" t="s">
        <v>2078</v>
      </c>
      <c r="B77" s="218" t="s">
        <v>2079</v>
      </c>
      <c r="C77" s="213" t="s">
        <v>437</v>
      </c>
      <c r="D77" s="217"/>
      <c r="E77" s="215" t="s">
        <v>2581</v>
      </c>
      <c r="F77" s="209" t="s">
        <v>68</v>
      </c>
      <c r="G77" s="209" t="s">
        <v>2080</v>
      </c>
      <c r="H77" s="209" t="s">
        <v>68</v>
      </c>
    </row>
    <row r="78" spans="1:8" ht="24" customHeight="1">
      <c r="A78" s="218" t="s">
        <v>401</v>
      </c>
      <c r="B78" s="218" t="s">
        <v>1313</v>
      </c>
      <c r="C78" s="213" t="s">
        <v>9</v>
      </c>
      <c r="D78" s="217"/>
      <c r="E78" s="215" t="s">
        <v>2581</v>
      </c>
      <c r="F78" s="209" t="s">
        <v>68</v>
      </c>
      <c r="G78" s="209" t="s">
        <v>2484</v>
      </c>
      <c r="H78" s="209" t="s">
        <v>68</v>
      </c>
    </row>
    <row r="79" spans="1:8" ht="24" customHeight="1">
      <c r="A79" s="218" t="s">
        <v>401</v>
      </c>
      <c r="B79" s="218" t="s">
        <v>1315</v>
      </c>
      <c r="C79" s="213" t="s">
        <v>9</v>
      </c>
      <c r="D79" s="217"/>
      <c r="E79" s="215" t="s">
        <v>2581</v>
      </c>
      <c r="F79" s="209" t="s">
        <v>68</v>
      </c>
      <c r="G79" s="209" t="s">
        <v>2491</v>
      </c>
      <c r="H79" s="209" t="s">
        <v>68</v>
      </c>
    </row>
    <row r="80" spans="1:8" ht="24" customHeight="1">
      <c r="A80" s="218" t="s">
        <v>401</v>
      </c>
      <c r="B80" s="218" t="s">
        <v>1543</v>
      </c>
      <c r="C80" s="213" t="s">
        <v>9</v>
      </c>
      <c r="D80" s="217"/>
      <c r="E80" s="215" t="s">
        <v>2581</v>
      </c>
      <c r="F80" s="209" t="s">
        <v>68</v>
      </c>
      <c r="G80" s="209" t="s">
        <v>2451</v>
      </c>
      <c r="H80" s="209" t="s">
        <v>68</v>
      </c>
    </row>
    <row r="81" spans="1:8" ht="24" customHeight="1">
      <c r="A81" s="218" t="s">
        <v>1317</v>
      </c>
      <c r="B81" s="218" t="s">
        <v>68</v>
      </c>
      <c r="C81" s="213" t="s">
        <v>1033</v>
      </c>
      <c r="D81" s="217"/>
      <c r="E81" s="215" t="s">
        <v>2581</v>
      </c>
      <c r="F81" s="209" t="s">
        <v>68</v>
      </c>
      <c r="G81" s="209" t="s">
        <v>2246</v>
      </c>
      <c r="H81" s="209" t="s">
        <v>68</v>
      </c>
    </row>
    <row r="82" spans="1:8" ht="24" customHeight="1">
      <c r="A82" s="218" t="s">
        <v>1323</v>
      </c>
      <c r="B82" s="218" t="s">
        <v>1321</v>
      </c>
      <c r="C82" s="213" t="s">
        <v>437</v>
      </c>
      <c r="D82" s="217"/>
      <c r="E82" s="215" t="s">
        <v>2581</v>
      </c>
      <c r="F82" s="209" t="s">
        <v>68</v>
      </c>
      <c r="G82" s="209" t="s">
        <v>2257</v>
      </c>
      <c r="H82" s="209" t="s">
        <v>68</v>
      </c>
    </row>
    <row r="83" spans="1:8" ht="24" customHeight="1">
      <c r="A83" s="218" t="s">
        <v>1320</v>
      </c>
      <c r="B83" s="218" t="s">
        <v>1324</v>
      </c>
      <c r="C83" s="213" t="s">
        <v>437</v>
      </c>
      <c r="D83" s="217"/>
      <c r="E83" s="215" t="s">
        <v>2581</v>
      </c>
      <c r="F83" s="209" t="s">
        <v>68</v>
      </c>
      <c r="G83" s="209" t="s">
        <v>2248</v>
      </c>
      <c r="H83" s="209" t="s">
        <v>68</v>
      </c>
    </row>
    <row r="84" spans="1:8" ht="24" customHeight="1">
      <c r="A84" s="218" t="s">
        <v>1323</v>
      </c>
      <c r="B84" s="218" t="s">
        <v>1326</v>
      </c>
      <c r="C84" s="213" t="s">
        <v>437</v>
      </c>
      <c r="D84" s="217"/>
      <c r="E84" s="215" t="s">
        <v>2581</v>
      </c>
      <c r="F84" s="209" t="s">
        <v>68</v>
      </c>
      <c r="G84" s="209" t="s">
        <v>2259</v>
      </c>
      <c r="H84" s="209" t="s">
        <v>68</v>
      </c>
    </row>
    <row r="85" spans="1:8" ht="24" customHeight="1">
      <c r="A85" s="218" t="s">
        <v>1323</v>
      </c>
      <c r="B85" s="218" t="s">
        <v>1545</v>
      </c>
      <c r="C85" s="213" t="s">
        <v>437</v>
      </c>
      <c r="D85" s="217"/>
      <c r="E85" s="215" t="s">
        <v>2581</v>
      </c>
      <c r="F85" s="209" t="s">
        <v>68</v>
      </c>
      <c r="G85" s="209" t="s">
        <v>2261</v>
      </c>
      <c r="H85" s="209" t="s">
        <v>68</v>
      </c>
    </row>
    <row r="86" spans="1:8" ht="24" customHeight="1">
      <c r="A86" s="218" t="s">
        <v>1547</v>
      </c>
      <c r="B86" s="218" t="s">
        <v>2454</v>
      </c>
      <c r="C86" s="213" t="s">
        <v>437</v>
      </c>
      <c r="D86" s="217"/>
      <c r="E86" s="215" t="s">
        <v>2581</v>
      </c>
      <c r="F86" s="209" t="s">
        <v>68</v>
      </c>
      <c r="G86" s="209" t="s">
        <v>2455</v>
      </c>
      <c r="H86" s="209" t="s">
        <v>68</v>
      </c>
    </row>
    <row r="87" spans="1:8" ht="24" customHeight="1">
      <c r="A87" s="218" t="s">
        <v>1525</v>
      </c>
      <c r="B87" s="218" t="s">
        <v>1526</v>
      </c>
      <c r="C87" s="213" t="s">
        <v>437</v>
      </c>
      <c r="D87" s="217"/>
      <c r="E87" s="215" t="s">
        <v>2581</v>
      </c>
      <c r="F87" s="209" t="s">
        <v>68</v>
      </c>
      <c r="G87" s="209" t="s">
        <v>1527</v>
      </c>
      <c r="H87" s="209" t="s">
        <v>68</v>
      </c>
    </row>
    <row r="88" spans="1:8" ht="24" customHeight="1">
      <c r="A88" s="218" t="s">
        <v>1525</v>
      </c>
      <c r="B88" s="218" t="s">
        <v>1540</v>
      </c>
      <c r="C88" s="213" t="s">
        <v>437</v>
      </c>
      <c r="D88" s="217"/>
      <c r="E88" s="215" t="s">
        <v>2581</v>
      </c>
      <c r="F88" s="209" t="s">
        <v>68</v>
      </c>
      <c r="G88" s="209" t="s">
        <v>1541</v>
      </c>
      <c r="H88" s="209" t="s">
        <v>68</v>
      </c>
    </row>
    <row r="89" spans="1:8" ht="24" customHeight="1">
      <c r="A89" s="218" t="s">
        <v>1533</v>
      </c>
      <c r="B89" s="218" t="s">
        <v>1534</v>
      </c>
      <c r="C89" s="213" t="s">
        <v>1033</v>
      </c>
      <c r="D89" s="217"/>
      <c r="E89" s="215" t="s">
        <v>2581</v>
      </c>
      <c r="F89" s="209" t="s">
        <v>68</v>
      </c>
      <c r="G89" s="209" t="s">
        <v>1535</v>
      </c>
      <c r="H89" s="209" t="s">
        <v>68</v>
      </c>
    </row>
    <row r="90" spans="1:8" ht="24" customHeight="1">
      <c r="A90" s="218" t="s">
        <v>2340</v>
      </c>
      <c r="B90" s="218" t="s">
        <v>2341</v>
      </c>
      <c r="C90" s="213" t="s">
        <v>149</v>
      </c>
      <c r="D90" s="217"/>
      <c r="E90" s="215" t="s">
        <v>2581</v>
      </c>
      <c r="F90" s="209" t="s">
        <v>68</v>
      </c>
      <c r="G90" s="209" t="s">
        <v>2342</v>
      </c>
      <c r="H90" s="209" t="s">
        <v>68</v>
      </c>
    </row>
    <row r="91" spans="1:8" ht="24" customHeight="1">
      <c r="A91" s="218" t="s">
        <v>2340</v>
      </c>
      <c r="B91" s="218" t="s">
        <v>2349</v>
      </c>
      <c r="C91" s="213" t="s">
        <v>149</v>
      </c>
      <c r="D91" s="217"/>
      <c r="E91" s="215" t="s">
        <v>2581</v>
      </c>
      <c r="F91" s="209" t="s">
        <v>68</v>
      </c>
      <c r="G91" s="209" t="s">
        <v>2350</v>
      </c>
      <c r="H91" s="209" t="s">
        <v>68</v>
      </c>
    </row>
    <row r="92" spans="1:8" ht="24" customHeight="1">
      <c r="A92" s="218" t="s">
        <v>2353</v>
      </c>
      <c r="B92" s="218" t="s">
        <v>2354</v>
      </c>
      <c r="C92" s="213" t="s">
        <v>149</v>
      </c>
      <c r="D92" s="217"/>
      <c r="E92" s="215" t="s">
        <v>2581</v>
      </c>
      <c r="F92" s="209" t="s">
        <v>68</v>
      </c>
      <c r="G92" s="209" t="s">
        <v>2355</v>
      </c>
      <c r="H92" s="209" t="s">
        <v>68</v>
      </c>
    </row>
    <row r="93" spans="1:8" ht="24" customHeight="1">
      <c r="A93" s="218" t="s">
        <v>2340</v>
      </c>
      <c r="B93" s="218" t="s">
        <v>2476</v>
      </c>
      <c r="C93" s="213" t="s">
        <v>149</v>
      </c>
      <c r="D93" s="217"/>
      <c r="E93" s="215" t="s">
        <v>2581</v>
      </c>
      <c r="F93" s="209" t="s">
        <v>68</v>
      </c>
      <c r="G93" s="209" t="s">
        <v>2477</v>
      </c>
      <c r="H93" s="209" t="s">
        <v>68</v>
      </c>
    </row>
    <row r="94" spans="1:8" ht="24" customHeight="1">
      <c r="A94" s="218" t="s">
        <v>2457</v>
      </c>
      <c r="B94" s="218" t="s">
        <v>2458</v>
      </c>
      <c r="C94" s="213" t="s">
        <v>149</v>
      </c>
      <c r="D94" s="217"/>
      <c r="E94" s="215" t="s">
        <v>2581</v>
      </c>
      <c r="F94" s="209" t="s">
        <v>68</v>
      </c>
      <c r="G94" s="209" t="s">
        <v>2459</v>
      </c>
      <c r="H94" s="209" t="s">
        <v>68</v>
      </c>
    </row>
    <row r="95" spans="1:8" ht="24" customHeight="1">
      <c r="A95" s="218" t="s">
        <v>1553</v>
      </c>
      <c r="B95" s="218" t="s">
        <v>1554</v>
      </c>
      <c r="C95" s="213" t="s">
        <v>437</v>
      </c>
      <c r="D95" s="217"/>
      <c r="E95" s="215" t="s">
        <v>2581</v>
      </c>
      <c r="F95" s="209" t="s">
        <v>68</v>
      </c>
      <c r="G95" s="209" t="s">
        <v>1555</v>
      </c>
      <c r="H95" s="209" t="s">
        <v>68</v>
      </c>
    </row>
    <row r="96" spans="1:8" ht="24" customHeight="1">
      <c r="A96" s="218" t="s">
        <v>2370</v>
      </c>
      <c r="B96" s="218" t="s">
        <v>2371</v>
      </c>
      <c r="C96" s="213" t="s">
        <v>437</v>
      </c>
      <c r="D96" s="217"/>
      <c r="E96" s="215" t="s">
        <v>2581</v>
      </c>
      <c r="F96" s="209" t="s">
        <v>68</v>
      </c>
      <c r="G96" s="209" t="s">
        <v>2372</v>
      </c>
      <c r="H96" s="209" t="s">
        <v>68</v>
      </c>
    </row>
    <row r="97" spans="1:8" ht="24" customHeight="1">
      <c r="A97" s="218" t="s">
        <v>2376</v>
      </c>
      <c r="B97" s="218" t="s">
        <v>2377</v>
      </c>
      <c r="C97" s="213" t="s">
        <v>437</v>
      </c>
      <c r="D97" s="217"/>
      <c r="E97" s="215" t="s">
        <v>2581</v>
      </c>
      <c r="F97" s="209" t="s">
        <v>68</v>
      </c>
      <c r="G97" s="209" t="s">
        <v>2378</v>
      </c>
      <c r="H97" s="209" t="s">
        <v>68</v>
      </c>
    </row>
    <row r="98" spans="1:8" ht="24" customHeight="1">
      <c r="A98" s="218" t="s">
        <v>847</v>
      </c>
      <c r="B98" s="218" t="s">
        <v>861</v>
      </c>
      <c r="C98" s="213" t="s">
        <v>437</v>
      </c>
      <c r="D98" s="217"/>
      <c r="E98" s="215" t="s">
        <v>2581</v>
      </c>
      <c r="F98" s="209" t="s">
        <v>68</v>
      </c>
      <c r="G98" s="209" t="s">
        <v>1619</v>
      </c>
      <c r="H98" s="209" t="s">
        <v>68</v>
      </c>
    </row>
    <row r="99" spans="1:8" ht="24" customHeight="1">
      <c r="A99" s="218" t="s">
        <v>848</v>
      </c>
      <c r="B99" s="218" t="s">
        <v>1620</v>
      </c>
      <c r="C99" s="213" t="s">
        <v>437</v>
      </c>
      <c r="D99" s="217"/>
      <c r="E99" s="215" t="s">
        <v>2581</v>
      </c>
      <c r="F99" s="209" t="s">
        <v>68</v>
      </c>
      <c r="G99" s="209" t="s">
        <v>1621</v>
      </c>
      <c r="H99" s="209" t="s">
        <v>68</v>
      </c>
    </row>
    <row r="100" spans="1:8" ht="24" customHeight="1">
      <c r="A100" s="218" t="s">
        <v>849</v>
      </c>
      <c r="B100" s="218" t="s">
        <v>863</v>
      </c>
      <c r="C100" s="213" t="s">
        <v>437</v>
      </c>
      <c r="D100" s="217"/>
      <c r="E100" s="215" t="s">
        <v>2581</v>
      </c>
      <c r="F100" s="209" t="s">
        <v>68</v>
      </c>
      <c r="G100" s="209" t="s">
        <v>1622</v>
      </c>
      <c r="H100" s="209" t="s">
        <v>68</v>
      </c>
    </row>
    <row r="101" spans="1:8" ht="24" customHeight="1">
      <c r="A101" s="218" t="s">
        <v>850</v>
      </c>
      <c r="B101" s="218" t="s">
        <v>864</v>
      </c>
      <c r="C101" s="213" t="s">
        <v>437</v>
      </c>
      <c r="D101" s="217"/>
      <c r="E101" s="215" t="s">
        <v>2581</v>
      </c>
      <c r="F101" s="209" t="s">
        <v>68</v>
      </c>
      <c r="G101" s="209" t="s">
        <v>1623</v>
      </c>
      <c r="H101" s="209" t="s">
        <v>68</v>
      </c>
    </row>
    <row r="102" spans="1:8" ht="24" customHeight="1">
      <c r="A102" s="218" t="s">
        <v>851</v>
      </c>
      <c r="B102" s="218" t="s">
        <v>865</v>
      </c>
      <c r="C102" s="213" t="s">
        <v>437</v>
      </c>
      <c r="D102" s="217"/>
      <c r="E102" s="215" t="s">
        <v>2581</v>
      </c>
      <c r="F102" s="209" t="s">
        <v>68</v>
      </c>
      <c r="G102" s="209" t="s">
        <v>1624</v>
      </c>
      <c r="H102" s="209" t="s">
        <v>68</v>
      </c>
    </row>
    <row r="103" spans="1:8" ht="24" customHeight="1">
      <c r="A103" s="218" t="s">
        <v>852</v>
      </c>
      <c r="B103" s="218" t="s">
        <v>866</v>
      </c>
      <c r="C103" s="213" t="s">
        <v>437</v>
      </c>
      <c r="D103" s="217"/>
      <c r="E103" s="215" t="s">
        <v>2581</v>
      </c>
      <c r="F103" s="209" t="s">
        <v>68</v>
      </c>
      <c r="G103" s="209" t="s">
        <v>1625</v>
      </c>
      <c r="H103" s="209" t="s">
        <v>68</v>
      </c>
    </row>
    <row r="104" spans="1:8" ht="24" customHeight="1">
      <c r="A104" s="218" t="s">
        <v>853</v>
      </c>
      <c r="B104" s="218" t="s">
        <v>867</v>
      </c>
      <c r="C104" s="213" t="s">
        <v>437</v>
      </c>
      <c r="D104" s="217"/>
      <c r="E104" s="215" t="s">
        <v>2581</v>
      </c>
      <c r="F104" s="209" t="s">
        <v>68</v>
      </c>
      <c r="G104" s="209" t="s">
        <v>1626</v>
      </c>
      <c r="H104" s="209" t="s">
        <v>68</v>
      </c>
    </row>
    <row r="105" spans="1:8" ht="24" customHeight="1">
      <c r="A105" s="218" t="s">
        <v>2386</v>
      </c>
      <c r="B105" s="218" t="s">
        <v>2387</v>
      </c>
      <c r="C105" s="213" t="s">
        <v>437</v>
      </c>
      <c r="D105" s="217"/>
      <c r="E105" s="215" t="s">
        <v>2581</v>
      </c>
      <c r="F105" s="209" t="s">
        <v>68</v>
      </c>
      <c r="G105" s="209" t="s">
        <v>2388</v>
      </c>
      <c r="H105" s="209" t="s">
        <v>68</v>
      </c>
    </row>
    <row r="106" spans="1:8" ht="24" customHeight="1">
      <c r="A106" s="218" t="s">
        <v>2380</v>
      </c>
      <c r="B106" s="218" t="s">
        <v>2381</v>
      </c>
      <c r="C106" s="213" t="s">
        <v>437</v>
      </c>
      <c r="D106" s="217"/>
      <c r="E106" s="215" t="s">
        <v>2581</v>
      </c>
      <c r="F106" s="209" t="s">
        <v>68</v>
      </c>
      <c r="G106" s="209" t="s">
        <v>2382</v>
      </c>
      <c r="H106" s="209" t="s">
        <v>68</v>
      </c>
    </row>
    <row r="107" spans="1:8" ht="24" customHeight="1">
      <c r="A107" s="218" t="s">
        <v>2092</v>
      </c>
      <c r="B107" s="218" t="s">
        <v>2093</v>
      </c>
      <c r="C107" s="213" t="s">
        <v>437</v>
      </c>
      <c r="D107" s="217"/>
      <c r="E107" s="215" t="s">
        <v>2581</v>
      </c>
      <c r="F107" s="209" t="s">
        <v>68</v>
      </c>
      <c r="G107" s="209" t="s">
        <v>2094</v>
      </c>
      <c r="H107" s="209" t="s">
        <v>68</v>
      </c>
    </row>
    <row r="108" spans="1:8" ht="24" customHeight="1">
      <c r="A108" s="218" t="s">
        <v>2394</v>
      </c>
      <c r="B108" s="218" t="s">
        <v>2395</v>
      </c>
      <c r="C108" s="213" t="s">
        <v>437</v>
      </c>
      <c r="D108" s="217"/>
      <c r="E108" s="215" t="s">
        <v>2581</v>
      </c>
      <c r="F108" s="209" t="s">
        <v>68</v>
      </c>
      <c r="G108" s="209" t="s">
        <v>2396</v>
      </c>
      <c r="H108" s="209" t="s">
        <v>68</v>
      </c>
    </row>
    <row r="109" spans="1:8" ht="24" customHeight="1">
      <c r="A109" s="218" t="s">
        <v>2390</v>
      </c>
      <c r="B109" s="218" t="s">
        <v>2391</v>
      </c>
      <c r="C109" s="213" t="s">
        <v>437</v>
      </c>
      <c r="D109" s="217"/>
      <c r="E109" s="215" t="s">
        <v>2581</v>
      </c>
      <c r="F109" s="209" t="s">
        <v>68</v>
      </c>
      <c r="G109" s="209" t="s">
        <v>2392</v>
      </c>
      <c r="H109" s="209" t="s">
        <v>68</v>
      </c>
    </row>
    <row r="110" spans="1:8" ht="24" customHeight="1">
      <c r="A110" s="218" t="s">
        <v>2410</v>
      </c>
      <c r="B110" s="218" t="s">
        <v>2411</v>
      </c>
      <c r="C110" s="213" t="s">
        <v>437</v>
      </c>
      <c r="D110" s="217"/>
      <c r="E110" s="215" t="s">
        <v>2581</v>
      </c>
      <c r="F110" s="209" t="s">
        <v>68</v>
      </c>
      <c r="G110" s="209" t="s">
        <v>2412</v>
      </c>
      <c r="H110" s="209" t="s">
        <v>68</v>
      </c>
    </row>
    <row r="111" spans="1:8" ht="24" customHeight="1">
      <c r="A111" s="218" t="s">
        <v>2414</v>
      </c>
      <c r="B111" s="218" t="s">
        <v>2415</v>
      </c>
      <c r="C111" s="213" t="s">
        <v>437</v>
      </c>
      <c r="D111" s="217"/>
      <c r="E111" s="215" t="s">
        <v>2581</v>
      </c>
      <c r="F111" s="209" t="s">
        <v>68</v>
      </c>
      <c r="G111" s="209" t="s">
        <v>2416</v>
      </c>
      <c r="H111" s="209" t="s">
        <v>68</v>
      </c>
    </row>
    <row r="112" spans="1:8" ht="24" customHeight="1">
      <c r="A112" s="218" t="s">
        <v>2390</v>
      </c>
      <c r="B112" s="218" t="s">
        <v>2398</v>
      </c>
      <c r="C112" s="213" t="s">
        <v>437</v>
      </c>
      <c r="D112" s="217"/>
      <c r="E112" s="215" t="s">
        <v>2581</v>
      </c>
      <c r="F112" s="209" t="s">
        <v>68</v>
      </c>
      <c r="G112" s="209" t="s">
        <v>2399</v>
      </c>
      <c r="H112" s="209" t="s">
        <v>68</v>
      </c>
    </row>
    <row r="113" spans="1:8" ht="24" customHeight="1">
      <c r="A113" s="218" t="s">
        <v>2390</v>
      </c>
      <c r="B113" s="218" t="s">
        <v>2480</v>
      </c>
      <c r="C113" s="213" t="s">
        <v>437</v>
      </c>
      <c r="D113" s="217"/>
      <c r="E113" s="215" t="s">
        <v>2581</v>
      </c>
      <c r="F113" s="209" t="s">
        <v>68</v>
      </c>
      <c r="G113" s="209" t="s">
        <v>2481</v>
      </c>
      <c r="H113" s="209" t="s">
        <v>68</v>
      </c>
    </row>
    <row r="114" spans="1:8" ht="24" customHeight="1">
      <c r="A114" s="218" t="s">
        <v>2402</v>
      </c>
      <c r="B114" s="218" t="s">
        <v>2403</v>
      </c>
      <c r="C114" s="213" t="s">
        <v>437</v>
      </c>
      <c r="D114" s="217"/>
      <c r="E114" s="215" t="s">
        <v>2581</v>
      </c>
      <c r="F114" s="209" t="s">
        <v>68</v>
      </c>
      <c r="G114" s="209" t="s">
        <v>2404</v>
      </c>
      <c r="H114" s="209" t="s">
        <v>68</v>
      </c>
    </row>
    <row r="115" spans="1:8" ht="24" customHeight="1">
      <c r="A115" s="218" t="s">
        <v>2359</v>
      </c>
      <c r="B115" s="218" t="s">
        <v>2363</v>
      </c>
      <c r="C115" s="213" t="s">
        <v>437</v>
      </c>
      <c r="D115" s="217"/>
      <c r="E115" s="215" t="s">
        <v>2581</v>
      </c>
      <c r="F115" s="209" t="s">
        <v>68</v>
      </c>
      <c r="G115" s="209" t="s">
        <v>2364</v>
      </c>
      <c r="H115" s="209" t="s">
        <v>68</v>
      </c>
    </row>
    <row r="116" spans="1:8" ht="24" customHeight="1">
      <c r="A116" s="218" t="s">
        <v>2359</v>
      </c>
      <c r="B116" s="218" t="s">
        <v>2360</v>
      </c>
      <c r="C116" s="213" t="s">
        <v>437</v>
      </c>
      <c r="D116" s="217"/>
      <c r="E116" s="215" t="s">
        <v>2581</v>
      </c>
      <c r="F116" s="209" t="s">
        <v>68</v>
      </c>
      <c r="G116" s="209" t="s">
        <v>2361</v>
      </c>
      <c r="H116" s="209" t="s">
        <v>68</v>
      </c>
    </row>
    <row r="117" spans="1:8" ht="24" customHeight="1">
      <c r="A117" s="218" t="s">
        <v>2096</v>
      </c>
      <c r="B117" s="218" t="s">
        <v>2097</v>
      </c>
      <c r="C117" s="213" t="s">
        <v>437</v>
      </c>
      <c r="D117" s="217"/>
      <c r="E117" s="215" t="s">
        <v>2581</v>
      </c>
      <c r="F117" s="209" t="s">
        <v>68</v>
      </c>
      <c r="G117" s="209" t="s">
        <v>2098</v>
      </c>
      <c r="H117" s="209" t="s">
        <v>68</v>
      </c>
    </row>
    <row r="118" spans="1:8" ht="24" customHeight="1">
      <c r="A118" s="218" t="s">
        <v>2253</v>
      </c>
      <c r="B118" s="218" t="s">
        <v>2254</v>
      </c>
      <c r="C118" s="213" t="s">
        <v>437</v>
      </c>
      <c r="D118" s="217"/>
      <c r="E118" s="215" t="s">
        <v>2581</v>
      </c>
      <c r="F118" s="209" t="s">
        <v>68</v>
      </c>
      <c r="G118" s="209" t="s">
        <v>2255</v>
      </c>
      <c r="H118" s="209" t="s">
        <v>68</v>
      </c>
    </row>
    <row r="119" spans="1:8" ht="24" customHeight="1">
      <c r="A119" s="218" t="s">
        <v>2406</v>
      </c>
      <c r="B119" s="218" t="s">
        <v>2407</v>
      </c>
      <c r="C119" s="213" t="s">
        <v>437</v>
      </c>
      <c r="D119" s="217"/>
      <c r="E119" s="215" t="s">
        <v>2581</v>
      </c>
      <c r="F119" s="209" t="s">
        <v>68</v>
      </c>
      <c r="G119" s="209" t="s">
        <v>2408</v>
      </c>
      <c r="H119" s="209" t="s">
        <v>68</v>
      </c>
    </row>
    <row r="120" spans="1:8" ht="24" customHeight="1">
      <c r="A120" s="218" t="s">
        <v>2102</v>
      </c>
      <c r="B120" s="218" t="s">
        <v>1223</v>
      </c>
      <c r="C120" s="213" t="s">
        <v>437</v>
      </c>
      <c r="D120" s="217"/>
      <c r="E120" s="215" t="s">
        <v>2581</v>
      </c>
      <c r="F120" s="209" t="s">
        <v>68</v>
      </c>
      <c r="G120" s="209" t="s">
        <v>2103</v>
      </c>
      <c r="H120" s="209" t="s">
        <v>68</v>
      </c>
    </row>
    <row r="121" spans="1:8" ht="24" customHeight="1">
      <c r="A121" s="218" t="s">
        <v>1469</v>
      </c>
      <c r="B121" s="218" t="s">
        <v>1470</v>
      </c>
      <c r="C121" s="213" t="s">
        <v>1471</v>
      </c>
      <c r="D121" s="217"/>
      <c r="E121" s="215" t="s">
        <v>2581</v>
      </c>
      <c r="F121" s="209" t="s">
        <v>68</v>
      </c>
      <c r="G121" s="209" t="s">
        <v>1472</v>
      </c>
      <c r="H121" s="209" t="s">
        <v>68</v>
      </c>
    </row>
    <row r="122" spans="1:8" ht="24" customHeight="1">
      <c r="A122" s="218" t="s">
        <v>1580</v>
      </c>
      <c r="B122" s="218" t="s">
        <v>790</v>
      </c>
      <c r="C122" s="213" t="s">
        <v>437</v>
      </c>
      <c r="D122" s="217"/>
      <c r="E122" s="215" t="s">
        <v>2581</v>
      </c>
      <c r="F122" s="209" t="s">
        <v>68</v>
      </c>
      <c r="G122" s="209" t="s">
        <v>1581</v>
      </c>
      <c r="H122" s="209" t="s">
        <v>68</v>
      </c>
    </row>
    <row r="123" spans="1:8" ht="24" customHeight="1">
      <c r="A123" s="218" t="s">
        <v>1580</v>
      </c>
      <c r="B123" s="218" t="s">
        <v>791</v>
      </c>
      <c r="C123" s="213" t="s">
        <v>437</v>
      </c>
      <c r="D123" s="217"/>
      <c r="E123" s="215" t="s">
        <v>2581</v>
      </c>
      <c r="F123" s="209" t="s">
        <v>68</v>
      </c>
      <c r="G123" s="209" t="s">
        <v>1582</v>
      </c>
      <c r="H123" s="209" t="s">
        <v>68</v>
      </c>
    </row>
    <row r="124" spans="1:8" ht="24" customHeight="1">
      <c r="A124" s="218" t="s">
        <v>1580</v>
      </c>
      <c r="B124" s="218" t="s">
        <v>792</v>
      </c>
      <c r="C124" s="213" t="s">
        <v>437</v>
      </c>
      <c r="D124" s="217"/>
      <c r="E124" s="215" t="s">
        <v>2581</v>
      </c>
      <c r="F124" s="209" t="s">
        <v>68</v>
      </c>
      <c r="G124" s="209" t="s">
        <v>1583</v>
      </c>
      <c r="H124" s="209" t="s">
        <v>68</v>
      </c>
    </row>
    <row r="125" spans="1:8" ht="24" customHeight="1">
      <c r="A125" s="218" t="s">
        <v>1580</v>
      </c>
      <c r="B125" s="218" t="s">
        <v>793</v>
      </c>
      <c r="C125" s="213" t="s">
        <v>437</v>
      </c>
      <c r="D125" s="217"/>
      <c r="E125" s="215" t="s">
        <v>2581</v>
      </c>
      <c r="F125" s="209" t="s">
        <v>68</v>
      </c>
      <c r="G125" s="209" t="s">
        <v>1584</v>
      </c>
      <c r="H125" s="209" t="s">
        <v>68</v>
      </c>
    </row>
    <row r="126" spans="1:8" ht="24" customHeight="1">
      <c r="A126" s="218" t="s">
        <v>1585</v>
      </c>
      <c r="B126" s="218" t="s">
        <v>794</v>
      </c>
      <c r="C126" s="213" t="s">
        <v>437</v>
      </c>
      <c r="D126" s="217"/>
      <c r="E126" s="215" t="s">
        <v>2581</v>
      </c>
      <c r="F126" s="209" t="s">
        <v>68</v>
      </c>
      <c r="G126" s="209" t="s">
        <v>1586</v>
      </c>
      <c r="H126" s="209" t="s">
        <v>68</v>
      </c>
    </row>
    <row r="127" spans="1:8" ht="24" customHeight="1">
      <c r="A127" s="218" t="s">
        <v>1587</v>
      </c>
      <c r="B127" s="218" t="s">
        <v>795</v>
      </c>
      <c r="C127" s="213" t="s">
        <v>437</v>
      </c>
      <c r="D127" s="217"/>
      <c r="E127" s="215" t="s">
        <v>2581</v>
      </c>
      <c r="F127" s="209" t="s">
        <v>68</v>
      </c>
      <c r="G127" s="209" t="s">
        <v>1588</v>
      </c>
      <c r="H127" s="209" t="s">
        <v>68</v>
      </c>
    </row>
    <row r="128" spans="1:8" ht="24" customHeight="1">
      <c r="A128" s="218" t="s">
        <v>802</v>
      </c>
      <c r="B128" s="218" t="s">
        <v>1589</v>
      </c>
      <c r="C128" s="213" t="s">
        <v>437</v>
      </c>
      <c r="D128" s="217"/>
      <c r="E128" s="215" t="s">
        <v>2581</v>
      </c>
      <c r="F128" s="209" t="s">
        <v>68</v>
      </c>
      <c r="G128" s="209" t="s">
        <v>1590</v>
      </c>
      <c r="H128" s="209" t="s">
        <v>68</v>
      </c>
    </row>
    <row r="129" spans="1:8" ht="24" customHeight="1">
      <c r="A129" s="218" t="s">
        <v>803</v>
      </c>
      <c r="B129" s="218" t="s">
        <v>1591</v>
      </c>
      <c r="C129" s="213" t="s">
        <v>437</v>
      </c>
      <c r="D129" s="217"/>
      <c r="E129" s="215" t="s">
        <v>2581</v>
      </c>
      <c r="F129" s="209" t="s">
        <v>68</v>
      </c>
      <c r="G129" s="209" t="s">
        <v>1592</v>
      </c>
      <c r="H129" s="209" t="s">
        <v>68</v>
      </c>
    </row>
    <row r="130" spans="1:8" ht="24" customHeight="1">
      <c r="A130" s="218" t="s">
        <v>804</v>
      </c>
      <c r="B130" s="218" t="s">
        <v>1593</v>
      </c>
      <c r="C130" s="213" t="s">
        <v>437</v>
      </c>
      <c r="D130" s="217"/>
      <c r="E130" s="215" t="s">
        <v>2581</v>
      </c>
      <c r="F130" s="209" t="s">
        <v>68</v>
      </c>
      <c r="G130" s="209" t="s">
        <v>1594</v>
      </c>
      <c r="H130" s="209" t="s">
        <v>68</v>
      </c>
    </row>
    <row r="131" spans="1:8" ht="24" customHeight="1">
      <c r="A131" s="218" t="s">
        <v>805</v>
      </c>
      <c r="B131" s="218" t="s">
        <v>1595</v>
      </c>
      <c r="C131" s="213" t="s">
        <v>437</v>
      </c>
      <c r="D131" s="217"/>
      <c r="E131" s="215" t="s">
        <v>2581</v>
      </c>
      <c r="F131" s="209" t="s">
        <v>68</v>
      </c>
      <c r="G131" s="209" t="s">
        <v>1596</v>
      </c>
      <c r="H131" s="209" t="s">
        <v>68</v>
      </c>
    </row>
    <row r="132" spans="1:8" ht="24" customHeight="1">
      <c r="A132" s="218" t="s">
        <v>806</v>
      </c>
      <c r="B132" s="218" t="s">
        <v>1597</v>
      </c>
      <c r="C132" s="213" t="s">
        <v>437</v>
      </c>
      <c r="D132" s="217"/>
      <c r="E132" s="215" t="s">
        <v>2581</v>
      </c>
      <c r="F132" s="209" t="s">
        <v>68</v>
      </c>
      <c r="G132" s="209" t="s">
        <v>1598</v>
      </c>
      <c r="H132" s="209" t="s">
        <v>68</v>
      </c>
    </row>
    <row r="133" spans="1:8" ht="24" customHeight="1">
      <c r="A133" s="218" t="s">
        <v>807</v>
      </c>
      <c r="B133" s="218" t="s">
        <v>1599</v>
      </c>
      <c r="C133" s="213" t="s">
        <v>437</v>
      </c>
      <c r="D133" s="217"/>
      <c r="E133" s="215" t="s">
        <v>2581</v>
      </c>
      <c r="F133" s="209" t="s">
        <v>68</v>
      </c>
      <c r="G133" s="209" t="s">
        <v>1600</v>
      </c>
      <c r="H133" s="209" t="s">
        <v>68</v>
      </c>
    </row>
    <row r="134" spans="1:8" ht="24" customHeight="1">
      <c r="A134" s="218" t="s">
        <v>808</v>
      </c>
      <c r="B134" s="218" t="s">
        <v>1601</v>
      </c>
      <c r="C134" s="213" t="s">
        <v>437</v>
      </c>
      <c r="D134" s="217"/>
      <c r="E134" s="215" t="s">
        <v>2581</v>
      </c>
      <c r="F134" s="209" t="s">
        <v>68</v>
      </c>
      <c r="G134" s="209" t="s">
        <v>1602</v>
      </c>
      <c r="H134" s="209" t="s">
        <v>68</v>
      </c>
    </row>
    <row r="135" spans="1:8" ht="24" customHeight="1">
      <c r="A135" s="218" t="s">
        <v>809</v>
      </c>
      <c r="B135" s="218" t="s">
        <v>1603</v>
      </c>
      <c r="C135" s="213" t="s">
        <v>437</v>
      </c>
      <c r="D135" s="217"/>
      <c r="E135" s="215" t="s">
        <v>2581</v>
      </c>
      <c r="F135" s="209" t="s">
        <v>68</v>
      </c>
      <c r="G135" s="209" t="s">
        <v>1604</v>
      </c>
      <c r="H135" s="209" t="s">
        <v>68</v>
      </c>
    </row>
    <row r="136" spans="1:8" ht="24" customHeight="1">
      <c r="A136" s="832" t="s">
        <v>810</v>
      </c>
      <c r="B136" s="218" t="s">
        <v>1605</v>
      </c>
      <c r="C136" s="213" t="s">
        <v>437</v>
      </c>
      <c r="D136" s="831"/>
      <c r="E136" s="215" t="s">
        <v>2581</v>
      </c>
      <c r="F136" s="209" t="s">
        <v>68</v>
      </c>
      <c r="G136" s="209" t="s">
        <v>1606</v>
      </c>
      <c r="H136" s="209" t="s">
        <v>68</v>
      </c>
    </row>
    <row r="137" spans="1:8" ht="24" customHeight="1">
      <c r="A137" s="218" t="s">
        <v>811</v>
      </c>
      <c r="B137" s="218" t="s">
        <v>1607</v>
      </c>
      <c r="C137" s="213" t="s">
        <v>437</v>
      </c>
      <c r="D137" s="217"/>
      <c r="E137" s="215" t="s">
        <v>2581</v>
      </c>
      <c r="F137" s="209" t="s">
        <v>68</v>
      </c>
      <c r="G137" s="209" t="s">
        <v>1608</v>
      </c>
      <c r="H137" s="209" t="s">
        <v>68</v>
      </c>
    </row>
    <row r="138" spans="1:8" ht="24" customHeight="1">
      <c r="A138" s="832" t="s">
        <v>812</v>
      </c>
      <c r="B138" s="218" t="s">
        <v>1609</v>
      </c>
      <c r="C138" s="213" t="s">
        <v>437</v>
      </c>
      <c r="D138" s="831"/>
      <c r="E138" s="215" t="s">
        <v>2581</v>
      </c>
      <c r="F138" s="209" t="s">
        <v>68</v>
      </c>
      <c r="G138" s="209" t="s">
        <v>1610</v>
      </c>
      <c r="H138" s="209" t="s">
        <v>68</v>
      </c>
    </row>
    <row r="139" spans="1:8" ht="24" customHeight="1">
      <c r="A139" s="218" t="s">
        <v>813</v>
      </c>
      <c r="B139" s="218" t="s">
        <v>1611</v>
      </c>
      <c r="C139" s="213" t="s">
        <v>437</v>
      </c>
      <c r="D139" s="217"/>
      <c r="E139" s="215" t="s">
        <v>2581</v>
      </c>
      <c r="F139" s="209" t="s">
        <v>68</v>
      </c>
      <c r="G139" s="209" t="s">
        <v>1612</v>
      </c>
      <c r="H139" s="209" t="s">
        <v>68</v>
      </c>
    </row>
    <row r="140" spans="1:8" ht="24" customHeight="1">
      <c r="A140" s="218" t="s">
        <v>814</v>
      </c>
      <c r="B140" s="218" t="s">
        <v>1613</v>
      </c>
      <c r="C140" s="213" t="s">
        <v>437</v>
      </c>
      <c r="D140" s="217"/>
      <c r="E140" s="215" t="s">
        <v>2581</v>
      </c>
      <c r="F140" s="209" t="s">
        <v>68</v>
      </c>
      <c r="G140" s="209" t="s">
        <v>1614</v>
      </c>
      <c r="H140" s="209" t="s">
        <v>68</v>
      </c>
    </row>
    <row r="141" spans="1:8" ht="24" customHeight="1">
      <c r="A141" s="218" t="s">
        <v>815</v>
      </c>
      <c r="B141" s="218" t="s">
        <v>1615</v>
      </c>
      <c r="C141" s="213" t="s">
        <v>437</v>
      </c>
      <c r="D141" s="217"/>
      <c r="E141" s="215" t="s">
        <v>2581</v>
      </c>
      <c r="F141" s="209" t="s">
        <v>68</v>
      </c>
      <c r="G141" s="209" t="s">
        <v>1616</v>
      </c>
      <c r="H141" s="209" t="s">
        <v>68</v>
      </c>
    </row>
    <row r="142" spans="1:8" ht="24" customHeight="1">
      <c r="A142" s="218" t="s">
        <v>816</v>
      </c>
      <c r="B142" s="218" t="s">
        <v>1617</v>
      </c>
      <c r="C142" s="213" t="s">
        <v>437</v>
      </c>
      <c r="D142" s="217"/>
      <c r="E142" s="215" t="s">
        <v>2581</v>
      </c>
      <c r="F142" s="209" t="s">
        <v>68</v>
      </c>
      <c r="G142" s="209" t="s">
        <v>1618</v>
      </c>
      <c r="H142" s="209" t="s">
        <v>68</v>
      </c>
    </row>
    <row r="143" spans="1:8" ht="24" customHeight="1">
      <c r="A143" s="218" t="s">
        <v>1478</v>
      </c>
      <c r="B143" s="218" t="s">
        <v>1479</v>
      </c>
      <c r="C143" s="213" t="s">
        <v>437</v>
      </c>
      <c r="D143" s="217"/>
      <c r="E143" s="215" t="s">
        <v>2581</v>
      </c>
      <c r="F143" s="209" t="s">
        <v>68</v>
      </c>
      <c r="G143" s="209" t="s">
        <v>1480</v>
      </c>
      <c r="H143" s="209" t="s">
        <v>68</v>
      </c>
    </row>
    <row r="144" spans="1:8" ht="24" customHeight="1">
      <c r="A144" s="218" t="s">
        <v>1481</v>
      </c>
      <c r="B144" s="218" t="s">
        <v>1482</v>
      </c>
      <c r="C144" s="213" t="s">
        <v>437</v>
      </c>
      <c r="D144" s="217"/>
      <c r="E144" s="215" t="s">
        <v>2581</v>
      </c>
      <c r="F144" s="209" t="s">
        <v>68</v>
      </c>
      <c r="G144" s="209" t="s">
        <v>1483</v>
      </c>
      <c r="H144" s="209" t="s">
        <v>68</v>
      </c>
    </row>
    <row r="145" spans="1:8" ht="24" customHeight="1">
      <c r="A145" s="218" t="s">
        <v>1484</v>
      </c>
      <c r="B145" s="218" t="s">
        <v>1485</v>
      </c>
      <c r="C145" s="213" t="s">
        <v>437</v>
      </c>
      <c r="D145" s="217"/>
      <c r="E145" s="215" t="s">
        <v>2581</v>
      </c>
      <c r="F145" s="209" t="s">
        <v>68</v>
      </c>
      <c r="G145" s="209" t="s">
        <v>1486</v>
      </c>
      <c r="H145" s="209" t="s">
        <v>68</v>
      </c>
    </row>
    <row r="146" spans="1:8" ht="24" customHeight="1">
      <c r="A146" s="218" t="s">
        <v>1487</v>
      </c>
      <c r="B146" s="218" t="s">
        <v>1488</v>
      </c>
      <c r="C146" s="213" t="s">
        <v>437</v>
      </c>
      <c r="D146" s="217"/>
      <c r="E146" s="215" t="s">
        <v>2581</v>
      </c>
      <c r="F146" s="209" t="s">
        <v>68</v>
      </c>
      <c r="G146" s="209" t="s">
        <v>1489</v>
      </c>
      <c r="H146" s="209" t="s">
        <v>68</v>
      </c>
    </row>
    <row r="147" spans="1:8" ht="24" customHeight="1">
      <c r="A147" s="218" t="s">
        <v>1490</v>
      </c>
      <c r="B147" s="218" t="s">
        <v>1491</v>
      </c>
      <c r="C147" s="213" t="s">
        <v>437</v>
      </c>
      <c r="D147" s="217"/>
      <c r="E147" s="215" t="s">
        <v>2581</v>
      </c>
      <c r="F147" s="209" t="s">
        <v>68</v>
      </c>
      <c r="G147" s="209" t="s">
        <v>1492</v>
      </c>
      <c r="H147" s="209" t="s">
        <v>68</v>
      </c>
    </row>
    <row r="148" spans="1:8" ht="24" customHeight="1">
      <c r="A148" s="218" t="s">
        <v>1493</v>
      </c>
      <c r="B148" s="218" t="s">
        <v>1494</v>
      </c>
      <c r="C148" s="213" t="s">
        <v>437</v>
      </c>
      <c r="D148" s="217"/>
      <c r="E148" s="215" t="s">
        <v>2581</v>
      </c>
      <c r="F148" s="209" t="s">
        <v>68</v>
      </c>
      <c r="G148" s="209" t="s">
        <v>1495</v>
      </c>
      <c r="H148" s="209" t="s">
        <v>68</v>
      </c>
    </row>
    <row r="149" spans="1:8" ht="24" customHeight="1">
      <c r="A149" s="218" t="s">
        <v>1496</v>
      </c>
      <c r="B149" s="218" t="s">
        <v>1497</v>
      </c>
      <c r="C149" s="213" t="s">
        <v>437</v>
      </c>
      <c r="D149" s="217"/>
      <c r="E149" s="215" t="s">
        <v>2581</v>
      </c>
      <c r="F149" s="209" t="s">
        <v>68</v>
      </c>
      <c r="G149" s="209" t="s">
        <v>1498</v>
      </c>
      <c r="H149" s="209" t="s">
        <v>68</v>
      </c>
    </row>
    <row r="150" spans="1:8" ht="24" customHeight="1">
      <c r="A150" s="218" t="s">
        <v>1499</v>
      </c>
      <c r="B150" s="218" t="s">
        <v>1500</v>
      </c>
      <c r="C150" s="213" t="s">
        <v>437</v>
      </c>
      <c r="D150" s="217"/>
      <c r="E150" s="215" t="s">
        <v>2581</v>
      </c>
      <c r="F150" s="209" t="s">
        <v>68</v>
      </c>
      <c r="G150" s="209" t="s">
        <v>1501</v>
      </c>
      <c r="H150" s="209" t="s">
        <v>68</v>
      </c>
    </row>
    <row r="151" spans="1:8" ht="24" customHeight="1">
      <c r="A151" s="218" t="s">
        <v>900</v>
      </c>
      <c r="B151" s="218" t="s">
        <v>1502</v>
      </c>
      <c r="C151" s="213" t="s">
        <v>437</v>
      </c>
      <c r="D151" s="217"/>
      <c r="E151" s="215" t="s">
        <v>2581</v>
      </c>
      <c r="F151" s="209" t="s">
        <v>68</v>
      </c>
      <c r="G151" s="209" t="s">
        <v>1503</v>
      </c>
      <c r="H151" s="209" t="s">
        <v>68</v>
      </c>
    </row>
    <row r="152" spans="1:8" ht="24" customHeight="1">
      <c r="A152" s="218" t="s">
        <v>901</v>
      </c>
      <c r="B152" s="218" t="s">
        <v>1504</v>
      </c>
      <c r="C152" s="213" t="s">
        <v>437</v>
      </c>
      <c r="D152" s="217"/>
      <c r="E152" s="215" t="s">
        <v>2581</v>
      </c>
      <c r="F152" s="209" t="s">
        <v>68</v>
      </c>
      <c r="G152" s="209" t="s">
        <v>1505</v>
      </c>
      <c r="H152" s="209" t="s">
        <v>68</v>
      </c>
    </row>
    <row r="153" spans="1:8" ht="24" customHeight="1">
      <c r="A153" s="218" t="s">
        <v>902</v>
      </c>
      <c r="B153" s="218" t="s">
        <v>1506</v>
      </c>
      <c r="C153" s="213" t="s">
        <v>437</v>
      </c>
      <c r="D153" s="217"/>
      <c r="E153" s="215" t="s">
        <v>2581</v>
      </c>
      <c r="F153" s="209" t="s">
        <v>68</v>
      </c>
      <c r="G153" s="209" t="s">
        <v>1507</v>
      </c>
      <c r="H153" s="209" t="s">
        <v>68</v>
      </c>
    </row>
    <row r="154" spans="1:8" ht="24" customHeight="1">
      <c r="A154" s="218" t="s">
        <v>903</v>
      </c>
      <c r="B154" s="218" t="s">
        <v>1508</v>
      </c>
      <c r="C154" s="213" t="s">
        <v>437</v>
      </c>
      <c r="D154" s="217"/>
      <c r="E154" s="215" t="s">
        <v>2581</v>
      </c>
      <c r="F154" s="209" t="s">
        <v>68</v>
      </c>
      <c r="G154" s="209" t="s">
        <v>1509</v>
      </c>
      <c r="H154" s="209" t="s">
        <v>68</v>
      </c>
    </row>
    <row r="155" spans="1:8" ht="24" customHeight="1">
      <c r="A155" s="218" t="s">
        <v>904</v>
      </c>
      <c r="B155" s="218" t="s">
        <v>1510</v>
      </c>
      <c r="C155" s="213" t="s">
        <v>437</v>
      </c>
      <c r="D155" s="217"/>
      <c r="E155" s="215" t="s">
        <v>2581</v>
      </c>
      <c r="F155" s="209" t="s">
        <v>68</v>
      </c>
      <c r="G155" s="209" t="s">
        <v>1511</v>
      </c>
      <c r="H155" s="209" t="s">
        <v>68</v>
      </c>
    </row>
    <row r="156" spans="1:8" ht="24" customHeight="1">
      <c r="A156" s="218" t="s">
        <v>1512</v>
      </c>
      <c r="B156" s="218" t="s">
        <v>1513</v>
      </c>
      <c r="C156" s="213" t="s">
        <v>437</v>
      </c>
      <c r="D156" s="217"/>
      <c r="E156" s="215" t="s">
        <v>2581</v>
      </c>
      <c r="F156" s="209" t="s">
        <v>68</v>
      </c>
      <c r="G156" s="209" t="s">
        <v>1514</v>
      </c>
      <c r="H156" s="209" t="s">
        <v>68</v>
      </c>
    </row>
    <row r="157" spans="1:8" ht="24" customHeight="1">
      <c r="A157" s="218" t="s">
        <v>1567</v>
      </c>
      <c r="B157" s="218" t="s">
        <v>1568</v>
      </c>
      <c r="C157" s="213" t="s">
        <v>437</v>
      </c>
      <c r="D157" s="217"/>
      <c r="E157" s="215" t="s">
        <v>2581</v>
      </c>
      <c r="F157" s="209" t="s">
        <v>68</v>
      </c>
      <c r="G157" s="209" t="s">
        <v>1569</v>
      </c>
      <c r="H157" s="209" t="s">
        <v>68</v>
      </c>
    </row>
    <row r="158" spans="1:8" ht="24" customHeight="1">
      <c r="A158" s="218" t="s">
        <v>1493</v>
      </c>
      <c r="B158" s="218" t="s">
        <v>1570</v>
      </c>
      <c r="C158" s="213" t="s">
        <v>437</v>
      </c>
      <c r="D158" s="217"/>
      <c r="E158" s="215" t="s">
        <v>2581</v>
      </c>
      <c r="F158" s="209" t="s">
        <v>68</v>
      </c>
      <c r="G158" s="209" t="s">
        <v>1571</v>
      </c>
      <c r="H158" s="209" t="s">
        <v>68</v>
      </c>
    </row>
    <row r="159" spans="1:8" ht="24" customHeight="1">
      <c r="A159" s="218" t="s">
        <v>1496</v>
      </c>
      <c r="B159" s="218" t="s">
        <v>1572</v>
      </c>
      <c r="C159" s="213" t="s">
        <v>437</v>
      </c>
      <c r="D159" s="217"/>
      <c r="E159" s="215" t="s">
        <v>2581</v>
      </c>
      <c r="F159" s="209" t="s">
        <v>68</v>
      </c>
      <c r="G159" s="209" t="s">
        <v>1573</v>
      </c>
      <c r="H159" s="209" t="s">
        <v>68</v>
      </c>
    </row>
  </sheetData>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132</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0"/>
  <sheetViews>
    <sheetView workbookViewId="0">
      <pane ySplit="3" topLeftCell="A4" activePane="bottomLeft" state="frozen"/>
      <selection activeCell="DJ113" sqref="DJ113:FG116"/>
      <selection pane="bottomLeft" activeCell="R19" sqref="R19"/>
    </sheetView>
  </sheetViews>
  <sheetFormatPr defaultRowHeight="24" customHeight="1"/>
  <cols>
    <col min="1" max="1" width="12.75" style="226" customWidth="1"/>
    <col min="2" max="2" width="17.25" style="226" customWidth="1"/>
    <col min="3" max="3" width="14.25" style="209" customWidth="1"/>
    <col min="4" max="4" width="3.75" style="208" customWidth="1"/>
    <col min="5" max="5" width="12" style="209" customWidth="1"/>
    <col min="6" max="6" width="9" style="207" customWidth="1"/>
    <col min="7" max="7" width="4.5" style="207" customWidth="1"/>
    <col min="8" max="8" width="9" style="207" customWidth="1"/>
    <col min="9" max="9" width="4.5" style="207" customWidth="1"/>
    <col min="10" max="10" width="9" style="207" customWidth="1"/>
    <col min="11" max="11" width="4.5" style="207" customWidth="1"/>
    <col min="12" max="12" width="9" style="207" customWidth="1"/>
    <col min="13" max="13" width="4.5" style="207" customWidth="1"/>
    <col min="14" max="14" width="9" style="207" customWidth="1"/>
    <col min="15" max="15" width="4.5" style="207" customWidth="1"/>
    <col min="16" max="17" width="0" style="209" hidden="1" customWidth="1"/>
    <col min="18" max="256" width="9" style="209"/>
    <col min="257" max="257" width="12.75" style="209" customWidth="1"/>
    <col min="258" max="258" width="17.25" style="209" customWidth="1"/>
    <col min="259" max="259" width="14.25" style="209" customWidth="1"/>
    <col min="260" max="260" width="3.75" style="209" customWidth="1"/>
    <col min="261" max="261" width="12" style="209" customWidth="1"/>
    <col min="262" max="262" width="9" style="209"/>
    <col min="263" max="263" width="4.5" style="209" customWidth="1"/>
    <col min="264" max="264" width="9" style="209"/>
    <col min="265" max="265" width="4.5" style="209" customWidth="1"/>
    <col min="266" max="266" width="9" style="209"/>
    <col min="267" max="267" width="4.5" style="209" customWidth="1"/>
    <col min="268" max="268" width="9" style="209"/>
    <col min="269" max="269" width="4.5" style="209" customWidth="1"/>
    <col min="270" max="270" width="9" style="209"/>
    <col min="271" max="271" width="4.5" style="209" customWidth="1"/>
    <col min="272" max="273" width="0" style="209" hidden="1" customWidth="1"/>
    <col min="274" max="512" width="9" style="209"/>
    <col min="513" max="513" width="12.75" style="209" customWidth="1"/>
    <col min="514" max="514" width="17.25" style="209" customWidth="1"/>
    <col min="515" max="515" width="14.25" style="209" customWidth="1"/>
    <col min="516" max="516" width="3.75" style="209" customWidth="1"/>
    <col min="517" max="517" width="12" style="209" customWidth="1"/>
    <col min="518" max="518" width="9" style="209"/>
    <col min="519" max="519" width="4.5" style="209" customWidth="1"/>
    <col min="520" max="520" width="9" style="209"/>
    <col min="521" max="521" width="4.5" style="209" customWidth="1"/>
    <col min="522" max="522" width="9" style="209"/>
    <col min="523" max="523" width="4.5" style="209" customWidth="1"/>
    <col min="524" max="524" width="9" style="209"/>
    <col min="525" max="525" width="4.5" style="209" customWidth="1"/>
    <col min="526" max="526" width="9" style="209"/>
    <col min="527" max="527" width="4.5" style="209" customWidth="1"/>
    <col min="528" max="529" width="0" style="209" hidden="1" customWidth="1"/>
    <col min="530" max="768" width="9" style="209"/>
    <col min="769" max="769" width="12.75" style="209" customWidth="1"/>
    <col min="770" max="770" width="17.25" style="209" customWidth="1"/>
    <col min="771" max="771" width="14.25" style="209" customWidth="1"/>
    <col min="772" max="772" width="3.75" style="209" customWidth="1"/>
    <col min="773" max="773" width="12" style="209" customWidth="1"/>
    <col min="774" max="774" width="9" style="209"/>
    <col min="775" max="775" width="4.5" style="209" customWidth="1"/>
    <col min="776" max="776" width="9" style="209"/>
    <col min="777" max="777" width="4.5" style="209" customWidth="1"/>
    <col min="778" max="778" width="9" style="209"/>
    <col min="779" max="779" width="4.5" style="209" customWidth="1"/>
    <col min="780" max="780" width="9" style="209"/>
    <col min="781" max="781" width="4.5" style="209" customWidth="1"/>
    <col min="782" max="782" width="9" style="209"/>
    <col min="783" max="783" width="4.5" style="209" customWidth="1"/>
    <col min="784" max="785" width="0" style="209" hidden="1" customWidth="1"/>
    <col min="786" max="1024" width="9" style="209"/>
    <col min="1025" max="1025" width="12.75" style="209" customWidth="1"/>
    <col min="1026" max="1026" width="17.25" style="209" customWidth="1"/>
    <col min="1027" max="1027" width="14.25" style="209" customWidth="1"/>
    <col min="1028" max="1028" width="3.75" style="209" customWidth="1"/>
    <col min="1029" max="1029" width="12" style="209" customWidth="1"/>
    <col min="1030" max="1030" width="9" style="209"/>
    <col min="1031" max="1031" width="4.5" style="209" customWidth="1"/>
    <col min="1032" max="1032" width="9" style="209"/>
    <col min="1033" max="1033" width="4.5" style="209" customWidth="1"/>
    <col min="1034" max="1034" width="9" style="209"/>
    <col min="1035" max="1035" width="4.5" style="209" customWidth="1"/>
    <col min="1036" max="1036" width="9" style="209"/>
    <col min="1037" max="1037" width="4.5" style="209" customWidth="1"/>
    <col min="1038" max="1038" width="9" style="209"/>
    <col min="1039" max="1039" width="4.5" style="209" customWidth="1"/>
    <col min="1040" max="1041" width="0" style="209" hidden="1" customWidth="1"/>
    <col min="1042" max="1280" width="9" style="209"/>
    <col min="1281" max="1281" width="12.75" style="209" customWidth="1"/>
    <col min="1282" max="1282" width="17.25" style="209" customWidth="1"/>
    <col min="1283" max="1283" width="14.25" style="209" customWidth="1"/>
    <col min="1284" max="1284" width="3.75" style="209" customWidth="1"/>
    <col min="1285" max="1285" width="12" style="209" customWidth="1"/>
    <col min="1286" max="1286" width="9" style="209"/>
    <col min="1287" max="1287" width="4.5" style="209" customWidth="1"/>
    <col min="1288" max="1288" width="9" style="209"/>
    <col min="1289" max="1289" width="4.5" style="209" customWidth="1"/>
    <col min="1290" max="1290" width="9" style="209"/>
    <col min="1291" max="1291" width="4.5" style="209" customWidth="1"/>
    <col min="1292" max="1292" width="9" style="209"/>
    <col min="1293" max="1293" width="4.5" style="209" customWidth="1"/>
    <col min="1294" max="1294" width="9" style="209"/>
    <col min="1295" max="1295" width="4.5" style="209" customWidth="1"/>
    <col min="1296" max="1297" width="0" style="209" hidden="1" customWidth="1"/>
    <col min="1298" max="1536" width="9" style="209"/>
    <col min="1537" max="1537" width="12.75" style="209" customWidth="1"/>
    <col min="1538" max="1538" width="17.25" style="209" customWidth="1"/>
    <col min="1539" max="1539" width="14.25" style="209" customWidth="1"/>
    <col min="1540" max="1540" width="3.75" style="209" customWidth="1"/>
    <col min="1541" max="1541" width="12" style="209" customWidth="1"/>
    <col min="1542" max="1542" width="9" style="209"/>
    <col min="1543" max="1543" width="4.5" style="209" customWidth="1"/>
    <col min="1544" max="1544" width="9" style="209"/>
    <col min="1545" max="1545" width="4.5" style="209" customWidth="1"/>
    <col min="1546" max="1546" width="9" style="209"/>
    <col min="1547" max="1547" width="4.5" style="209" customWidth="1"/>
    <col min="1548" max="1548" width="9" style="209"/>
    <col min="1549" max="1549" width="4.5" style="209" customWidth="1"/>
    <col min="1550" max="1550" width="9" style="209"/>
    <col min="1551" max="1551" width="4.5" style="209" customWidth="1"/>
    <col min="1552" max="1553" width="0" style="209" hidden="1" customWidth="1"/>
    <col min="1554" max="1792" width="9" style="209"/>
    <col min="1793" max="1793" width="12.75" style="209" customWidth="1"/>
    <col min="1794" max="1794" width="17.25" style="209" customWidth="1"/>
    <col min="1795" max="1795" width="14.25" style="209" customWidth="1"/>
    <col min="1796" max="1796" width="3.75" style="209" customWidth="1"/>
    <col min="1797" max="1797" width="12" style="209" customWidth="1"/>
    <col min="1798" max="1798" width="9" style="209"/>
    <col min="1799" max="1799" width="4.5" style="209" customWidth="1"/>
    <col min="1800" max="1800" width="9" style="209"/>
    <col min="1801" max="1801" width="4.5" style="209" customWidth="1"/>
    <col min="1802" max="1802" width="9" style="209"/>
    <col min="1803" max="1803" width="4.5" style="209" customWidth="1"/>
    <col min="1804" max="1804" width="9" style="209"/>
    <col min="1805" max="1805" width="4.5" style="209" customWidth="1"/>
    <col min="1806" max="1806" width="9" style="209"/>
    <col min="1807" max="1807" width="4.5" style="209" customWidth="1"/>
    <col min="1808" max="1809" width="0" style="209" hidden="1" customWidth="1"/>
    <col min="1810" max="2048" width="9" style="209"/>
    <col min="2049" max="2049" width="12.75" style="209" customWidth="1"/>
    <col min="2050" max="2050" width="17.25" style="209" customWidth="1"/>
    <col min="2051" max="2051" width="14.25" style="209" customWidth="1"/>
    <col min="2052" max="2052" width="3.75" style="209" customWidth="1"/>
    <col min="2053" max="2053" width="12" style="209" customWidth="1"/>
    <col min="2054" max="2054" width="9" style="209"/>
    <col min="2055" max="2055" width="4.5" style="209" customWidth="1"/>
    <col min="2056" max="2056" width="9" style="209"/>
    <col min="2057" max="2057" width="4.5" style="209" customWidth="1"/>
    <col min="2058" max="2058" width="9" style="209"/>
    <col min="2059" max="2059" width="4.5" style="209" customWidth="1"/>
    <col min="2060" max="2060" width="9" style="209"/>
    <col min="2061" max="2061" width="4.5" style="209" customWidth="1"/>
    <col min="2062" max="2062" width="9" style="209"/>
    <col min="2063" max="2063" width="4.5" style="209" customWidth="1"/>
    <col min="2064" max="2065" width="0" style="209" hidden="1" customWidth="1"/>
    <col min="2066" max="2304" width="9" style="209"/>
    <col min="2305" max="2305" width="12.75" style="209" customWidth="1"/>
    <col min="2306" max="2306" width="17.25" style="209" customWidth="1"/>
    <col min="2307" max="2307" width="14.25" style="209" customWidth="1"/>
    <col min="2308" max="2308" width="3.75" style="209" customWidth="1"/>
    <col min="2309" max="2309" width="12" style="209" customWidth="1"/>
    <col min="2310" max="2310" width="9" style="209"/>
    <col min="2311" max="2311" width="4.5" style="209" customWidth="1"/>
    <col min="2312" max="2312" width="9" style="209"/>
    <col min="2313" max="2313" width="4.5" style="209" customWidth="1"/>
    <col min="2314" max="2314" width="9" style="209"/>
    <col min="2315" max="2315" width="4.5" style="209" customWidth="1"/>
    <col min="2316" max="2316" width="9" style="209"/>
    <col min="2317" max="2317" width="4.5" style="209" customWidth="1"/>
    <col min="2318" max="2318" width="9" style="209"/>
    <col min="2319" max="2319" width="4.5" style="209" customWidth="1"/>
    <col min="2320" max="2321" width="0" style="209" hidden="1" customWidth="1"/>
    <col min="2322" max="2560" width="9" style="209"/>
    <col min="2561" max="2561" width="12.75" style="209" customWidth="1"/>
    <col min="2562" max="2562" width="17.25" style="209" customWidth="1"/>
    <col min="2563" max="2563" width="14.25" style="209" customWidth="1"/>
    <col min="2564" max="2564" width="3.75" style="209" customWidth="1"/>
    <col min="2565" max="2565" width="12" style="209" customWidth="1"/>
    <col min="2566" max="2566" width="9" style="209"/>
    <col min="2567" max="2567" width="4.5" style="209" customWidth="1"/>
    <col min="2568" max="2568" width="9" style="209"/>
    <col min="2569" max="2569" width="4.5" style="209" customWidth="1"/>
    <col min="2570" max="2570" width="9" style="209"/>
    <col min="2571" max="2571" width="4.5" style="209" customWidth="1"/>
    <col min="2572" max="2572" width="9" style="209"/>
    <col min="2573" max="2573" width="4.5" style="209" customWidth="1"/>
    <col min="2574" max="2574" width="9" style="209"/>
    <col min="2575" max="2575" width="4.5" style="209" customWidth="1"/>
    <col min="2576" max="2577" width="0" style="209" hidden="1" customWidth="1"/>
    <col min="2578" max="2816" width="9" style="209"/>
    <col min="2817" max="2817" width="12.75" style="209" customWidth="1"/>
    <col min="2818" max="2818" width="17.25" style="209" customWidth="1"/>
    <col min="2819" max="2819" width="14.25" style="209" customWidth="1"/>
    <col min="2820" max="2820" width="3.75" style="209" customWidth="1"/>
    <col min="2821" max="2821" width="12" style="209" customWidth="1"/>
    <col min="2822" max="2822" width="9" style="209"/>
    <col min="2823" max="2823" width="4.5" style="209" customWidth="1"/>
    <col min="2824" max="2824" width="9" style="209"/>
    <col min="2825" max="2825" width="4.5" style="209" customWidth="1"/>
    <col min="2826" max="2826" width="9" style="209"/>
    <col min="2827" max="2827" width="4.5" style="209" customWidth="1"/>
    <col min="2828" max="2828" width="9" style="209"/>
    <col min="2829" max="2829" width="4.5" style="209" customWidth="1"/>
    <col min="2830" max="2830" width="9" style="209"/>
    <col min="2831" max="2831" width="4.5" style="209" customWidth="1"/>
    <col min="2832" max="2833" width="0" style="209" hidden="1" customWidth="1"/>
    <col min="2834" max="3072" width="9" style="209"/>
    <col min="3073" max="3073" width="12.75" style="209" customWidth="1"/>
    <col min="3074" max="3074" width="17.25" style="209" customWidth="1"/>
    <col min="3075" max="3075" width="14.25" style="209" customWidth="1"/>
    <col min="3076" max="3076" width="3.75" style="209" customWidth="1"/>
    <col min="3077" max="3077" width="12" style="209" customWidth="1"/>
    <col min="3078" max="3078" width="9" style="209"/>
    <col min="3079" max="3079" width="4.5" style="209" customWidth="1"/>
    <col min="3080" max="3080" width="9" style="209"/>
    <col min="3081" max="3081" width="4.5" style="209" customWidth="1"/>
    <col min="3082" max="3082" width="9" style="209"/>
    <col min="3083" max="3083" width="4.5" style="209" customWidth="1"/>
    <col min="3084" max="3084" width="9" style="209"/>
    <col min="3085" max="3085" width="4.5" style="209" customWidth="1"/>
    <col min="3086" max="3086" width="9" style="209"/>
    <col min="3087" max="3087" width="4.5" style="209" customWidth="1"/>
    <col min="3088" max="3089" width="0" style="209" hidden="1" customWidth="1"/>
    <col min="3090" max="3328" width="9" style="209"/>
    <col min="3329" max="3329" width="12.75" style="209" customWidth="1"/>
    <col min="3330" max="3330" width="17.25" style="209" customWidth="1"/>
    <col min="3331" max="3331" width="14.25" style="209" customWidth="1"/>
    <col min="3332" max="3332" width="3.75" style="209" customWidth="1"/>
    <col min="3333" max="3333" width="12" style="209" customWidth="1"/>
    <col min="3334" max="3334" width="9" style="209"/>
    <col min="3335" max="3335" width="4.5" style="209" customWidth="1"/>
    <col min="3336" max="3336" width="9" style="209"/>
    <col min="3337" max="3337" width="4.5" style="209" customWidth="1"/>
    <col min="3338" max="3338" width="9" style="209"/>
    <col min="3339" max="3339" width="4.5" style="209" customWidth="1"/>
    <col min="3340" max="3340" width="9" style="209"/>
    <col min="3341" max="3341" width="4.5" style="209" customWidth="1"/>
    <col min="3342" max="3342" width="9" style="209"/>
    <col min="3343" max="3343" width="4.5" style="209" customWidth="1"/>
    <col min="3344" max="3345" width="0" style="209" hidden="1" customWidth="1"/>
    <col min="3346" max="3584" width="9" style="209"/>
    <col min="3585" max="3585" width="12.75" style="209" customWidth="1"/>
    <col min="3586" max="3586" width="17.25" style="209" customWidth="1"/>
    <col min="3587" max="3587" width="14.25" style="209" customWidth="1"/>
    <col min="3588" max="3588" width="3.75" style="209" customWidth="1"/>
    <col min="3589" max="3589" width="12" style="209" customWidth="1"/>
    <col min="3590" max="3590" width="9" style="209"/>
    <col min="3591" max="3591" width="4.5" style="209" customWidth="1"/>
    <col min="3592" max="3592" width="9" style="209"/>
    <col min="3593" max="3593" width="4.5" style="209" customWidth="1"/>
    <col min="3594" max="3594" width="9" style="209"/>
    <col min="3595" max="3595" width="4.5" style="209" customWidth="1"/>
    <col min="3596" max="3596" width="9" style="209"/>
    <col min="3597" max="3597" width="4.5" style="209" customWidth="1"/>
    <col min="3598" max="3598" width="9" style="209"/>
    <col min="3599" max="3599" width="4.5" style="209" customWidth="1"/>
    <col min="3600" max="3601" width="0" style="209" hidden="1" customWidth="1"/>
    <col min="3602" max="3840" width="9" style="209"/>
    <col min="3841" max="3841" width="12.75" style="209" customWidth="1"/>
    <col min="3842" max="3842" width="17.25" style="209" customWidth="1"/>
    <col min="3843" max="3843" width="14.25" style="209" customWidth="1"/>
    <col min="3844" max="3844" width="3.75" style="209" customWidth="1"/>
    <col min="3845" max="3845" width="12" style="209" customWidth="1"/>
    <col min="3846" max="3846" width="9" style="209"/>
    <col min="3847" max="3847" width="4.5" style="209" customWidth="1"/>
    <col min="3848" max="3848" width="9" style="209"/>
    <col min="3849" max="3849" width="4.5" style="209" customWidth="1"/>
    <col min="3850" max="3850" width="9" style="209"/>
    <col min="3851" max="3851" width="4.5" style="209" customWidth="1"/>
    <col min="3852" max="3852" width="9" style="209"/>
    <col min="3853" max="3853" width="4.5" style="209" customWidth="1"/>
    <col min="3854" max="3854" width="9" style="209"/>
    <col min="3855" max="3855" width="4.5" style="209" customWidth="1"/>
    <col min="3856" max="3857" width="0" style="209" hidden="1" customWidth="1"/>
    <col min="3858" max="4096" width="9" style="209"/>
    <col min="4097" max="4097" width="12.75" style="209" customWidth="1"/>
    <col min="4098" max="4098" width="17.25" style="209" customWidth="1"/>
    <col min="4099" max="4099" width="14.25" style="209" customWidth="1"/>
    <col min="4100" max="4100" width="3.75" style="209" customWidth="1"/>
    <col min="4101" max="4101" width="12" style="209" customWidth="1"/>
    <col min="4102" max="4102" width="9" style="209"/>
    <col min="4103" max="4103" width="4.5" style="209" customWidth="1"/>
    <col min="4104" max="4104" width="9" style="209"/>
    <col min="4105" max="4105" width="4.5" style="209" customWidth="1"/>
    <col min="4106" max="4106" width="9" style="209"/>
    <col min="4107" max="4107" width="4.5" style="209" customWidth="1"/>
    <col min="4108" max="4108" width="9" style="209"/>
    <col min="4109" max="4109" width="4.5" style="209" customWidth="1"/>
    <col min="4110" max="4110" width="9" style="209"/>
    <col min="4111" max="4111" width="4.5" style="209" customWidth="1"/>
    <col min="4112" max="4113" width="0" style="209" hidden="1" customWidth="1"/>
    <col min="4114" max="4352" width="9" style="209"/>
    <col min="4353" max="4353" width="12.75" style="209" customWidth="1"/>
    <col min="4354" max="4354" width="17.25" style="209" customWidth="1"/>
    <col min="4355" max="4355" width="14.25" style="209" customWidth="1"/>
    <col min="4356" max="4356" width="3.75" style="209" customWidth="1"/>
    <col min="4357" max="4357" width="12" style="209" customWidth="1"/>
    <col min="4358" max="4358" width="9" style="209"/>
    <col min="4359" max="4359" width="4.5" style="209" customWidth="1"/>
    <col min="4360" max="4360" width="9" style="209"/>
    <col min="4361" max="4361" width="4.5" style="209" customWidth="1"/>
    <col min="4362" max="4362" width="9" style="209"/>
    <col min="4363" max="4363" width="4.5" style="209" customWidth="1"/>
    <col min="4364" max="4364" width="9" style="209"/>
    <col min="4365" max="4365" width="4.5" style="209" customWidth="1"/>
    <col min="4366" max="4366" width="9" style="209"/>
    <col min="4367" max="4367" width="4.5" style="209" customWidth="1"/>
    <col min="4368" max="4369" width="0" style="209" hidden="1" customWidth="1"/>
    <col min="4370" max="4608" width="9" style="209"/>
    <col min="4609" max="4609" width="12.75" style="209" customWidth="1"/>
    <col min="4610" max="4610" width="17.25" style="209" customWidth="1"/>
    <col min="4611" max="4611" width="14.25" style="209" customWidth="1"/>
    <col min="4612" max="4612" width="3.75" style="209" customWidth="1"/>
    <col min="4613" max="4613" width="12" style="209" customWidth="1"/>
    <col min="4614" max="4614" width="9" style="209"/>
    <col min="4615" max="4615" width="4.5" style="209" customWidth="1"/>
    <col min="4616" max="4616" width="9" style="209"/>
    <col min="4617" max="4617" width="4.5" style="209" customWidth="1"/>
    <col min="4618" max="4618" width="9" style="209"/>
    <col min="4619" max="4619" width="4.5" style="209" customWidth="1"/>
    <col min="4620" max="4620" width="9" style="209"/>
    <col min="4621" max="4621" width="4.5" style="209" customWidth="1"/>
    <col min="4622" max="4622" width="9" style="209"/>
    <col min="4623" max="4623" width="4.5" style="209" customWidth="1"/>
    <col min="4624" max="4625" width="0" style="209" hidden="1" customWidth="1"/>
    <col min="4626" max="4864" width="9" style="209"/>
    <col min="4865" max="4865" width="12.75" style="209" customWidth="1"/>
    <col min="4866" max="4866" width="17.25" style="209" customWidth="1"/>
    <col min="4867" max="4867" width="14.25" style="209" customWidth="1"/>
    <col min="4868" max="4868" width="3.75" style="209" customWidth="1"/>
    <col min="4869" max="4869" width="12" style="209" customWidth="1"/>
    <col min="4870" max="4870" width="9" style="209"/>
    <col min="4871" max="4871" width="4.5" style="209" customWidth="1"/>
    <col min="4872" max="4872" width="9" style="209"/>
    <col min="4873" max="4873" width="4.5" style="209" customWidth="1"/>
    <col min="4874" max="4874" width="9" style="209"/>
    <col min="4875" max="4875" width="4.5" style="209" customWidth="1"/>
    <col min="4876" max="4876" width="9" style="209"/>
    <col min="4877" max="4877" width="4.5" style="209" customWidth="1"/>
    <col min="4878" max="4878" width="9" style="209"/>
    <col min="4879" max="4879" width="4.5" style="209" customWidth="1"/>
    <col min="4880" max="4881" width="0" style="209" hidden="1" customWidth="1"/>
    <col min="4882" max="5120" width="9" style="209"/>
    <col min="5121" max="5121" width="12.75" style="209" customWidth="1"/>
    <col min="5122" max="5122" width="17.25" style="209" customWidth="1"/>
    <col min="5123" max="5123" width="14.25" style="209" customWidth="1"/>
    <col min="5124" max="5124" width="3.75" style="209" customWidth="1"/>
    <col min="5125" max="5125" width="12" style="209" customWidth="1"/>
    <col min="5126" max="5126" width="9" style="209"/>
    <col min="5127" max="5127" width="4.5" style="209" customWidth="1"/>
    <col min="5128" max="5128" width="9" style="209"/>
    <col min="5129" max="5129" width="4.5" style="209" customWidth="1"/>
    <col min="5130" max="5130" width="9" style="209"/>
    <col min="5131" max="5131" width="4.5" style="209" customWidth="1"/>
    <col min="5132" max="5132" width="9" style="209"/>
    <col min="5133" max="5133" width="4.5" style="209" customWidth="1"/>
    <col min="5134" max="5134" width="9" style="209"/>
    <col min="5135" max="5135" width="4.5" style="209" customWidth="1"/>
    <col min="5136" max="5137" width="0" style="209" hidden="1" customWidth="1"/>
    <col min="5138" max="5376" width="9" style="209"/>
    <col min="5377" max="5377" width="12.75" style="209" customWidth="1"/>
    <col min="5378" max="5378" width="17.25" style="209" customWidth="1"/>
    <col min="5379" max="5379" width="14.25" style="209" customWidth="1"/>
    <col min="5380" max="5380" width="3.75" style="209" customWidth="1"/>
    <col min="5381" max="5381" width="12" style="209" customWidth="1"/>
    <col min="5382" max="5382" width="9" style="209"/>
    <col min="5383" max="5383" width="4.5" style="209" customWidth="1"/>
    <col min="5384" max="5384" width="9" style="209"/>
    <col min="5385" max="5385" width="4.5" style="209" customWidth="1"/>
    <col min="5386" max="5386" width="9" style="209"/>
    <col min="5387" max="5387" width="4.5" style="209" customWidth="1"/>
    <col min="5388" max="5388" width="9" style="209"/>
    <col min="5389" max="5389" width="4.5" style="209" customWidth="1"/>
    <col min="5390" max="5390" width="9" style="209"/>
    <col min="5391" max="5391" width="4.5" style="209" customWidth="1"/>
    <col min="5392" max="5393" width="0" style="209" hidden="1" customWidth="1"/>
    <col min="5394" max="5632" width="9" style="209"/>
    <col min="5633" max="5633" width="12.75" style="209" customWidth="1"/>
    <col min="5634" max="5634" width="17.25" style="209" customWidth="1"/>
    <col min="5635" max="5635" width="14.25" style="209" customWidth="1"/>
    <col min="5636" max="5636" width="3.75" style="209" customWidth="1"/>
    <col min="5637" max="5637" width="12" style="209" customWidth="1"/>
    <col min="5638" max="5638" width="9" style="209"/>
    <col min="5639" max="5639" width="4.5" style="209" customWidth="1"/>
    <col min="5640" max="5640" width="9" style="209"/>
    <col min="5641" max="5641" width="4.5" style="209" customWidth="1"/>
    <col min="5642" max="5642" width="9" style="209"/>
    <col min="5643" max="5643" width="4.5" style="209" customWidth="1"/>
    <col min="5644" max="5644" width="9" style="209"/>
    <col min="5645" max="5645" width="4.5" style="209" customWidth="1"/>
    <col min="5646" max="5646" width="9" style="209"/>
    <col min="5647" max="5647" width="4.5" style="209" customWidth="1"/>
    <col min="5648" max="5649" width="0" style="209" hidden="1" customWidth="1"/>
    <col min="5650" max="5888" width="9" style="209"/>
    <col min="5889" max="5889" width="12.75" style="209" customWidth="1"/>
    <col min="5890" max="5890" width="17.25" style="209" customWidth="1"/>
    <col min="5891" max="5891" width="14.25" style="209" customWidth="1"/>
    <col min="5892" max="5892" width="3.75" style="209" customWidth="1"/>
    <col min="5893" max="5893" width="12" style="209" customWidth="1"/>
    <col min="5894" max="5894" width="9" style="209"/>
    <col min="5895" max="5895" width="4.5" style="209" customWidth="1"/>
    <col min="5896" max="5896" width="9" style="209"/>
    <col min="5897" max="5897" width="4.5" style="209" customWidth="1"/>
    <col min="5898" max="5898" width="9" style="209"/>
    <col min="5899" max="5899" width="4.5" style="209" customWidth="1"/>
    <col min="5900" max="5900" width="9" style="209"/>
    <col min="5901" max="5901" width="4.5" style="209" customWidth="1"/>
    <col min="5902" max="5902" width="9" style="209"/>
    <col min="5903" max="5903" width="4.5" style="209" customWidth="1"/>
    <col min="5904" max="5905" width="0" style="209" hidden="1" customWidth="1"/>
    <col min="5906" max="6144" width="9" style="209"/>
    <col min="6145" max="6145" width="12.75" style="209" customWidth="1"/>
    <col min="6146" max="6146" width="17.25" style="209" customWidth="1"/>
    <col min="6147" max="6147" width="14.25" style="209" customWidth="1"/>
    <col min="6148" max="6148" width="3.75" style="209" customWidth="1"/>
    <col min="6149" max="6149" width="12" style="209" customWidth="1"/>
    <col min="6150" max="6150" width="9" style="209"/>
    <col min="6151" max="6151" width="4.5" style="209" customWidth="1"/>
    <col min="6152" max="6152" width="9" style="209"/>
    <col min="6153" max="6153" width="4.5" style="209" customWidth="1"/>
    <col min="6154" max="6154" width="9" style="209"/>
    <col min="6155" max="6155" width="4.5" style="209" customWidth="1"/>
    <col min="6156" max="6156" width="9" style="209"/>
    <col min="6157" max="6157" width="4.5" style="209" customWidth="1"/>
    <col min="6158" max="6158" width="9" style="209"/>
    <col min="6159" max="6159" width="4.5" style="209" customWidth="1"/>
    <col min="6160" max="6161" width="0" style="209" hidden="1" customWidth="1"/>
    <col min="6162" max="6400" width="9" style="209"/>
    <col min="6401" max="6401" width="12.75" style="209" customWidth="1"/>
    <col min="6402" max="6402" width="17.25" style="209" customWidth="1"/>
    <col min="6403" max="6403" width="14.25" style="209" customWidth="1"/>
    <col min="6404" max="6404" width="3.75" style="209" customWidth="1"/>
    <col min="6405" max="6405" width="12" style="209" customWidth="1"/>
    <col min="6406" max="6406" width="9" style="209"/>
    <col min="6407" max="6407" width="4.5" style="209" customWidth="1"/>
    <col min="6408" max="6408" width="9" style="209"/>
    <col min="6409" max="6409" width="4.5" style="209" customWidth="1"/>
    <col min="6410" max="6410" width="9" style="209"/>
    <col min="6411" max="6411" width="4.5" style="209" customWidth="1"/>
    <col min="6412" max="6412" width="9" style="209"/>
    <col min="6413" max="6413" width="4.5" style="209" customWidth="1"/>
    <col min="6414" max="6414" width="9" style="209"/>
    <col min="6415" max="6415" width="4.5" style="209" customWidth="1"/>
    <col min="6416" max="6417" width="0" style="209" hidden="1" customWidth="1"/>
    <col min="6418" max="6656" width="9" style="209"/>
    <col min="6657" max="6657" width="12.75" style="209" customWidth="1"/>
    <col min="6658" max="6658" width="17.25" style="209" customWidth="1"/>
    <col min="6659" max="6659" width="14.25" style="209" customWidth="1"/>
    <col min="6660" max="6660" width="3.75" style="209" customWidth="1"/>
    <col min="6661" max="6661" width="12" style="209" customWidth="1"/>
    <col min="6662" max="6662" width="9" style="209"/>
    <col min="6663" max="6663" width="4.5" style="209" customWidth="1"/>
    <col min="6664" max="6664" width="9" style="209"/>
    <col min="6665" max="6665" width="4.5" style="209" customWidth="1"/>
    <col min="6666" max="6666" width="9" style="209"/>
    <col min="6667" max="6667" width="4.5" style="209" customWidth="1"/>
    <col min="6668" max="6668" width="9" style="209"/>
    <col min="6669" max="6669" width="4.5" style="209" customWidth="1"/>
    <col min="6670" max="6670" width="9" style="209"/>
    <col min="6671" max="6671" width="4.5" style="209" customWidth="1"/>
    <col min="6672" max="6673" width="0" style="209" hidden="1" customWidth="1"/>
    <col min="6674" max="6912" width="9" style="209"/>
    <col min="6913" max="6913" width="12.75" style="209" customWidth="1"/>
    <col min="6914" max="6914" width="17.25" style="209" customWidth="1"/>
    <col min="6915" max="6915" width="14.25" style="209" customWidth="1"/>
    <col min="6916" max="6916" width="3.75" style="209" customWidth="1"/>
    <col min="6917" max="6917" width="12" style="209" customWidth="1"/>
    <col min="6918" max="6918" width="9" style="209"/>
    <col min="6919" max="6919" width="4.5" style="209" customWidth="1"/>
    <col min="6920" max="6920" width="9" style="209"/>
    <col min="6921" max="6921" width="4.5" style="209" customWidth="1"/>
    <col min="6922" max="6922" width="9" style="209"/>
    <col min="6923" max="6923" width="4.5" style="209" customWidth="1"/>
    <col min="6924" max="6924" width="9" style="209"/>
    <col min="6925" max="6925" width="4.5" style="209" customWidth="1"/>
    <col min="6926" max="6926" width="9" style="209"/>
    <col min="6927" max="6927" width="4.5" style="209" customWidth="1"/>
    <col min="6928" max="6929" width="0" style="209" hidden="1" customWidth="1"/>
    <col min="6930" max="7168" width="9" style="209"/>
    <col min="7169" max="7169" width="12.75" style="209" customWidth="1"/>
    <col min="7170" max="7170" width="17.25" style="209" customWidth="1"/>
    <col min="7171" max="7171" width="14.25" style="209" customWidth="1"/>
    <col min="7172" max="7172" width="3.75" style="209" customWidth="1"/>
    <col min="7173" max="7173" width="12" style="209" customWidth="1"/>
    <col min="7174" max="7174" width="9" style="209"/>
    <col min="7175" max="7175" width="4.5" style="209" customWidth="1"/>
    <col min="7176" max="7176" width="9" style="209"/>
    <col min="7177" max="7177" width="4.5" style="209" customWidth="1"/>
    <col min="7178" max="7178" width="9" style="209"/>
    <col min="7179" max="7179" width="4.5" style="209" customWidth="1"/>
    <col min="7180" max="7180" width="9" style="209"/>
    <col min="7181" max="7181" width="4.5" style="209" customWidth="1"/>
    <col min="7182" max="7182" width="9" style="209"/>
    <col min="7183" max="7183" width="4.5" style="209" customWidth="1"/>
    <col min="7184" max="7185" width="0" style="209" hidden="1" customWidth="1"/>
    <col min="7186" max="7424" width="9" style="209"/>
    <col min="7425" max="7425" width="12.75" style="209" customWidth="1"/>
    <col min="7426" max="7426" width="17.25" style="209" customWidth="1"/>
    <col min="7427" max="7427" width="14.25" style="209" customWidth="1"/>
    <col min="7428" max="7428" width="3.75" style="209" customWidth="1"/>
    <col min="7429" max="7429" width="12" style="209" customWidth="1"/>
    <col min="7430" max="7430" width="9" style="209"/>
    <col min="7431" max="7431" width="4.5" style="209" customWidth="1"/>
    <col min="7432" max="7432" width="9" style="209"/>
    <col min="7433" max="7433" width="4.5" style="209" customWidth="1"/>
    <col min="7434" max="7434" width="9" style="209"/>
    <col min="7435" max="7435" width="4.5" style="209" customWidth="1"/>
    <col min="7436" max="7436" width="9" style="209"/>
    <col min="7437" max="7437" width="4.5" style="209" customWidth="1"/>
    <col min="7438" max="7438" width="9" style="209"/>
    <col min="7439" max="7439" width="4.5" style="209" customWidth="1"/>
    <col min="7440" max="7441" width="0" style="209" hidden="1" customWidth="1"/>
    <col min="7442" max="7680" width="9" style="209"/>
    <col min="7681" max="7681" width="12.75" style="209" customWidth="1"/>
    <col min="7682" max="7682" width="17.25" style="209" customWidth="1"/>
    <col min="7683" max="7683" width="14.25" style="209" customWidth="1"/>
    <col min="7684" max="7684" width="3.75" style="209" customWidth="1"/>
    <col min="7685" max="7685" width="12" style="209" customWidth="1"/>
    <col min="7686" max="7686" width="9" style="209"/>
    <col min="7687" max="7687" width="4.5" style="209" customWidth="1"/>
    <col min="7688" max="7688" width="9" style="209"/>
    <col min="7689" max="7689" width="4.5" style="209" customWidth="1"/>
    <col min="7690" max="7690" width="9" style="209"/>
    <col min="7691" max="7691" width="4.5" style="209" customWidth="1"/>
    <col min="7692" max="7692" width="9" style="209"/>
    <col min="7693" max="7693" width="4.5" style="209" customWidth="1"/>
    <col min="7694" max="7694" width="9" style="209"/>
    <col min="7695" max="7695" width="4.5" style="209" customWidth="1"/>
    <col min="7696" max="7697" width="0" style="209" hidden="1" customWidth="1"/>
    <col min="7698" max="7936" width="9" style="209"/>
    <col min="7937" max="7937" width="12.75" style="209" customWidth="1"/>
    <col min="7938" max="7938" width="17.25" style="209" customWidth="1"/>
    <col min="7939" max="7939" width="14.25" style="209" customWidth="1"/>
    <col min="7940" max="7940" width="3.75" style="209" customWidth="1"/>
    <col min="7941" max="7941" width="12" style="209" customWidth="1"/>
    <col min="7942" max="7942" width="9" style="209"/>
    <col min="7943" max="7943" width="4.5" style="209" customWidth="1"/>
    <col min="7944" max="7944" width="9" style="209"/>
    <col min="7945" max="7945" width="4.5" style="209" customWidth="1"/>
    <col min="7946" max="7946" width="9" style="209"/>
    <col min="7947" max="7947" width="4.5" style="209" customWidth="1"/>
    <col min="7948" max="7948" width="9" style="209"/>
    <col min="7949" max="7949" width="4.5" style="209" customWidth="1"/>
    <col min="7950" max="7950" width="9" style="209"/>
    <col min="7951" max="7951" width="4.5" style="209" customWidth="1"/>
    <col min="7952" max="7953" width="0" style="209" hidden="1" customWidth="1"/>
    <col min="7954" max="8192" width="9" style="209"/>
    <col min="8193" max="8193" width="12.75" style="209" customWidth="1"/>
    <col min="8194" max="8194" width="17.25" style="209" customWidth="1"/>
    <col min="8195" max="8195" width="14.25" style="209" customWidth="1"/>
    <col min="8196" max="8196" width="3.75" style="209" customWidth="1"/>
    <col min="8197" max="8197" width="12" style="209" customWidth="1"/>
    <col min="8198" max="8198" width="9" style="209"/>
    <col min="8199" max="8199" width="4.5" style="209" customWidth="1"/>
    <col min="8200" max="8200" width="9" style="209"/>
    <col min="8201" max="8201" width="4.5" style="209" customWidth="1"/>
    <col min="8202" max="8202" width="9" style="209"/>
    <col min="8203" max="8203" width="4.5" style="209" customWidth="1"/>
    <col min="8204" max="8204" width="9" style="209"/>
    <col min="8205" max="8205" width="4.5" style="209" customWidth="1"/>
    <col min="8206" max="8206" width="9" style="209"/>
    <col min="8207" max="8207" width="4.5" style="209" customWidth="1"/>
    <col min="8208" max="8209" width="0" style="209" hidden="1" customWidth="1"/>
    <col min="8210" max="8448" width="9" style="209"/>
    <col min="8449" max="8449" width="12.75" style="209" customWidth="1"/>
    <col min="8450" max="8450" width="17.25" style="209" customWidth="1"/>
    <col min="8451" max="8451" width="14.25" style="209" customWidth="1"/>
    <col min="8452" max="8452" width="3.75" style="209" customWidth="1"/>
    <col min="8453" max="8453" width="12" style="209" customWidth="1"/>
    <col min="8454" max="8454" width="9" style="209"/>
    <col min="8455" max="8455" width="4.5" style="209" customWidth="1"/>
    <col min="8456" max="8456" width="9" style="209"/>
    <col min="8457" max="8457" width="4.5" style="209" customWidth="1"/>
    <col min="8458" max="8458" width="9" style="209"/>
    <col min="8459" max="8459" width="4.5" style="209" customWidth="1"/>
    <col min="8460" max="8460" width="9" style="209"/>
    <col min="8461" max="8461" width="4.5" style="209" customWidth="1"/>
    <col min="8462" max="8462" width="9" style="209"/>
    <col min="8463" max="8463" width="4.5" style="209" customWidth="1"/>
    <col min="8464" max="8465" width="0" style="209" hidden="1" customWidth="1"/>
    <col min="8466" max="8704" width="9" style="209"/>
    <col min="8705" max="8705" width="12.75" style="209" customWidth="1"/>
    <col min="8706" max="8706" width="17.25" style="209" customWidth="1"/>
    <col min="8707" max="8707" width="14.25" style="209" customWidth="1"/>
    <col min="8708" max="8708" width="3.75" style="209" customWidth="1"/>
    <col min="8709" max="8709" width="12" style="209" customWidth="1"/>
    <col min="8710" max="8710" width="9" style="209"/>
    <col min="8711" max="8711" width="4.5" style="209" customWidth="1"/>
    <col min="8712" max="8712" width="9" style="209"/>
    <col min="8713" max="8713" width="4.5" style="209" customWidth="1"/>
    <col min="8714" max="8714" width="9" style="209"/>
    <col min="8715" max="8715" width="4.5" style="209" customWidth="1"/>
    <col min="8716" max="8716" width="9" style="209"/>
    <col min="8717" max="8717" width="4.5" style="209" customWidth="1"/>
    <col min="8718" max="8718" width="9" style="209"/>
    <col min="8719" max="8719" width="4.5" style="209" customWidth="1"/>
    <col min="8720" max="8721" width="0" style="209" hidden="1" customWidth="1"/>
    <col min="8722" max="8960" width="9" style="209"/>
    <col min="8961" max="8961" width="12.75" style="209" customWidth="1"/>
    <col min="8962" max="8962" width="17.25" style="209" customWidth="1"/>
    <col min="8963" max="8963" width="14.25" style="209" customWidth="1"/>
    <col min="8964" max="8964" width="3.75" style="209" customWidth="1"/>
    <col min="8965" max="8965" width="12" style="209" customWidth="1"/>
    <col min="8966" max="8966" width="9" style="209"/>
    <col min="8967" max="8967" width="4.5" style="209" customWidth="1"/>
    <col min="8968" max="8968" width="9" style="209"/>
    <col min="8969" max="8969" width="4.5" style="209" customWidth="1"/>
    <col min="8970" max="8970" width="9" style="209"/>
    <col min="8971" max="8971" width="4.5" style="209" customWidth="1"/>
    <col min="8972" max="8972" width="9" style="209"/>
    <col min="8973" max="8973" width="4.5" style="209" customWidth="1"/>
    <col min="8974" max="8974" width="9" style="209"/>
    <col min="8975" max="8975" width="4.5" style="209" customWidth="1"/>
    <col min="8976" max="8977" width="0" style="209" hidden="1" customWidth="1"/>
    <col min="8978" max="9216" width="9" style="209"/>
    <col min="9217" max="9217" width="12.75" style="209" customWidth="1"/>
    <col min="9218" max="9218" width="17.25" style="209" customWidth="1"/>
    <col min="9219" max="9219" width="14.25" style="209" customWidth="1"/>
    <col min="9220" max="9220" width="3.75" style="209" customWidth="1"/>
    <col min="9221" max="9221" width="12" style="209" customWidth="1"/>
    <col min="9222" max="9222" width="9" style="209"/>
    <col min="9223" max="9223" width="4.5" style="209" customWidth="1"/>
    <col min="9224" max="9224" width="9" style="209"/>
    <col min="9225" max="9225" width="4.5" style="209" customWidth="1"/>
    <col min="9226" max="9226" width="9" style="209"/>
    <col min="9227" max="9227" width="4.5" style="209" customWidth="1"/>
    <col min="9228" max="9228" width="9" style="209"/>
    <col min="9229" max="9229" width="4.5" style="209" customWidth="1"/>
    <col min="9230" max="9230" width="9" style="209"/>
    <col min="9231" max="9231" width="4.5" style="209" customWidth="1"/>
    <col min="9232" max="9233" width="0" style="209" hidden="1" customWidth="1"/>
    <col min="9234" max="9472" width="9" style="209"/>
    <col min="9473" max="9473" width="12.75" style="209" customWidth="1"/>
    <col min="9474" max="9474" width="17.25" style="209" customWidth="1"/>
    <col min="9475" max="9475" width="14.25" style="209" customWidth="1"/>
    <col min="9476" max="9476" width="3.75" style="209" customWidth="1"/>
    <col min="9477" max="9477" width="12" style="209" customWidth="1"/>
    <col min="9478" max="9478" width="9" style="209"/>
    <col min="9479" max="9479" width="4.5" style="209" customWidth="1"/>
    <col min="9480" max="9480" width="9" style="209"/>
    <col min="9481" max="9481" width="4.5" style="209" customWidth="1"/>
    <col min="9482" max="9482" width="9" style="209"/>
    <col min="9483" max="9483" width="4.5" style="209" customWidth="1"/>
    <col min="9484" max="9484" width="9" style="209"/>
    <col min="9485" max="9485" width="4.5" style="209" customWidth="1"/>
    <col min="9486" max="9486" width="9" style="209"/>
    <col min="9487" max="9487" width="4.5" style="209" customWidth="1"/>
    <col min="9488" max="9489" width="0" style="209" hidden="1" customWidth="1"/>
    <col min="9490" max="9728" width="9" style="209"/>
    <col min="9729" max="9729" width="12.75" style="209" customWidth="1"/>
    <col min="9730" max="9730" width="17.25" style="209" customWidth="1"/>
    <col min="9731" max="9731" width="14.25" style="209" customWidth="1"/>
    <col min="9732" max="9732" width="3.75" style="209" customWidth="1"/>
    <col min="9733" max="9733" width="12" style="209" customWidth="1"/>
    <col min="9734" max="9734" width="9" style="209"/>
    <col min="9735" max="9735" width="4.5" style="209" customWidth="1"/>
    <col min="9736" max="9736" width="9" style="209"/>
    <col min="9737" max="9737" width="4.5" style="209" customWidth="1"/>
    <col min="9738" max="9738" width="9" style="209"/>
    <col min="9739" max="9739" width="4.5" style="209" customWidth="1"/>
    <col min="9740" max="9740" width="9" style="209"/>
    <col min="9741" max="9741" width="4.5" style="209" customWidth="1"/>
    <col min="9742" max="9742" width="9" style="209"/>
    <col min="9743" max="9743" width="4.5" style="209" customWidth="1"/>
    <col min="9744" max="9745" width="0" style="209" hidden="1" customWidth="1"/>
    <col min="9746" max="9984" width="9" style="209"/>
    <col min="9985" max="9985" width="12.75" style="209" customWidth="1"/>
    <col min="9986" max="9986" width="17.25" style="209" customWidth="1"/>
    <col min="9987" max="9987" width="14.25" style="209" customWidth="1"/>
    <col min="9988" max="9988" width="3.75" style="209" customWidth="1"/>
    <col min="9989" max="9989" width="12" style="209" customWidth="1"/>
    <col min="9990" max="9990" width="9" style="209"/>
    <col min="9991" max="9991" width="4.5" style="209" customWidth="1"/>
    <col min="9992" max="9992" width="9" style="209"/>
    <col min="9993" max="9993" width="4.5" style="209" customWidth="1"/>
    <col min="9994" max="9994" width="9" style="209"/>
    <col min="9995" max="9995" width="4.5" style="209" customWidth="1"/>
    <col min="9996" max="9996" width="9" style="209"/>
    <col min="9997" max="9997" width="4.5" style="209" customWidth="1"/>
    <col min="9998" max="9998" width="9" style="209"/>
    <col min="9999" max="9999" width="4.5" style="209" customWidth="1"/>
    <col min="10000" max="10001" width="0" style="209" hidden="1" customWidth="1"/>
    <col min="10002" max="10240" width="9" style="209"/>
    <col min="10241" max="10241" width="12.75" style="209" customWidth="1"/>
    <col min="10242" max="10242" width="17.25" style="209" customWidth="1"/>
    <col min="10243" max="10243" width="14.25" style="209" customWidth="1"/>
    <col min="10244" max="10244" width="3.75" style="209" customWidth="1"/>
    <col min="10245" max="10245" width="12" style="209" customWidth="1"/>
    <col min="10246" max="10246" width="9" style="209"/>
    <col min="10247" max="10247" width="4.5" style="209" customWidth="1"/>
    <col min="10248" max="10248" width="9" style="209"/>
    <col min="10249" max="10249" width="4.5" style="209" customWidth="1"/>
    <col min="10250" max="10250" width="9" style="209"/>
    <col min="10251" max="10251" width="4.5" style="209" customWidth="1"/>
    <col min="10252" max="10252" width="9" style="209"/>
    <col min="10253" max="10253" width="4.5" style="209" customWidth="1"/>
    <col min="10254" max="10254" width="9" style="209"/>
    <col min="10255" max="10255" width="4.5" style="209" customWidth="1"/>
    <col min="10256" max="10257" width="0" style="209" hidden="1" customWidth="1"/>
    <col min="10258" max="10496" width="9" style="209"/>
    <col min="10497" max="10497" width="12.75" style="209" customWidth="1"/>
    <col min="10498" max="10498" width="17.25" style="209" customWidth="1"/>
    <col min="10499" max="10499" width="14.25" style="209" customWidth="1"/>
    <col min="10500" max="10500" width="3.75" style="209" customWidth="1"/>
    <col min="10501" max="10501" width="12" style="209" customWidth="1"/>
    <col min="10502" max="10502" width="9" style="209"/>
    <col min="10503" max="10503" width="4.5" style="209" customWidth="1"/>
    <col min="10504" max="10504" width="9" style="209"/>
    <col min="10505" max="10505" width="4.5" style="209" customWidth="1"/>
    <col min="10506" max="10506" width="9" style="209"/>
    <col min="10507" max="10507" width="4.5" style="209" customWidth="1"/>
    <col min="10508" max="10508" width="9" style="209"/>
    <col min="10509" max="10509" width="4.5" style="209" customWidth="1"/>
    <col min="10510" max="10510" width="9" style="209"/>
    <col min="10511" max="10511" width="4.5" style="209" customWidth="1"/>
    <col min="10512" max="10513" width="0" style="209" hidden="1" customWidth="1"/>
    <col min="10514" max="10752" width="9" style="209"/>
    <col min="10753" max="10753" width="12.75" style="209" customWidth="1"/>
    <col min="10754" max="10754" width="17.25" style="209" customWidth="1"/>
    <col min="10755" max="10755" width="14.25" style="209" customWidth="1"/>
    <col min="10756" max="10756" width="3.75" style="209" customWidth="1"/>
    <col min="10757" max="10757" width="12" style="209" customWidth="1"/>
    <col min="10758" max="10758" width="9" style="209"/>
    <col min="10759" max="10759" width="4.5" style="209" customWidth="1"/>
    <col min="10760" max="10760" width="9" style="209"/>
    <col min="10761" max="10761" width="4.5" style="209" customWidth="1"/>
    <col min="10762" max="10762" width="9" style="209"/>
    <col min="10763" max="10763" width="4.5" style="209" customWidth="1"/>
    <col min="10764" max="10764" width="9" style="209"/>
    <col min="10765" max="10765" width="4.5" style="209" customWidth="1"/>
    <col min="10766" max="10766" width="9" style="209"/>
    <col min="10767" max="10767" width="4.5" style="209" customWidth="1"/>
    <col min="10768" max="10769" width="0" style="209" hidden="1" customWidth="1"/>
    <col min="10770" max="11008" width="9" style="209"/>
    <col min="11009" max="11009" width="12.75" style="209" customWidth="1"/>
    <col min="11010" max="11010" width="17.25" style="209" customWidth="1"/>
    <col min="11011" max="11011" width="14.25" style="209" customWidth="1"/>
    <col min="11012" max="11012" width="3.75" style="209" customWidth="1"/>
    <col min="11013" max="11013" width="12" style="209" customWidth="1"/>
    <col min="11014" max="11014" width="9" style="209"/>
    <col min="11015" max="11015" width="4.5" style="209" customWidth="1"/>
    <col min="11016" max="11016" width="9" style="209"/>
    <col min="11017" max="11017" width="4.5" style="209" customWidth="1"/>
    <col min="11018" max="11018" width="9" style="209"/>
    <col min="11019" max="11019" width="4.5" style="209" customWidth="1"/>
    <col min="11020" max="11020" width="9" style="209"/>
    <col min="11021" max="11021" width="4.5" style="209" customWidth="1"/>
    <col min="11022" max="11022" width="9" style="209"/>
    <col min="11023" max="11023" width="4.5" style="209" customWidth="1"/>
    <col min="11024" max="11025" width="0" style="209" hidden="1" customWidth="1"/>
    <col min="11026" max="11264" width="9" style="209"/>
    <col min="11265" max="11265" width="12.75" style="209" customWidth="1"/>
    <col min="11266" max="11266" width="17.25" style="209" customWidth="1"/>
    <col min="11267" max="11267" width="14.25" style="209" customWidth="1"/>
    <col min="11268" max="11268" width="3.75" style="209" customWidth="1"/>
    <col min="11269" max="11269" width="12" style="209" customWidth="1"/>
    <col min="11270" max="11270" width="9" style="209"/>
    <col min="11271" max="11271" width="4.5" style="209" customWidth="1"/>
    <col min="11272" max="11272" width="9" style="209"/>
    <col min="11273" max="11273" width="4.5" style="209" customWidth="1"/>
    <col min="11274" max="11274" width="9" style="209"/>
    <col min="11275" max="11275" width="4.5" style="209" customWidth="1"/>
    <col min="11276" max="11276" width="9" style="209"/>
    <col min="11277" max="11277" width="4.5" style="209" customWidth="1"/>
    <col min="11278" max="11278" width="9" style="209"/>
    <col min="11279" max="11279" width="4.5" style="209" customWidth="1"/>
    <col min="11280" max="11281" width="0" style="209" hidden="1" customWidth="1"/>
    <col min="11282" max="11520" width="9" style="209"/>
    <col min="11521" max="11521" width="12.75" style="209" customWidth="1"/>
    <col min="11522" max="11522" width="17.25" style="209" customWidth="1"/>
    <col min="11523" max="11523" width="14.25" style="209" customWidth="1"/>
    <col min="11524" max="11524" width="3.75" style="209" customWidth="1"/>
    <col min="11525" max="11525" width="12" style="209" customWidth="1"/>
    <col min="11526" max="11526" width="9" style="209"/>
    <col min="11527" max="11527" width="4.5" style="209" customWidth="1"/>
    <col min="11528" max="11528" width="9" style="209"/>
    <col min="11529" max="11529" width="4.5" style="209" customWidth="1"/>
    <col min="11530" max="11530" width="9" style="209"/>
    <col min="11531" max="11531" width="4.5" style="209" customWidth="1"/>
    <col min="11532" max="11532" width="9" style="209"/>
    <col min="11533" max="11533" width="4.5" style="209" customWidth="1"/>
    <col min="11534" max="11534" width="9" style="209"/>
    <col min="11535" max="11535" width="4.5" style="209" customWidth="1"/>
    <col min="11536" max="11537" width="0" style="209" hidden="1" customWidth="1"/>
    <col min="11538" max="11776" width="9" style="209"/>
    <col min="11777" max="11777" width="12.75" style="209" customWidth="1"/>
    <col min="11778" max="11778" width="17.25" style="209" customWidth="1"/>
    <col min="11779" max="11779" width="14.25" style="209" customWidth="1"/>
    <col min="11780" max="11780" width="3.75" style="209" customWidth="1"/>
    <col min="11781" max="11781" width="12" style="209" customWidth="1"/>
    <col min="11782" max="11782" width="9" style="209"/>
    <col min="11783" max="11783" width="4.5" style="209" customWidth="1"/>
    <col min="11784" max="11784" width="9" style="209"/>
    <col min="11785" max="11785" width="4.5" style="209" customWidth="1"/>
    <col min="11786" max="11786" width="9" style="209"/>
    <col min="11787" max="11787" width="4.5" style="209" customWidth="1"/>
    <col min="11788" max="11788" width="9" style="209"/>
    <col min="11789" max="11789" width="4.5" style="209" customWidth="1"/>
    <col min="11790" max="11790" width="9" style="209"/>
    <col min="11791" max="11791" width="4.5" style="209" customWidth="1"/>
    <col min="11792" max="11793" width="0" style="209" hidden="1" customWidth="1"/>
    <col min="11794" max="12032" width="9" style="209"/>
    <col min="12033" max="12033" width="12.75" style="209" customWidth="1"/>
    <col min="12034" max="12034" width="17.25" style="209" customWidth="1"/>
    <col min="12035" max="12035" width="14.25" style="209" customWidth="1"/>
    <col min="12036" max="12036" width="3.75" style="209" customWidth="1"/>
    <col min="12037" max="12037" width="12" style="209" customWidth="1"/>
    <col min="12038" max="12038" width="9" style="209"/>
    <col min="12039" max="12039" width="4.5" style="209" customWidth="1"/>
    <col min="12040" max="12040" width="9" style="209"/>
    <col min="12041" max="12041" width="4.5" style="209" customWidth="1"/>
    <col min="12042" max="12042" width="9" style="209"/>
    <col min="12043" max="12043" width="4.5" style="209" customWidth="1"/>
    <col min="12044" max="12044" width="9" style="209"/>
    <col min="12045" max="12045" width="4.5" style="209" customWidth="1"/>
    <col min="12046" max="12046" width="9" style="209"/>
    <col min="12047" max="12047" width="4.5" style="209" customWidth="1"/>
    <col min="12048" max="12049" width="0" style="209" hidden="1" customWidth="1"/>
    <col min="12050" max="12288" width="9" style="209"/>
    <col min="12289" max="12289" width="12.75" style="209" customWidth="1"/>
    <col min="12290" max="12290" width="17.25" style="209" customWidth="1"/>
    <col min="12291" max="12291" width="14.25" style="209" customWidth="1"/>
    <col min="12292" max="12292" width="3.75" style="209" customWidth="1"/>
    <col min="12293" max="12293" width="12" style="209" customWidth="1"/>
    <col min="12294" max="12294" width="9" style="209"/>
    <col min="12295" max="12295" width="4.5" style="209" customWidth="1"/>
    <col min="12296" max="12296" width="9" style="209"/>
    <col min="12297" max="12297" width="4.5" style="209" customWidth="1"/>
    <col min="12298" max="12298" width="9" style="209"/>
    <col min="12299" max="12299" width="4.5" style="209" customWidth="1"/>
    <col min="12300" max="12300" width="9" style="209"/>
    <col min="12301" max="12301" width="4.5" style="209" customWidth="1"/>
    <col min="12302" max="12302" width="9" style="209"/>
    <col min="12303" max="12303" width="4.5" style="209" customWidth="1"/>
    <col min="12304" max="12305" width="0" style="209" hidden="1" customWidth="1"/>
    <col min="12306" max="12544" width="9" style="209"/>
    <col min="12545" max="12545" width="12.75" style="209" customWidth="1"/>
    <col min="12546" max="12546" width="17.25" style="209" customWidth="1"/>
    <col min="12547" max="12547" width="14.25" style="209" customWidth="1"/>
    <col min="12548" max="12548" width="3.75" style="209" customWidth="1"/>
    <col min="12549" max="12549" width="12" style="209" customWidth="1"/>
    <col min="12550" max="12550" width="9" style="209"/>
    <col min="12551" max="12551" width="4.5" style="209" customWidth="1"/>
    <col min="12552" max="12552" width="9" style="209"/>
    <col min="12553" max="12553" width="4.5" style="209" customWidth="1"/>
    <col min="12554" max="12554" width="9" style="209"/>
    <col min="12555" max="12555" width="4.5" style="209" customWidth="1"/>
    <col min="12556" max="12556" width="9" style="209"/>
    <col min="12557" max="12557" width="4.5" style="209" customWidth="1"/>
    <col min="12558" max="12558" width="9" style="209"/>
    <col min="12559" max="12559" width="4.5" style="209" customWidth="1"/>
    <col min="12560" max="12561" width="0" style="209" hidden="1" customWidth="1"/>
    <col min="12562" max="12800" width="9" style="209"/>
    <col min="12801" max="12801" width="12.75" style="209" customWidth="1"/>
    <col min="12802" max="12802" width="17.25" style="209" customWidth="1"/>
    <col min="12803" max="12803" width="14.25" style="209" customWidth="1"/>
    <col min="12804" max="12804" width="3.75" style="209" customWidth="1"/>
    <col min="12805" max="12805" width="12" style="209" customWidth="1"/>
    <col min="12806" max="12806" width="9" style="209"/>
    <col min="12807" max="12807" width="4.5" style="209" customWidth="1"/>
    <col min="12808" max="12808" width="9" style="209"/>
    <col min="12809" max="12809" width="4.5" style="209" customWidth="1"/>
    <col min="12810" max="12810" width="9" style="209"/>
    <col min="12811" max="12811" width="4.5" style="209" customWidth="1"/>
    <col min="12812" max="12812" width="9" style="209"/>
    <col min="12813" max="12813" width="4.5" style="209" customWidth="1"/>
    <col min="12814" max="12814" width="9" style="209"/>
    <col min="12815" max="12815" width="4.5" style="209" customWidth="1"/>
    <col min="12816" max="12817" width="0" style="209" hidden="1" customWidth="1"/>
    <col min="12818" max="13056" width="9" style="209"/>
    <col min="13057" max="13057" width="12.75" style="209" customWidth="1"/>
    <col min="13058" max="13058" width="17.25" style="209" customWidth="1"/>
    <col min="13059" max="13059" width="14.25" style="209" customWidth="1"/>
    <col min="13060" max="13060" width="3.75" style="209" customWidth="1"/>
    <col min="13061" max="13061" width="12" style="209" customWidth="1"/>
    <col min="13062" max="13062" width="9" style="209"/>
    <col min="13063" max="13063" width="4.5" style="209" customWidth="1"/>
    <col min="13064" max="13064" width="9" style="209"/>
    <col min="13065" max="13065" width="4.5" style="209" customWidth="1"/>
    <col min="13066" max="13066" width="9" style="209"/>
    <col min="13067" max="13067" width="4.5" style="209" customWidth="1"/>
    <col min="13068" max="13068" width="9" style="209"/>
    <col min="13069" max="13069" width="4.5" style="209" customWidth="1"/>
    <col min="13070" max="13070" width="9" style="209"/>
    <col min="13071" max="13071" width="4.5" style="209" customWidth="1"/>
    <col min="13072" max="13073" width="0" style="209" hidden="1" customWidth="1"/>
    <col min="13074" max="13312" width="9" style="209"/>
    <col min="13313" max="13313" width="12.75" style="209" customWidth="1"/>
    <col min="13314" max="13314" width="17.25" style="209" customWidth="1"/>
    <col min="13315" max="13315" width="14.25" style="209" customWidth="1"/>
    <col min="13316" max="13316" width="3.75" style="209" customWidth="1"/>
    <col min="13317" max="13317" width="12" style="209" customWidth="1"/>
    <col min="13318" max="13318" width="9" style="209"/>
    <col min="13319" max="13319" width="4.5" style="209" customWidth="1"/>
    <col min="13320" max="13320" width="9" style="209"/>
    <col min="13321" max="13321" width="4.5" style="209" customWidth="1"/>
    <col min="13322" max="13322" width="9" style="209"/>
    <col min="13323" max="13323" width="4.5" style="209" customWidth="1"/>
    <col min="13324" max="13324" width="9" style="209"/>
    <col min="13325" max="13325" width="4.5" style="209" customWidth="1"/>
    <col min="13326" max="13326" width="9" style="209"/>
    <col min="13327" max="13327" width="4.5" style="209" customWidth="1"/>
    <col min="13328" max="13329" width="0" style="209" hidden="1" customWidth="1"/>
    <col min="13330" max="13568" width="9" style="209"/>
    <col min="13569" max="13569" width="12.75" style="209" customWidth="1"/>
    <col min="13570" max="13570" width="17.25" style="209" customWidth="1"/>
    <col min="13571" max="13571" width="14.25" style="209" customWidth="1"/>
    <col min="13572" max="13572" width="3.75" style="209" customWidth="1"/>
    <col min="13573" max="13573" width="12" style="209" customWidth="1"/>
    <col min="13574" max="13574" width="9" style="209"/>
    <col min="13575" max="13575" width="4.5" style="209" customWidth="1"/>
    <col min="13576" max="13576" width="9" style="209"/>
    <col min="13577" max="13577" width="4.5" style="209" customWidth="1"/>
    <col min="13578" max="13578" width="9" style="209"/>
    <col min="13579" max="13579" width="4.5" style="209" customWidth="1"/>
    <col min="13580" max="13580" width="9" style="209"/>
    <col min="13581" max="13581" width="4.5" style="209" customWidth="1"/>
    <col min="13582" max="13582" width="9" style="209"/>
    <col min="13583" max="13583" width="4.5" style="209" customWidth="1"/>
    <col min="13584" max="13585" width="0" style="209" hidden="1" customWidth="1"/>
    <col min="13586" max="13824" width="9" style="209"/>
    <col min="13825" max="13825" width="12.75" style="209" customWidth="1"/>
    <col min="13826" max="13826" width="17.25" style="209" customWidth="1"/>
    <col min="13827" max="13827" width="14.25" style="209" customWidth="1"/>
    <col min="13828" max="13828" width="3.75" style="209" customWidth="1"/>
    <col min="13829" max="13829" width="12" style="209" customWidth="1"/>
    <col min="13830" max="13830" width="9" style="209"/>
    <col min="13831" max="13831" width="4.5" style="209" customWidth="1"/>
    <col min="13832" max="13832" width="9" style="209"/>
    <col min="13833" max="13833" width="4.5" style="209" customWidth="1"/>
    <col min="13834" max="13834" width="9" style="209"/>
    <col min="13835" max="13835" width="4.5" style="209" customWidth="1"/>
    <col min="13836" max="13836" width="9" style="209"/>
    <col min="13837" max="13837" width="4.5" style="209" customWidth="1"/>
    <col min="13838" max="13838" width="9" style="209"/>
    <col min="13839" max="13839" width="4.5" style="209" customWidth="1"/>
    <col min="13840" max="13841" width="0" style="209" hidden="1" customWidth="1"/>
    <col min="13842" max="14080" width="9" style="209"/>
    <col min="14081" max="14081" width="12.75" style="209" customWidth="1"/>
    <col min="14082" max="14082" width="17.25" style="209" customWidth="1"/>
    <col min="14083" max="14083" width="14.25" style="209" customWidth="1"/>
    <col min="14084" max="14084" width="3.75" style="209" customWidth="1"/>
    <col min="14085" max="14085" width="12" style="209" customWidth="1"/>
    <col min="14086" max="14086" width="9" style="209"/>
    <col min="14087" max="14087" width="4.5" style="209" customWidth="1"/>
    <col min="14088" max="14088" width="9" style="209"/>
    <col min="14089" max="14089" width="4.5" style="209" customWidth="1"/>
    <col min="14090" max="14090" width="9" style="209"/>
    <col min="14091" max="14091" width="4.5" style="209" customWidth="1"/>
    <col min="14092" max="14092" width="9" style="209"/>
    <col min="14093" max="14093" width="4.5" style="209" customWidth="1"/>
    <col min="14094" max="14094" width="9" style="209"/>
    <col min="14095" max="14095" width="4.5" style="209" customWidth="1"/>
    <col min="14096" max="14097" width="0" style="209" hidden="1" customWidth="1"/>
    <col min="14098" max="14336" width="9" style="209"/>
    <col min="14337" max="14337" width="12.75" style="209" customWidth="1"/>
    <col min="14338" max="14338" width="17.25" style="209" customWidth="1"/>
    <col min="14339" max="14339" width="14.25" style="209" customWidth="1"/>
    <col min="14340" max="14340" width="3.75" style="209" customWidth="1"/>
    <col min="14341" max="14341" width="12" style="209" customWidth="1"/>
    <col min="14342" max="14342" width="9" style="209"/>
    <col min="14343" max="14343" width="4.5" style="209" customWidth="1"/>
    <col min="14344" max="14344" width="9" style="209"/>
    <col min="14345" max="14345" width="4.5" style="209" customWidth="1"/>
    <col min="14346" max="14346" width="9" style="209"/>
    <col min="14347" max="14347" width="4.5" style="209" customWidth="1"/>
    <col min="14348" max="14348" width="9" style="209"/>
    <col min="14349" max="14349" width="4.5" style="209" customWidth="1"/>
    <col min="14350" max="14350" width="9" style="209"/>
    <col min="14351" max="14351" width="4.5" style="209" customWidth="1"/>
    <col min="14352" max="14353" width="0" style="209" hidden="1" customWidth="1"/>
    <col min="14354" max="14592" width="9" style="209"/>
    <col min="14593" max="14593" width="12.75" style="209" customWidth="1"/>
    <col min="14594" max="14594" width="17.25" style="209" customWidth="1"/>
    <col min="14595" max="14595" width="14.25" style="209" customWidth="1"/>
    <col min="14596" max="14596" width="3.75" style="209" customWidth="1"/>
    <col min="14597" max="14597" width="12" style="209" customWidth="1"/>
    <col min="14598" max="14598" width="9" style="209"/>
    <col min="14599" max="14599" width="4.5" style="209" customWidth="1"/>
    <col min="14600" max="14600" width="9" style="209"/>
    <col min="14601" max="14601" width="4.5" style="209" customWidth="1"/>
    <col min="14602" max="14602" width="9" style="209"/>
    <col min="14603" max="14603" width="4.5" style="209" customWidth="1"/>
    <col min="14604" max="14604" width="9" style="209"/>
    <col min="14605" max="14605" width="4.5" style="209" customWidth="1"/>
    <col min="14606" max="14606" width="9" style="209"/>
    <col min="14607" max="14607" width="4.5" style="209" customWidth="1"/>
    <col min="14608" max="14609" width="0" style="209" hidden="1" customWidth="1"/>
    <col min="14610" max="14848" width="9" style="209"/>
    <col min="14849" max="14849" width="12.75" style="209" customWidth="1"/>
    <col min="14850" max="14850" width="17.25" style="209" customWidth="1"/>
    <col min="14851" max="14851" width="14.25" style="209" customWidth="1"/>
    <col min="14852" max="14852" width="3.75" style="209" customWidth="1"/>
    <col min="14853" max="14853" width="12" style="209" customWidth="1"/>
    <col min="14854" max="14854" width="9" style="209"/>
    <col min="14855" max="14855" width="4.5" style="209" customWidth="1"/>
    <col min="14856" max="14856" width="9" style="209"/>
    <col min="14857" max="14857" width="4.5" style="209" customWidth="1"/>
    <col min="14858" max="14858" width="9" style="209"/>
    <col min="14859" max="14859" width="4.5" style="209" customWidth="1"/>
    <col min="14860" max="14860" width="9" style="209"/>
    <col min="14861" max="14861" width="4.5" style="209" customWidth="1"/>
    <col min="14862" max="14862" width="9" style="209"/>
    <col min="14863" max="14863" width="4.5" style="209" customWidth="1"/>
    <col min="14864" max="14865" width="0" style="209" hidden="1" customWidth="1"/>
    <col min="14866" max="15104" width="9" style="209"/>
    <col min="15105" max="15105" width="12.75" style="209" customWidth="1"/>
    <col min="15106" max="15106" width="17.25" style="209" customWidth="1"/>
    <col min="15107" max="15107" width="14.25" style="209" customWidth="1"/>
    <col min="15108" max="15108" width="3.75" style="209" customWidth="1"/>
    <col min="15109" max="15109" width="12" style="209" customWidth="1"/>
    <col min="15110" max="15110" width="9" style="209"/>
    <col min="15111" max="15111" width="4.5" style="209" customWidth="1"/>
    <col min="15112" max="15112" width="9" style="209"/>
    <col min="15113" max="15113" width="4.5" style="209" customWidth="1"/>
    <col min="15114" max="15114" width="9" style="209"/>
    <col min="15115" max="15115" width="4.5" style="209" customWidth="1"/>
    <col min="15116" max="15116" width="9" style="209"/>
    <col min="15117" max="15117" width="4.5" style="209" customWidth="1"/>
    <col min="15118" max="15118" width="9" style="209"/>
    <col min="15119" max="15119" width="4.5" style="209" customWidth="1"/>
    <col min="15120" max="15121" width="0" style="209" hidden="1" customWidth="1"/>
    <col min="15122" max="15360" width="9" style="209"/>
    <col min="15361" max="15361" width="12.75" style="209" customWidth="1"/>
    <col min="15362" max="15362" width="17.25" style="209" customWidth="1"/>
    <col min="15363" max="15363" width="14.25" style="209" customWidth="1"/>
    <col min="15364" max="15364" width="3.75" style="209" customWidth="1"/>
    <col min="15365" max="15365" width="12" style="209" customWidth="1"/>
    <col min="15366" max="15366" width="9" style="209"/>
    <col min="15367" max="15367" width="4.5" style="209" customWidth="1"/>
    <col min="15368" max="15368" width="9" style="209"/>
    <col min="15369" max="15369" width="4.5" style="209" customWidth="1"/>
    <col min="15370" max="15370" width="9" style="209"/>
    <col min="15371" max="15371" width="4.5" style="209" customWidth="1"/>
    <col min="15372" max="15372" width="9" style="209"/>
    <col min="15373" max="15373" width="4.5" style="209" customWidth="1"/>
    <col min="15374" max="15374" width="9" style="209"/>
    <col min="15375" max="15375" width="4.5" style="209" customWidth="1"/>
    <col min="15376" max="15377" width="0" style="209" hidden="1" customWidth="1"/>
    <col min="15378" max="15616" width="9" style="209"/>
    <col min="15617" max="15617" width="12.75" style="209" customWidth="1"/>
    <col min="15618" max="15618" width="17.25" style="209" customWidth="1"/>
    <col min="15619" max="15619" width="14.25" style="209" customWidth="1"/>
    <col min="15620" max="15620" width="3.75" style="209" customWidth="1"/>
    <col min="15621" max="15621" width="12" style="209" customWidth="1"/>
    <col min="15622" max="15622" width="9" style="209"/>
    <col min="15623" max="15623" width="4.5" style="209" customWidth="1"/>
    <col min="15624" max="15624" width="9" style="209"/>
    <col min="15625" max="15625" width="4.5" style="209" customWidth="1"/>
    <col min="15626" max="15626" width="9" style="209"/>
    <col min="15627" max="15627" width="4.5" style="209" customWidth="1"/>
    <col min="15628" max="15628" width="9" style="209"/>
    <col min="15629" max="15629" width="4.5" style="209" customWidth="1"/>
    <col min="15630" max="15630" width="9" style="209"/>
    <col min="15631" max="15631" width="4.5" style="209" customWidth="1"/>
    <col min="15632" max="15633" width="0" style="209" hidden="1" customWidth="1"/>
    <col min="15634" max="15872" width="9" style="209"/>
    <col min="15873" max="15873" width="12.75" style="209" customWidth="1"/>
    <col min="15874" max="15874" width="17.25" style="209" customWidth="1"/>
    <col min="15875" max="15875" width="14.25" style="209" customWidth="1"/>
    <col min="15876" max="15876" width="3.75" style="209" customWidth="1"/>
    <col min="15877" max="15877" width="12" style="209" customWidth="1"/>
    <col min="15878" max="15878" width="9" style="209"/>
    <col min="15879" max="15879" width="4.5" style="209" customWidth="1"/>
    <col min="15880" max="15880" width="9" style="209"/>
    <col min="15881" max="15881" width="4.5" style="209" customWidth="1"/>
    <col min="15882" max="15882" width="9" style="209"/>
    <col min="15883" max="15883" width="4.5" style="209" customWidth="1"/>
    <col min="15884" max="15884" width="9" style="209"/>
    <col min="15885" max="15885" width="4.5" style="209" customWidth="1"/>
    <col min="15886" max="15886" width="9" style="209"/>
    <col min="15887" max="15887" width="4.5" style="209" customWidth="1"/>
    <col min="15888" max="15889" width="0" style="209" hidden="1" customWidth="1"/>
    <col min="15890" max="16128" width="9" style="209"/>
    <col min="16129" max="16129" width="12.75" style="209" customWidth="1"/>
    <col min="16130" max="16130" width="17.25" style="209" customWidth="1"/>
    <col min="16131" max="16131" width="14.25" style="209" customWidth="1"/>
    <col min="16132" max="16132" width="3.75" style="209" customWidth="1"/>
    <col min="16133" max="16133" width="12" style="209" customWidth="1"/>
    <col min="16134" max="16134" width="9" style="209"/>
    <col min="16135" max="16135" width="4.5" style="209" customWidth="1"/>
    <col min="16136" max="16136" width="9" style="209"/>
    <col min="16137" max="16137" width="4.5" style="209" customWidth="1"/>
    <col min="16138" max="16138" width="9" style="209"/>
    <col min="16139" max="16139" width="4.5" style="209" customWidth="1"/>
    <col min="16140" max="16140" width="9" style="209"/>
    <col min="16141" max="16141" width="4.5" style="209" customWidth="1"/>
    <col min="16142" max="16142" width="9" style="209"/>
    <col min="16143" max="16143" width="4.5" style="209" customWidth="1"/>
    <col min="16144" max="16145" width="0" style="209" hidden="1" customWidth="1"/>
    <col min="16146" max="16384" width="9" style="209"/>
  </cols>
  <sheetData>
    <row r="1" spans="1:17" ht="24" customHeight="1">
      <c r="A1" s="206" t="s">
        <v>2596</v>
      </c>
    </row>
    <row r="2" spans="1:17" ht="24" customHeight="1">
      <c r="A2" s="353" t="s">
        <v>2597</v>
      </c>
      <c r="B2" s="353" t="s">
        <v>2549</v>
      </c>
      <c r="C2" s="352" t="s">
        <v>2598</v>
      </c>
      <c r="D2" s="352" t="s">
        <v>2</v>
      </c>
      <c r="E2" s="352" t="s">
        <v>2599</v>
      </c>
      <c r="F2" s="353" t="s">
        <v>2600</v>
      </c>
      <c r="G2" s="353" t="s">
        <v>68</v>
      </c>
      <c r="H2" s="353" t="s">
        <v>2601</v>
      </c>
      <c r="I2" s="353" t="s">
        <v>68</v>
      </c>
      <c r="J2" s="353" t="s">
        <v>2602</v>
      </c>
      <c r="K2" s="353" t="s">
        <v>68</v>
      </c>
      <c r="L2" s="353" t="s">
        <v>2603</v>
      </c>
      <c r="M2" s="353" t="s">
        <v>68</v>
      </c>
      <c r="N2" s="353" t="s">
        <v>2604</v>
      </c>
      <c r="O2" s="353" t="s">
        <v>68</v>
      </c>
      <c r="P2" s="356" t="s">
        <v>2605</v>
      </c>
      <c r="Q2" s="356" t="s">
        <v>2606</v>
      </c>
    </row>
    <row r="3" spans="1:17" ht="24" customHeight="1">
      <c r="A3" s="353" t="s">
        <v>68</v>
      </c>
      <c r="B3" s="353" t="s">
        <v>68</v>
      </c>
      <c r="C3" s="352" t="s">
        <v>68</v>
      </c>
      <c r="D3" s="352" t="s">
        <v>68</v>
      </c>
      <c r="E3" s="352" t="s">
        <v>68</v>
      </c>
      <c r="F3" s="210" t="s">
        <v>2607</v>
      </c>
      <c r="G3" s="210" t="s">
        <v>2608</v>
      </c>
      <c r="H3" s="210" t="s">
        <v>2607</v>
      </c>
      <c r="I3" s="210" t="s">
        <v>2608</v>
      </c>
      <c r="J3" s="210" t="s">
        <v>2607</v>
      </c>
      <c r="K3" s="210" t="s">
        <v>2608</v>
      </c>
      <c r="L3" s="210" t="s">
        <v>2607</v>
      </c>
      <c r="M3" s="210" t="s">
        <v>2608</v>
      </c>
      <c r="N3" s="210" t="s">
        <v>2607</v>
      </c>
      <c r="O3" s="210" t="s">
        <v>2608</v>
      </c>
      <c r="P3" s="356" t="s">
        <v>68</v>
      </c>
      <c r="Q3" s="356" t="s">
        <v>68</v>
      </c>
    </row>
    <row r="4" spans="1:17" ht="24" customHeight="1">
      <c r="A4" s="218" t="s">
        <v>1933</v>
      </c>
      <c r="B4" s="218" t="s">
        <v>1930</v>
      </c>
      <c r="C4" s="214" t="s">
        <v>1931</v>
      </c>
      <c r="D4" s="213" t="s">
        <v>1932</v>
      </c>
      <c r="E4" s="217"/>
      <c r="F4" s="241"/>
      <c r="G4" s="215" t="s">
        <v>2609</v>
      </c>
      <c r="H4" s="241"/>
      <c r="I4" s="215" t="s">
        <v>2610</v>
      </c>
      <c r="J4" s="241"/>
      <c r="K4" s="215" t="s">
        <v>2609</v>
      </c>
      <c r="L4" s="241"/>
      <c r="M4" s="215" t="s">
        <v>2611</v>
      </c>
      <c r="N4" s="244"/>
      <c r="O4" s="215" t="s">
        <v>68</v>
      </c>
      <c r="P4" s="214" t="s">
        <v>2612</v>
      </c>
      <c r="Q4" s="214" t="s">
        <v>2613</v>
      </c>
    </row>
    <row r="5" spans="1:17" ht="24" customHeight="1">
      <c r="A5" s="218" t="s">
        <v>2088</v>
      </c>
      <c r="B5" s="218" t="s">
        <v>2086</v>
      </c>
      <c r="C5" s="214" t="s">
        <v>2087</v>
      </c>
      <c r="D5" s="213" t="s">
        <v>9</v>
      </c>
      <c r="E5" s="217"/>
      <c r="F5" s="215"/>
      <c r="G5" s="215" t="s">
        <v>68</v>
      </c>
      <c r="H5" s="242"/>
      <c r="I5" s="215" t="s">
        <v>2614</v>
      </c>
      <c r="J5" s="242"/>
      <c r="K5" s="215" t="s">
        <v>2615</v>
      </c>
      <c r="L5" s="215"/>
      <c r="M5" s="215" t="s">
        <v>68</v>
      </c>
      <c r="N5" s="244"/>
      <c r="O5" s="215" t="s">
        <v>68</v>
      </c>
      <c r="P5" s="214" t="s">
        <v>2612</v>
      </c>
      <c r="Q5" s="214" t="s">
        <v>2616</v>
      </c>
    </row>
    <row r="6" spans="1:17" ht="24" customHeight="1">
      <c r="A6" s="218" t="s">
        <v>2334</v>
      </c>
      <c r="B6" s="218" t="s">
        <v>2071</v>
      </c>
      <c r="C6" s="214" t="s">
        <v>2333</v>
      </c>
      <c r="D6" s="213" t="s">
        <v>1400</v>
      </c>
      <c r="E6" s="217"/>
      <c r="F6" s="215"/>
      <c r="G6" s="215" t="s">
        <v>68</v>
      </c>
      <c r="H6" s="241"/>
      <c r="I6" s="215" t="s">
        <v>2617</v>
      </c>
      <c r="J6" s="241"/>
      <c r="K6" s="215" t="s">
        <v>2618</v>
      </c>
      <c r="L6" s="215"/>
      <c r="M6" s="215" t="s">
        <v>68</v>
      </c>
      <c r="N6" s="244"/>
      <c r="O6" s="215" t="s">
        <v>68</v>
      </c>
      <c r="P6" s="214" t="s">
        <v>2612</v>
      </c>
      <c r="Q6" s="214" t="s">
        <v>2619</v>
      </c>
    </row>
    <row r="7" spans="1:17" ht="24" customHeight="1">
      <c r="A7" s="218" t="s">
        <v>2073</v>
      </c>
      <c r="B7" s="218" t="s">
        <v>2071</v>
      </c>
      <c r="C7" s="214" t="s">
        <v>2072</v>
      </c>
      <c r="D7" s="213" t="s">
        <v>1400</v>
      </c>
      <c r="E7" s="217"/>
      <c r="F7" s="215"/>
      <c r="G7" s="215" t="s">
        <v>68</v>
      </c>
      <c r="H7" s="241"/>
      <c r="I7" s="215" t="s">
        <v>2617</v>
      </c>
      <c r="J7" s="215"/>
      <c r="K7" s="215" t="s">
        <v>68</v>
      </c>
      <c r="L7" s="215"/>
      <c r="M7" s="215" t="s">
        <v>68</v>
      </c>
      <c r="N7" s="244"/>
      <c r="O7" s="215" t="s">
        <v>68</v>
      </c>
      <c r="P7" s="214" t="s">
        <v>2612</v>
      </c>
      <c r="Q7" s="214" t="s">
        <v>2619</v>
      </c>
    </row>
    <row r="8" spans="1:17" ht="24" customHeight="1">
      <c r="A8" s="218" t="s">
        <v>2421</v>
      </c>
      <c r="B8" s="218" t="s">
        <v>2266</v>
      </c>
      <c r="C8" s="214" t="s">
        <v>2419</v>
      </c>
      <c r="D8" s="213" t="s">
        <v>1932</v>
      </c>
      <c r="E8" s="217"/>
      <c r="F8" s="241"/>
      <c r="G8" s="215" t="s">
        <v>2618</v>
      </c>
      <c r="H8" s="241"/>
      <c r="I8" s="215" t="s">
        <v>2620</v>
      </c>
      <c r="J8" s="241"/>
      <c r="K8" s="215" t="s">
        <v>2621</v>
      </c>
      <c r="L8" s="241"/>
      <c r="M8" s="215" t="s">
        <v>2622</v>
      </c>
      <c r="N8" s="244"/>
      <c r="O8" s="215" t="s">
        <v>68</v>
      </c>
      <c r="P8" s="214" t="s">
        <v>2612</v>
      </c>
      <c r="Q8" s="214" t="s">
        <v>2623</v>
      </c>
    </row>
    <row r="9" spans="1:17" ht="24" customHeight="1">
      <c r="A9" s="218" t="s">
        <v>2269</v>
      </c>
      <c r="B9" s="218" t="s">
        <v>2266</v>
      </c>
      <c r="C9" s="214" t="s">
        <v>2267</v>
      </c>
      <c r="D9" s="213" t="s">
        <v>1932</v>
      </c>
      <c r="E9" s="217"/>
      <c r="F9" s="241"/>
      <c r="G9" s="215" t="s">
        <v>2618</v>
      </c>
      <c r="H9" s="241"/>
      <c r="I9" s="215" t="s">
        <v>2620</v>
      </c>
      <c r="J9" s="241"/>
      <c r="K9" s="215" t="s">
        <v>2621</v>
      </c>
      <c r="L9" s="241"/>
      <c r="M9" s="215" t="s">
        <v>2622</v>
      </c>
      <c r="N9" s="244"/>
      <c r="O9" s="215" t="s">
        <v>68</v>
      </c>
      <c r="P9" s="214" t="s">
        <v>2612</v>
      </c>
      <c r="Q9" s="214" t="s">
        <v>2623</v>
      </c>
    </row>
    <row r="10" spans="1:17" ht="24" customHeight="1">
      <c r="A10" s="218" t="s">
        <v>2144</v>
      </c>
      <c r="B10" s="218" t="s">
        <v>2141</v>
      </c>
      <c r="C10" s="214" t="s">
        <v>2624</v>
      </c>
      <c r="D10" s="213" t="s">
        <v>2143</v>
      </c>
      <c r="E10" s="217"/>
      <c r="F10" s="241"/>
      <c r="G10" s="215" t="s">
        <v>2625</v>
      </c>
      <c r="H10" s="215"/>
      <c r="I10" s="215" t="s">
        <v>68</v>
      </c>
      <c r="J10" s="241"/>
      <c r="K10" s="215" t="s">
        <v>2626</v>
      </c>
      <c r="L10" s="241"/>
      <c r="M10" s="215" t="s">
        <v>2627</v>
      </c>
      <c r="N10" s="244"/>
      <c r="O10" s="215" t="s">
        <v>68</v>
      </c>
      <c r="P10" s="214" t="s">
        <v>2612</v>
      </c>
      <c r="Q10" s="214" t="s">
        <v>2628</v>
      </c>
    </row>
    <row r="11" spans="1:17" ht="24" customHeight="1">
      <c r="A11" s="218" t="s">
        <v>2140</v>
      </c>
      <c r="B11" s="218" t="s">
        <v>2136</v>
      </c>
      <c r="C11" s="214" t="s">
        <v>2137</v>
      </c>
      <c r="D11" s="213" t="s">
        <v>2138</v>
      </c>
      <c r="E11" s="217"/>
      <c r="F11" s="242"/>
      <c r="G11" s="215" t="s">
        <v>2629</v>
      </c>
      <c r="H11" s="242"/>
      <c r="I11" s="215" t="s">
        <v>2630</v>
      </c>
      <c r="J11" s="242"/>
      <c r="K11" s="215" t="s">
        <v>2631</v>
      </c>
      <c r="L11" s="242"/>
      <c r="M11" s="215" t="s">
        <v>2610</v>
      </c>
      <c r="N11" s="244"/>
      <c r="O11" s="215" t="s">
        <v>68</v>
      </c>
      <c r="P11" s="214" t="s">
        <v>2612</v>
      </c>
      <c r="Q11" s="214" t="s">
        <v>2632</v>
      </c>
    </row>
    <row r="12" spans="1:17" ht="24" customHeight="1">
      <c r="A12" s="218" t="s">
        <v>1985</v>
      </c>
      <c r="B12" s="218" t="s">
        <v>1983</v>
      </c>
      <c r="C12" s="214" t="s">
        <v>1984</v>
      </c>
      <c r="D12" s="213" t="s">
        <v>1979</v>
      </c>
      <c r="E12" s="217"/>
      <c r="F12" s="215"/>
      <c r="G12" s="215" t="s">
        <v>68</v>
      </c>
      <c r="H12" s="215"/>
      <c r="I12" s="215" t="s">
        <v>68</v>
      </c>
      <c r="J12" s="241"/>
      <c r="K12" s="215" t="s">
        <v>2633</v>
      </c>
      <c r="L12" s="215"/>
      <c r="M12" s="215" t="s">
        <v>68</v>
      </c>
      <c r="N12" s="244"/>
      <c r="O12" s="215" t="s">
        <v>68</v>
      </c>
      <c r="P12" s="214" t="s">
        <v>2612</v>
      </c>
      <c r="Q12" s="214" t="s">
        <v>2634</v>
      </c>
    </row>
    <row r="13" spans="1:17" ht="24" customHeight="1">
      <c r="A13" s="218" t="s">
        <v>2441</v>
      </c>
      <c r="B13" s="218" t="s">
        <v>2439</v>
      </c>
      <c r="C13" s="214" t="s">
        <v>2440</v>
      </c>
      <c r="D13" s="213" t="s">
        <v>15</v>
      </c>
      <c r="E13" s="217"/>
      <c r="F13" s="215"/>
      <c r="G13" s="215" t="s">
        <v>68</v>
      </c>
      <c r="H13" s="242"/>
      <c r="I13" s="215" t="s">
        <v>2635</v>
      </c>
      <c r="J13" s="242"/>
      <c r="K13" s="215" t="s">
        <v>2636</v>
      </c>
      <c r="L13" s="242"/>
      <c r="M13" s="215" t="s">
        <v>2620</v>
      </c>
      <c r="N13" s="244"/>
      <c r="O13" s="215" t="s">
        <v>68</v>
      </c>
      <c r="P13" s="214" t="s">
        <v>2612</v>
      </c>
      <c r="Q13" s="214" t="s">
        <v>2637</v>
      </c>
    </row>
    <row r="14" spans="1:17" ht="24" customHeight="1">
      <c r="A14" s="218" t="s">
        <v>2321</v>
      </c>
      <c r="B14" s="218" t="s">
        <v>2319</v>
      </c>
      <c r="C14" s="214" t="s">
        <v>2320</v>
      </c>
      <c r="D14" s="213" t="s">
        <v>2143</v>
      </c>
      <c r="E14" s="217"/>
      <c r="F14" s="215"/>
      <c r="G14" s="215" t="s">
        <v>68</v>
      </c>
      <c r="H14" s="241"/>
      <c r="I14" s="215" t="s">
        <v>2638</v>
      </c>
      <c r="J14" s="241"/>
      <c r="K14" s="215" t="s">
        <v>2639</v>
      </c>
      <c r="L14" s="215"/>
      <c r="M14" s="215" t="s">
        <v>68</v>
      </c>
      <c r="N14" s="244"/>
      <c r="O14" s="215" t="s">
        <v>68</v>
      </c>
      <c r="P14" s="214" t="s">
        <v>2612</v>
      </c>
      <c r="Q14" s="214" t="s">
        <v>2640</v>
      </c>
    </row>
    <row r="15" spans="1:17" ht="24" customHeight="1">
      <c r="A15" s="218" t="s">
        <v>2431</v>
      </c>
      <c r="B15" s="218" t="s">
        <v>2429</v>
      </c>
      <c r="C15" s="214" t="s">
        <v>2430</v>
      </c>
      <c r="D15" s="213" t="s">
        <v>1400</v>
      </c>
      <c r="E15" s="217"/>
      <c r="F15" s="241"/>
      <c r="G15" s="215" t="s">
        <v>2641</v>
      </c>
      <c r="H15" s="215"/>
      <c r="I15" s="215" t="s">
        <v>68</v>
      </c>
      <c r="J15" s="215"/>
      <c r="K15" s="215" t="s">
        <v>68</v>
      </c>
      <c r="L15" s="241"/>
      <c r="M15" s="215" t="s">
        <v>2642</v>
      </c>
      <c r="N15" s="244"/>
      <c r="O15" s="215" t="s">
        <v>68</v>
      </c>
      <c r="P15" s="214" t="s">
        <v>2612</v>
      </c>
      <c r="Q15" s="214" t="s">
        <v>2643</v>
      </c>
    </row>
    <row r="16" spans="1:17" ht="24" customHeight="1">
      <c r="A16" s="218" t="s">
        <v>2134</v>
      </c>
      <c r="B16" s="218" t="s">
        <v>2132</v>
      </c>
      <c r="C16" s="214" t="s">
        <v>68</v>
      </c>
      <c r="D16" s="213" t="s">
        <v>2133</v>
      </c>
      <c r="E16" s="217"/>
      <c r="F16" s="215"/>
      <c r="G16" s="215" t="s">
        <v>68</v>
      </c>
      <c r="H16" s="215"/>
      <c r="I16" s="215" t="s">
        <v>68</v>
      </c>
      <c r="J16" s="241"/>
      <c r="K16" s="215" t="s">
        <v>2644</v>
      </c>
      <c r="L16" s="215"/>
      <c r="M16" s="215" t="s">
        <v>68</v>
      </c>
      <c r="N16" s="244"/>
      <c r="O16" s="215" t="s">
        <v>68</v>
      </c>
      <c r="P16" s="214" t="s">
        <v>2612</v>
      </c>
      <c r="Q16" s="214" t="s">
        <v>2645</v>
      </c>
    </row>
    <row r="17" spans="1:17" ht="24" customHeight="1">
      <c r="A17" s="218" t="s">
        <v>1980</v>
      </c>
      <c r="B17" s="218" t="s">
        <v>1977</v>
      </c>
      <c r="C17" s="214" t="s">
        <v>1978</v>
      </c>
      <c r="D17" s="213" t="s">
        <v>1979</v>
      </c>
      <c r="E17" s="217"/>
      <c r="F17" s="241"/>
      <c r="G17" s="215" t="s">
        <v>2646</v>
      </c>
      <c r="H17" s="215"/>
      <c r="I17" s="215" t="s">
        <v>68</v>
      </c>
      <c r="J17" s="215"/>
      <c r="K17" s="215" t="s">
        <v>68</v>
      </c>
      <c r="L17" s="215"/>
      <c r="M17" s="215" t="s">
        <v>68</v>
      </c>
      <c r="N17" s="244"/>
      <c r="O17" s="215" t="s">
        <v>68</v>
      </c>
      <c r="P17" s="214" t="s">
        <v>2612</v>
      </c>
      <c r="Q17" s="214" t="s">
        <v>2647</v>
      </c>
    </row>
    <row r="18" spans="1:17" ht="24" customHeight="1">
      <c r="A18" s="218" t="s">
        <v>2449</v>
      </c>
      <c r="B18" s="218" t="s">
        <v>2447</v>
      </c>
      <c r="C18" s="214" t="s">
        <v>2448</v>
      </c>
      <c r="D18" s="213" t="s">
        <v>9</v>
      </c>
      <c r="E18" s="217"/>
      <c r="F18" s="215"/>
      <c r="G18" s="215" t="s">
        <v>68</v>
      </c>
      <c r="H18" s="215"/>
      <c r="I18" s="215" t="s">
        <v>68</v>
      </c>
      <c r="J18" s="241"/>
      <c r="K18" s="215" t="s">
        <v>2648</v>
      </c>
      <c r="L18" s="241"/>
      <c r="M18" s="215" t="s">
        <v>2649</v>
      </c>
      <c r="N18" s="244"/>
      <c r="O18" s="215" t="s">
        <v>68</v>
      </c>
      <c r="P18" s="214" t="s">
        <v>2612</v>
      </c>
      <c r="Q18" s="214" t="s">
        <v>2650</v>
      </c>
    </row>
    <row r="19" spans="1:17" ht="24" customHeight="1">
      <c r="A19" s="218" t="s">
        <v>2330</v>
      </c>
      <c r="B19" s="218" t="s">
        <v>2327</v>
      </c>
      <c r="C19" s="214" t="s">
        <v>2328</v>
      </c>
      <c r="D19" s="213" t="s">
        <v>437</v>
      </c>
      <c r="E19" s="217"/>
      <c r="F19" s="241"/>
      <c r="G19" s="215" t="s">
        <v>2651</v>
      </c>
      <c r="H19" s="241"/>
      <c r="I19" s="215" t="s">
        <v>2651</v>
      </c>
      <c r="J19" s="241"/>
      <c r="K19" s="215" t="s">
        <v>2652</v>
      </c>
      <c r="L19" s="241"/>
      <c r="M19" s="215" t="s">
        <v>2651</v>
      </c>
      <c r="N19" s="244"/>
      <c r="O19" s="215" t="s">
        <v>68</v>
      </c>
      <c r="P19" s="214" t="s">
        <v>2612</v>
      </c>
      <c r="Q19" s="214" t="s">
        <v>2653</v>
      </c>
    </row>
    <row r="20" spans="1:17" ht="24" customHeight="1">
      <c r="A20" s="218" t="s">
        <v>2252</v>
      </c>
      <c r="B20" s="218" t="s">
        <v>2249</v>
      </c>
      <c r="C20" s="214" t="s">
        <v>2250</v>
      </c>
      <c r="D20" s="213" t="s">
        <v>437</v>
      </c>
      <c r="E20" s="217"/>
      <c r="F20" s="215"/>
      <c r="G20" s="215" t="s">
        <v>68</v>
      </c>
      <c r="H20" s="241"/>
      <c r="I20" s="215" t="s">
        <v>2654</v>
      </c>
      <c r="J20" s="241"/>
      <c r="K20" s="215" t="s">
        <v>2655</v>
      </c>
      <c r="L20" s="241"/>
      <c r="M20" s="215" t="s">
        <v>2656</v>
      </c>
      <c r="N20" s="244"/>
      <c r="O20" s="215" t="s">
        <v>68</v>
      </c>
      <c r="P20" s="214" t="s">
        <v>2612</v>
      </c>
      <c r="Q20" s="214" t="s">
        <v>2657</v>
      </c>
    </row>
    <row r="21" spans="1:17" ht="24" customHeight="1">
      <c r="A21" s="218" t="s">
        <v>2056</v>
      </c>
      <c r="B21" s="218" t="s">
        <v>2053</v>
      </c>
      <c r="C21" s="214" t="s">
        <v>2054</v>
      </c>
      <c r="D21" s="213" t="s">
        <v>2055</v>
      </c>
      <c r="E21" s="217"/>
      <c r="F21" s="215"/>
      <c r="G21" s="215" t="s">
        <v>68</v>
      </c>
      <c r="H21" s="215"/>
      <c r="I21" s="215" t="s">
        <v>68</v>
      </c>
      <c r="J21" s="241"/>
      <c r="K21" s="215" t="s">
        <v>2658</v>
      </c>
      <c r="L21" s="215"/>
      <c r="M21" s="215" t="s">
        <v>68</v>
      </c>
      <c r="N21" s="244"/>
      <c r="O21" s="215" t="s">
        <v>68</v>
      </c>
      <c r="P21" s="214" t="s">
        <v>2612</v>
      </c>
      <c r="Q21" s="214" t="s">
        <v>2659</v>
      </c>
    </row>
    <row r="22" spans="1:17" ht="24" customHeight="1">
      <c r="A22" s="218" t="s">
        <v>2157</v>
      </c>
      <c r="B22" s="218" t="s">
        <v>2153</v>
      </c>
      <c r="C22" s="214" t="s">
        <v>2154</v>
      </c>
      <c r="D22" s="213" t="s">
        <v>2155</v>
      </c>
      <c r="E22" s="217"/>
      <c r="F22" s="215"/>
      <c r="G22" s="215" t="s">
        <v>68</v>
      </c>
      <c r="H22" s="215"/>
      <c r="I22" s="215" t="s">
        <v>68</v>
      </c>
      <c r="J22" s="242"/>
      <c r="K22" s="215" t="s">
        <v>2660</v>
      </c>
      <c r="L22" s="215"/>
      <c r="M22" s="215" t="s">
        <v>68</v>
      </c>
      <c r="N22" s="244"/>
      <c r="O22" s="215" t="s">
        <v>68</v>
      </c>
      <c r="P22" s="214" t="s">
        <v>2612</v>
      </c>
      <c r="Q22" s="214" t="s">
        <v>2659</v>
      </c>
    </row>
    <row r="23" spans="1:17" ht="24" customHeight="1">
      <c r="A23" s="218" t="s">
        <v>2305</v>
      </c>
      <c r="B23" s="218" t="s">
        <v>2303</v>
      </c>
      <c r="C23" s="214" t="s">
        <v>2304</v>
      </c>
      <c r="D23" s="213" t="s">
        <v>9</v>
      </c>
      <c r="E23" s="217"/>
      <c r="F23" s="242"/>
      <c r="G23" s="215" t="s">
        <v>2661</v>
      </c>
      <c r="H23" s="242"/>
      <c r="I23" s="215" t="s">
        <v>2662</v>
      </c>
      <c r="J23" s="242"/>
      <c r="K23" s="215" t="s">
        <v>2663</v>
      </c>
      <c r="L23" s="243"/>
      <c r="M23" s="215" t="s">
        <v>2664</v>
      </c>
      <c r="N23" s="244"/>
      <c r="O23" s="215" t="s">
        <v>68</v>
      </c>
      <c r="P23" s="214" t="s">
        <v>2612</v>
      </c>
      <c r="Q23" s="214" t="s">
        <v>2665</v>
      </c>
    </row>
    <row r="24" spans="1:17" ht="24" customHeight="1">
      <c r="A24" s="218" t="s">
        <v>2474</v>
      </c>
      <c r="B24" s="218" t="s">
        <v>2303</v>
      </c>
      <c r="C24" s="214" t="s">
        <v>2473</v>
      </c>
      <c r="D24" s="213" t="s">
        <v>9</v>
      </c>
      <c r="E24" s="217"/>
      <c r="F24" s="242"/>
      <c r="G24" s="215" t="s">
        <v>2661</v>
      </c>
      <c r="H24" s="242"/>
      <c r="I24" s="215" t="s">
        <v>2662</v>
      </c>
      <c r="J24" s="242"/>
      <c r="K24" s="215" t="s">
        <v>2663</v>
      </c>
      <c r="L24" s="242"/>
      <c r="M24" s="215" t="s">
        <v>2664</v>
      </c>
      <c r="N24" s="244"/>
      <c r="O24" s="215" t="s">
        <v>68</v>
      </c>
      <c r="P24" s="214" t="s">
        <v>2612</v>
      </c>
      <c r="Q24" s="214" t="s">
        <v>2665</v>
      </c>
    </row>
    <row r="25" spans="1:17" ht="24" customHeight="1">
      <c r="A25" s="218" t="s">
        <v>2336</v>
      </c>
      <c r="B25" s="218" t="s">
        <v>2303</v>
      </c>
      <c r="C25" s="214" t="s">
        <v>2335</v>
      </c>
      <c r="D25" s="213" t="s">
        <v>9</v>
      </c>
      <c r="E25" s="217"/>
      <c r="F25" s="242"/>
      <c r="G25" s="215" t="s">
        <v>2661</v>
      </c>
      <c r="H25" s="242"/>
      <c r="I25" s="215" t="s">
        <v>2662</v>
      </c>
      <c r="J25" s="215"/>
      <c r="K25" s="215" t="s">
        <v>68</v>
      </c>
      <c r="L25" s="215"/>
      <c r="M25" s="215" t="s">
        <v>68</v>
      </c>
      <c r="N25" s="244"/>
      <c r="O25" s="215" t="s">
        <v>68</v>
      </c>
      <c r="P25" s="214" t="s">
        <v>2612</v>
      </c>
      <c r="Q25" s="214" t="s">
        <v>2665</v>
      </c>
    </row>
    <row r="26" spans="1:17" ht="24" customHeight="1">
      <c r="A26" s="218" t="s">
        <v>1401</v>
      </c>
      <c r="B26" s="218" t="s">
        <v>1398</v>
      </c>
      <c r="C26" s="214" t="s">
        <v>1399</v>
      </c>
      <c r="D26" s="213" t="s">
        <v>1400</v>
      </c>
      <c r="E26" s="217"/>
      <c r="F26" s="241"/>
      <c r="G26" s="215" t="s">
        <v>2666</v>
      </c>
      <c r="H26" s="241"/>
      <c r="I26" s="215" t="s">
        <v>2667</v>
      </c>
      <c r="J26" s="241"/>
      <c r="K26" s="215" t="s">
        <v>2668</v>
      </c>
      <c r="L26" s="241"/>
      <c r="M26" s="215" t="s">
        <v>2669</v>
      </c>
      <c r="N26" s="244"/>
      <c r="O26" s="215" t="s">
        <v>68</v>
      </c>
      <c r="P26" s="214" t="s">
        <v>2612</v>
      </c>
      <c r="Q26" s="214" t="s">
        <v>2670</v>
      </c>
    </row>
    <row r="27" spans="1:17" ht="24" customHeight="1">
      <c r="A27" s="218" t="s">
        <v>1404</v>
      </c>
      <c r="B27" s="218" t="s">
        <v>1402</v>
      </c>
      <c r="C27" s="214" t="s">
        <v>2671</v>
      </c>
      <c r="D27" s="213" t="s">
        <v>437</v>
      </c>
      <c r="E27" s="217"/>
      <c r="F27" s="241"/>
      <c r="G27" s="215" t="s">
        <v>2672</v>
      </c>
      <c r="H27" s="241"/>
      <c r="I27" s="215" t="s">
        <v>2673</v>
      </c>
      <c r="J27" s="215"/>
      <c r="K27" s="215" t="s">
        <v>68</v>
      </c>
      <c r="L27" s="215"/>
      <c r="M27" s="215" t="s">
        <v>68</v>
      </c>
      <c r="N27" s="244"/>
      <c r="O27" s="215" t="s">
        <v>68</v>
      </c>
      <c r="P27" s="214" t="s">
        <v>2612</v>
      </c>
      <c r="Q27" s="214" t="s">
        <v>2670</v>
      </c>
    </row>
    <row r="28" spans="1:17" ht="24" customHeight="1">
      <c r="A28" s="218" t="s">
        <v>1406</v>
      </c>
      <c r="B28" s="218" t="s">
        <v>1405</v>
      </c>
      <c r="C28" s="214" t="s">
        <v>2671</v>
      </c>
      <c r="D28" s="213" t="s">
        <v>437</v>
      </c>
      <c r="E28" s="217"/>
      <c r="F28" s="241"/>
      <c r="G28" s="215" t="s">
        <v>2672</v>
      </c>
      <c r="H28" s="241"/>
      <c r="I28" s="215" t="s">
        <v>2673</v>
      </c>
      <c r="J28" s="215"/>
      <c r="K28" s="215" t="s">
        <v>68</v>
      </c>
      <c r="L28" s="215"/>
      <c r="M28" s="215" t="s">
        <v>68</v>
      </c>
      <c r="N28" s="244"/>
      <c r="O28" s="215" t="s">
        <v>68</v>
      </c>
      <c r="P28" s="214" t="s">
        <v>2612</v>
      </c>
      <c r="Q28" s="214" t="s">
        <v>2674</v>
      </c>
    </row>
    <row r="29" spans="1:17" ht="24" customHeight="1">
      <c r="A29" s="218" t="s">
        <v>2020</v>
      </c>
      <c r="B29" s="218" t="s">
        <v>2017</v>
      </c>
      <c r="C29" s="214" t="s">
        <v>2675</v>
      </c>
      <c r="D29" s="213" t="s">
        <v>2019</v>
      </c>
      <c r="E29" s="217"/>
      <c r="F29" s="241"/>
      <c r="G29" s="215" t="s">
        <v>2676</v>
      </c>
      <c r="H29" s="241"/>
      <c r="I29" s="215" t="s">
        <v>2677</v>
      </c>
      <c r="J29" s="241"/>
      <c r="K29" s="215" t="s">
        <v>2678</v>
      </c>
      <c r="L29" s="241"/>
      <c r="M29" s="215" t="s">
        <v>2679</v>
      </c>
      <c r="N29" s="244"/>
      <c r="O29" s="215" t="s">
        <v>68</v>
      </c>
      <c r="P29" s="214" t="s">
        <v>2612</v>
      </c>
      <c r="Q29" s="214" t="s">
        <v>2680</v>
      </c>
    </row>
    <row r="30" spans="1:17" ht="24" customHeight="1">
      <c r="A30" s="218" t="s">
        <v>2176</v>
      </c>
      <c r="B30" s="218" t="s">
        <v>2174</v>
      </c>
      <c r="C30" s="214" t="s">
        <v>2175</v>
      </c>
      <c r="D30" s="213" t="s">
        <v>2055</v>
      </c>
      <c r="E30" s="217"/>
      <c r="F30" s="215"/>
      <c r="G30" s="215" t="s">
        <v>68</v>
      </c>
      <c r="H30" s="241"/>
      <c r="I30" s="215" t="s">
        <v>2681</v>
      </c>
      <c r="J30" s="241"/>
      <c r="K30" s="215" t="s">
        <v>2682</v>
      </c>
      <c r="L30" s="241"/>
      <c r="M30" s="215" t="s">
        <v>2683</v>
      </c>
      <c r="N30" s="244"/>
      <c r="O30" s="215" t="s">
        <v>68</v>
      </c>
      <c r="P30" s="214" t="s">
        <v>2612</v>
      </c>
      <c r="Q30" s="214" t="s">
        <v>2684</v>
      </c>
    </row>
    <row r="31" spans="1:17" ht="24" customHeight="1">
      <c r="A31" s="218" t="s">
        <v>2083</v>
      </c>
      <c r="B31" s="218" t="s">
        <v>2081</v>
      </c>
      <c r="C31" s="214" t="s">
        <v>2082</v>
      </c>
      <c r="D31" s="213" t="s">
        <v>2055</v>
      </c>
      <c r="E31" s="217"/>
      <c r="F31" s="215"/>
      <c r="G31" s="215" t="s">
        <v>68</v>
      </c>
      <c r="H31" s="215"/>
      <c r="I31" s="215" t="s">
        <v>68</v>
      </c>
      <c r="J31" s="215"/>
      <c r="K31" s="215" t="s">
        <v>68</v>
      </c>
      <c r="L31" s="215"/>
      <c r="M31" s="215" t="s">
        <v>68</v>
      </c>
      <c r="N31" s="245"/>
      <c r="O31" s="215" t="s">
        <v>2685</v>
      </c>
      <c r="P31" s="214" t="s">
        <v>68</v>
      </c>
      <c r="Q31" s="214" t="s">
        <v>68</v>
      </c>
    </row>
    <row r="32" spans="1:17" ht="24" customHeight="1">
      <c r="A32" s="218" t="s">
        <v>2232</v>
      </c>
      <c r="B32" s="218" t="s">
        <v>2230</v>
      </c>
      <c r="C32" s="214" t="s">
        <v>2231</v>
      </c>
      <c r="D32" s="213" t="s">
        <v>2155</v>
      </c>
      <c r="E32" s="217"/>
      <c r="F32" s="215"/>
      <c r="G32" s="215" t="s">
        <v>68</v>
      </c>
      <c r="H32" s="215"/>
      <c r="I32" s="215" t="s">
        <v>68</v>
      </c>
      <c r="J32" s="215"/>
      <c r="K32" s="215" t="s">
        <v>68</v>
      </c>
      <c r="L32" s="215"/>
      <c r="M32" s="215" t="s">
        <v>68</v>
      </c>
      <c r="N32" s="245"/>
      <c r="O32" s="215" t="s">
        <v>2685</v>
      </c>
      <c r="P32" s="214" t="s">
        <v>68</v>
      </c>
      <c r="Q32" s="214" t="s">
        <v>68</v>
      </c>
    </row>
    <row r="33" spans="1:17" ht="24" customHeight="1">
      <c r="A33" s="218" t="s">
        <v>2091</v>
      </c>
      <c r="B33" s="218" t="s">
        <v>2089</v>
      </c>
      <c r="C33" s="214" t="s">
        <v>2090</v>
      </c>
      <c r="D33" s="213" t="s">
        <v>9</v>
      </c>
      <c r="E33" s="217"/>
      <c r="F33" s="215"/>
      <c r="G33" s="215" t="s">
        <v>68</v>
      </c>
      <c r="H33" s="215"/>
      <c r="I33" s="215" t="s">
        <v>68</v>
      </c>
      <c r="J33" s="215"/>
      <c r="K33" s="215" t="s">
        <v>68</v>
      </c>
      <c r="L33" s="215"/>
      <c r="M33" s="215" t="s">
        <v>68</v>
      </c>
      <c r="N33" s="245"/>
      <c r="O33" s="215" t="s">
        <v>68</v>
      </c>
      <c r="P33" s="214" t="s">
        <v>2612</v>
      </c>
      <c r="Q33" s="214" t="s">
        <v>2686</v>
      </c>
    </row>
    <row r="34" spans="1:17" ht="24" customHeight="1">
      <c r="A34" s="218" t="s">
        <v>2317</v>
      </c>
      <c r="B34" s="218" t="s">
        <v>2315</v>
      </c>
      <c r="C34" s="214" t="s">
        <v>2316</v>
      </c>
      <c r="D34" s="213" t="s">
        <v>2155</v>
      </c>
      <c r="E34" s="217"/>
      <c r="F34" s="215"/>
      <c r="G34" s="215" t="s">
        <v>68</v>
      </c>
      <c r="H34" s="241"/>
      <c r="I34" s="215" t="s">
        <v>2687</v>
      </c>
      <c r="J34" s="215"/>
      <c r="K34" s="215" t="s">
        <v>68</v>
      </c>
      <c r="L34" s="215"/>
      <c r="M34" s="215" t="s">
        <v>68</v>
      </c>
      <c r="N34" s="244"/>
      <c r="O34" s="215" t="s">
        <v>68</v>
      </c>
      <c r="P34" s="214" t="s">
        <v>68</v>
      </c>
      <c r="Q34" s="214" t="s">
        <v>68</v>
      </c>
    </row>
    <row r="35" spans="1:17" ht="24" customHeight="1">
      <c r="A35" s="218" t="s">
        <v>2228</v>
      </c>
      <c r="B35" s="218" t="s">
        <v>2226</v>
      </c>
      <c r="C35" s="214" t="s">
        <v>2227</v>
      </c>
      <c r="D35" s="213" t="s">
        <v>1979</v>
      </c>
      <c r="E35" s="217"/>
      <c r="F35" s="215"/>
      <c r="G35" s="215" t="s">
        <v>68</v>
      </c>
      <c r="H35" s="241"/>
      <c r="I35" s="215" t="s">
        <v>2688</v>
      </c>
      <c r="J35" s="215"/>
      <c r="K35" s="215" t="s">
        <v>68</v>
      </c>
      <c r="L35" s="215"/>
      <c r="M35" s="215" t="s">
        <v>68</v>
      </c>
      <c r="N35" s="244"/>
      <c r="O35" s="215" t="s">
        <v>68</v>
      </c>
      <c r="P35" s="214" t="s">
        <v>68</v>
      </c>
      <c r="Q35" s="214" t="s">
        <v>68</v>
      </c>
    </row>
    <row r="36" spans="1:17" ht="24" customHeight="1">
      <c r="A36" s="218" t="s">
        <v>2183</v>
      </c>
      <c r="B36" s="218" t="s">
        <v>2179</v>
      </c>
      <c r="C36" s="214" t="s">
        <v>2182</v>
      </c>
      <c r="D36" s="213" t="s">
        <v>1412</v>
      </c>
      <c r="E36" s="217"/>
      <c r="F36" s="215"/>
      <c r="G36" s="215" t="s">
        <v>68</v>
      </c>
      <c r="H36" s="241"/>
      <c r="I36" s="215" t="s">
        <v>2689</v>
      </c>
      <c r="J36" s="241"/>
      <c r="K36" s="215" t="s">
        <v>68</v>
      </c>
      <c r="L36" s="215"/>
      <c r="M36" s="215" t="s">
        <v>2690</v>
      </c>
      <c r="N36" s="244"/>
      <c r="O36" s="215" t="s">
        <v>68</v>
      </c>
      <c r="P36" s="214" t="s">
        <v>2612</v>
      </c>
      <c r="Q36" s="214" t="s">
        <v>2691</v>
      </c>
    </row>
    <row r="37" spans="1:17" ht="24" customHeight="1">
      <c r="A37" s="218" t="s">
        <v>2185</v>
      </c>
      <c r="B37" s="218" t="s">
        <v>2179</v>
      </c>
      <c r="C37" s="214" t="s">
        <v>2184</v>
      </c>
      <c r="D37" s="213" t="s">
        <v>1412</v>
      </c>
      <c r="E37" s="217"/>
      <c r="F37" s="215"/>
      <c r="G37" s="215" t="s">
        <v>68</v>
      </c>
      <c r="H37" s="241"/>
      <c r="I37" s="215" t="s">
        <v>2689</v>
      </c>
      <c r="J37" s="241"/>
      <c r="K37" s="215" t="s">
        <v>68</v>
      </c>
      <c r="L37" s="215"/>
      <c r="M37" s="215" t="s">
        <v>2690</v>
      </c>
      <c r="N37" s="244"/>
      <c r="O37" s="215" t="s">
        <v>68</v>
      </c>
      <c r="P37" s="214" t="s">
        <v>2612</v>
      </c>
      <c r="Q37" s="214" t="s">
        <v>2691</v>
      </c>
    </row>
    <row r="38" spans="1:17" ht="24" customHeight="1">
      <c r="A38" s="218" t="s">
        <v>2187</v>
      </c>
      <c r="B38" s="218" t="s">
        <v>2179</v>
      </c>
      <c r="C38" s="214" t="s">
        <v>2186</v>
      </c>
      <c r="D38" s="213" t="s">
        <v>1412</v>
      </c>
      <c r="E38" s="217"/>
      <c r="F38" s="215"/>
      <c r="G38" s="215" t="s">
        <v>68</v>
      </c>
      <c r="H38" s="241"/>
      <c r="I38" s="215" t="s">
        <v>2689</v>
      </c>
      <c r="J38" s="215"/>
      <c r="K38" s="215" t="s">
        <v>68</v>
      </c>
      <c r="L38" s="215"/>
      <c r="M38" s="215" t="s">
        <v>68</v>
      </c>
      <c r="N38" s="244"/>
      <c r="O38" s="215" t="s">
        <v>68</v>
      </c>
      <c r="P38" s="214" t="s">
        <v>2612</v>
      </c>
      <c r="Q38" s="214" t="s">
        <v>2691</v>
      </c>
    </row>
    <row r="39" spans="1:17" ht="24" customHeight="1">
      <c r="A39" s="218" t="s">
        <v>2181</v>
      </c>
      <c r="B39" s="218" t="s">
        <v>2179</v>
      </c>
      <c r="C39" s="214" t="s">
        <v>2180</v>
      </c>
      <c r="D39" s="213" t="s">
        <v>1412</v>
      </c>
      <c r="E39" s="217"/>
      <c r="F39" s="215"/>
      <c r="G39" s="215" t="s">
        <v>68</v>
      </c>
      <c r="H39" s="241"/>
      <c r="I39" s="215" t="s">
        <v>2692</v>
      </c>
      <c r="J39" s="241"/>
      <c r="K39" s="215" t="s">
        <v>68</v>
      </c>
      <c r="L39" s="215"/>
      <c r="M39" s="215" t="s">
        <v>2690</v>
      </c>
      <c r="N39" s="244"/>
      <c r="O39" s="215" t="s">
        <v>68</v>
      </c>
      <c r="P39" s="214" t="s">
        <v>2612</v>
      </c>
      <c r="Q39" s="214" t="s">
        <v>2691</v>
      </c>
    </row>
    <row r="40" spans="1:17" ht="24" customHeight="1">
      <c r="A40" s="218" t="s">
        <v>2190</v>
      </c>
      <c r="B40" s="218" t="s">
        <v>2179</v>
      </c>
      <c r="C40" s="214" t="s">
        <v>2188</v>
      </c>
      <c r="D40" s="213" t="s">
        <v>2189</v>
      </c>
      <c r="E40" s="217"/>
      <c r="F40" s="215"/>
      <c r="G40" s="215" t="s">
        <v>68</v>
      </c>
      <c r="H40" s="241"/>
      <c r="I40" s="215" t="s">
        <v>2692</v>
      </c>
      <c r="J40" s="215"/>
      <c r="K40" s="215" t="s">
        <v>68</v>
      </c>
      <c r="L40" s="215"/>
      <c r="M40" s="215" t="s">
        <v>68</v>
      </c>
      <c r="N40" s="244"/>
      <c r="O40" s="215" t="s">
        <v>68</v>
      </c>
      <c r="P40" s="214" t="s">
        <v>2612</v>
      </c>
      <c r="Q40" s="214" t="s">
        <v>2691</v>
      </c>
    </row>
    <row r="41" spans="1:17" ht="24" customHeight="1">
      <c r="A41" s="218" t="s">
        <v>1938</v>
      </c>
      <c r="B41" s="218" t="s">
        <v>1936</v>
      </c>
      <c r="C41" s="214" t="s">
        <v>1937</v>
      </c>
      <c r="D41" s="213" t="s">
        <v>437</v>
      </c>
      <c r="E41" s="217"/>
      <c r="F41" s="215"/>
      <c r="G41" s="215" t="s">
        <v>68</v>
      </c>
      <c r="H41" s="215"/>
      <c r="I41" s="215" t="s">
        <v>68</v>
      </c>
      <c r="J41" s="241"/>
      <c r="K41" s="215" t="s">
        <v>2693</v>
      </c>
      <c r="L41" s="215"/>
      <c r="M41" s="215" t="s">
        <v>68</v>
      </c>
      <c r="N41" s="244"/>
      <c r="O41" s="215" t="s">
        <v>68</v>
      </c>
      <c r="P41" s="214" t="s">
        <v>2612</v>
      </c>
      <c r="Q41" s="214" t="s">
        <v>2694</v>
      </c>
    </row>
    <row r="42" spans="1:17" ht="24" customHeight="1">
      <c r="A42" s="218" t="s">
        <v>1430</v>
      </c>
      <c r="B42" s="218" t="s">
        <v>1428</v>
      </c>
      <c r="C42" s="214" t="s">
        <v>1429</v>
      </c>
      <c r="D42" s="213" t="s">
        <v>1033</v>
      </c>
      <c r="E42" s="217"/>
      <c r="F42" s="241"/>
      <c r="G42" s="215" t="s">
        <v>2695</v>
      </c>
      <c r="H42" s="241"/>
      <c r="I42" s="215" t="s">
        <v>2696</v>
      </c>
      <c r="J42" s="241"/>
      <c r="K42" s="215" t="s">
        <v>2697</v>
      </c>
      <c r="L42" s="241"/>
      <c r="M42" s="215" t="s">
        <v>2698</v>
      </c>
      <c r="N42" s="244"/>
      <c r="O42" s="215" t="s">
        <v>68</v>
      </c>
      <c r="P42" s="214" t="s">
        <v>2612</v>
      </c>
      <c r="Q42" s="214" t="s">
        <v>2694</v>
      </c>
    </row>
    <row r="43" spans="1:17" ht="24" customHeight="1">
      <c r="A43" s="218" t="s">
        <v>2238</v>
      </c>
      <c r="B43" s="218" t="s">
        <v>2237</v>
      </c>
      <c r="C43" s="214" t="s">
        <v>68</v>
      </c>
      <c r="D43" s="213" t="s">
        <v>2235</v>
      </c>
      <c r="E43" s="217"/>
      <c r="F43" s="215"/>
      <c r="G43" s="215" t="s">
        <v>68</v>
      </c>
      <c r="H43" s="241"/>
      <c r="I43" s="215" t="s">
        <v>2699</v>
      </c>
      <c r="J43" s="241"/>
      <c r="K43" s="215" t="s">
        <v>2700</v>
      </c>
      <c r="L43" s="215"/>
      <c r="M43" s="215" t="s">
        <v>68</v>
      </c>
      <c r="N43" s="244"/>
      <c r="O43" s="215" t="s">
        <v>68</v>
      </c>
      <c r="P43" s="214" t="s">
        <v>2612</v>
      </c>
      <c r="Q43" s="214" t="s">
        <v>2701</v>
      </c>
    </row>
    <row r="44" spans="1:17" ht="24" customHeight="1">
      <c r="A44" s="218" t="s">
        <v>2236</v>
      </c>
      <c r="B44" s="218" t="s">
        <v>2234</v>
      </c>
      <c r="C44" s="214" t="s">
        <v>68</v>
      </c>
      <c r="D44" s="213" t="s">
        <v>2235</v>
      </c>
      <c r="E44" s="217"/>
      <c r="F44" s="215"/>
      <c r="G44" s="215" t="s">
        <v>68</v>
      </c>
      <c r="H44" s="241"/>
      <c r="I44" s="215" t="s">
        <v>2699</v>
      </c>
      <c r="J44" s="241"/>
      <c r="K44" s="215" t="s">
        <v>2700</v>
      </c>
      <c r="L44" s="215"/>
      <c r="M44" s="215" t="s">
        <v>68</v>
      </c>
      <c r="N44" s="244"/>
      <c r="O44" s="215" t="s">
        <v>68</v>
      </c>
      <c r="P44" s="214" t="s">
        <v>2612</v>
      </c>
      <c r="Q44" s="214" t="s">
        <v>2701</v>
      </c>
    </row>
    <row r="45" spans="1:17" ht="24" customHeight="1">
      <c r="A45" s="218" t="s">
        <v>2209</v>
      </c>
      <c r="B45" s="218" t="s">
        <v>2207</v>
      </c>
      <c r="C45" s="214" t="s">
        <v>2208</v>
      </c>
      <c r="D45" s="213" t="s">
        <v>437</v>
      </c>
      <c r="E45" s="217"/>
      <c r="F45" s="241"/>
      <c r="G45" s="215" t="s">
        <v>2702</v>
      </c>
      <c r="H45" s="215"/>
      <c r="I45" s="215" t="s">
        <v>68</v>
      </c>
      <c r="J45" s="241"/>
      <c r="K45" s="215" t="s">
        <v>2703</v>
      </c>
      <c r="L45" s="215"/>
      <c r="M45" s="215" t="s">
        <v>68</v>
      </c>
      <c r="N45" s="244"/>
      <c r="O45" s="215" t="s">
        <v>68</v>
      </c>
      <c r="P45" s="214" t="s">
        <v>2612</v>
      </c>
      <c r="Q45" s="214" t="s">
        <v>2704</v>
      </c>
    </row>
    <row r="46" spans="1:17" ht="24" customHeight="1">
      <c r="A46" s="218" t="s">
        <v>2281</v>
      </c>
      <c r="B46" s="218" t="s">
        <v>2279</v>
      </c>
      <c r="C46" s="214" t="s">
        <v>2280</v>
      </c>
      <c r="D46" s="213" t="s">
        <v>1412</v>
      </c>
      <c r="E46" s="217"/>
      <c r="F46" s="241"/>
      <c r="G46" s="215" t="s">
        <v>2705</v>
      </c>
      <c r="H46" s="241"/>
      <c r="I46" s="215" t="s">
        <v>2706</v>
      </c>
      <c r="J46" s="241"/>
      <c r="K46" s="215" t="s">
        <v>2707</v>
      </c>
      <c r="L46" s="241"/>
      <c r="M46" s="215" t="s">
        <v>2708</v>
      </c>
      <c r="N46" s="244"/>
      <c r="O46" s="215" t="s">
        <v>68</v>
      </c>
      <c r="P46" s="214" t="s">
        <v>2612</v>
      </c>
      <c r="Q46" s="214" t="s">
        <v>2709</v>
      </c>
    </row>
    <row r="47" spans="1:17" ht="24" customHeight="1">
      <c r="A47" s="218" t="s">
        <v>2283</v>
      </c>
      <c r="B47" s="218" t="s">
        <v>2279</v>
      </c>
      <c r="C47" s="214" t="s">
        <v>2282</v>
      </c>
      <c r="D47" s="213" t="s">
        <v>1412</v>
      </c>
      <c r="E47" s="217"/>
      <c r="F47" s="241"/>
      <c r="G47" s="215" t="s">
        <v>2705</v>
      </c>
      <c r="H47" s="241"/>
      <c r="I47" s="215" t="s">
        <v>2706</v>
      </c>
      <c r="J47" s="241"/>
      <c r="K47" s="215" t="s">
        <v>2707</v>
      </c>
      <c r="L47" s="241"/>
      <c r="M47" s="215" t="s">
        <v>2708</v>
      </c>
      <c r="N47" s="244"/>
      <c r="O47" s="215" t="s">
        <v>68</v>
      </c>
      <c r="P47" s="214" t="s">
        <v>2612</v>
      </c>
      <c r="Q47" s="214" t="s">
        <v>2709</v>
      </c>
    </row>
    <row r="48" spans="1:17" ht="24" customHeight="1">
      <c r="A48" s="218" t="s">
        <v>2285</v>
      </c>
      <c r="B48" s="218" t="s">
        <v>2279</v>
      </c>
      <c r="C48" s="214" t="s">
        <v>2284</v>
      </c>
      <c r="D48" s="213" t="s">
        <v>1033</v>
      </c>
      <c r="E48" s="217"/>
      <c r="F48" s="241"/>
      <c r="G48" s="215" t="s">
        <v>2705</v>
      </c>
      <c r="H48" s="241"/>
      <c r="I48" s="215" t="s">
        <v>2706</v>
      </c>
      <c r="J48" s="241"/>
      <c r="K48" s="215" t="s">
        <v>2707</v>
      </c>
      <c r="L48" s="241"/>
      <c r="M48" s="215" t="s">
        <v>2708</v>
      </c>
      <c r="N48" s="244"/>
      <c r="O48" s="215" t="s">
        <v>68</v>
      </c>
      <c r="P48" s="214" t="s">
        <v>2612</v>
      </c>
      <c r="Q48" s="214" t="s">
        <v>2709</v>
      </c>
    </row>
    <row r="49" spans="1:17" ht="24" customHeight="1">
      <c r="A49" s="218" t="s">
        <v>2288</v>
      </c>
      <c r="B49" s="218" t="s">
        <v>2279</v>
      </c>
      <c r="C49" s="214" t="s">
        <v>2286</v>
      </c>
      <c r="D49" s="213" t="s">
        <v>2287</v>
      </c>
      <c r="E49" s="217"/>
      <c r="F49" s="241"/>
      <c r="G49" s="215" t="s">
        <v>2705</v>
      </c>
      <c r="H49" s="241"/>
      <c r="I49" s="215" t="s">
        <v>2706</v>
      </c>
      <c r="J49" s="241"/>
      <c r="K49" s="215" t="s">
        <v>2707</v>
      </c>
      <c r="L49" s="241"/>
      <c r="M49" s="215" t="s">
        <v>2708</v>
      </c>
      <c r="N49" s="244"/>
      <c r="O49" s="215" t="s">
        <v>68</v>
      </c>
      <c r="P49" s="214" t="s">
        <v>2612</v>
      </c>
      <c r="Q49" s="214" t="s">
        <v>2709</v>
      </c>
    </row>
    <row r="50" spans="1:17" ht="24" customHeight="1">
      <c r="A50" s="218" t="s">
        <v>2294</v>
      </c>
      <c r="B50" s="218" t="s">
        <v>2279</v>
      </c>
      <c r="C50" s="214" t="s">
        <v>2293</v>
      </c>
      <c r="D50" s="213" t="s">
        <v>1033</v>
      </c>
      <c r="E50" s="217"/>
      <c r="F50" s="241"/>
      <c r="G50" s="215" t="s">
        <v>2705</v>
      </c>
      <c r="H50" s="241"/>
      <c r="I50" s="215" t="s">
        <v>2706</v>
      </c>
      <c r="J50" s="241"/>
      <c r="K50" s="215" t="s">
        <v>2707</v>
      </c>
      <c r="L50" s="241"/>
      <c r="M50" s="215" t="s">
        <v>2708</v>
      </c>
      <c r="N50" s="244"/>
      <c r="O50" s="215" t="s">
        <v>68</v>
      </c>
      <c r="P50" s="214" t="s">
        <v>2612</v>
      </c>
      <c r="Q50" s="214" t="s">
        <v>2709</v>
      </c>
    </row>
    <row r="51" spans="1:17" ht="24" customHeight="1">
      <c r="A51" s="218" t="s">
        <v>2290</v>
      </c>
      <c r="B51" s="218" t="s">
        <v>2279</v>
      </c>
      <c r="C51" s="214" t="s">
        <v>2289</v>
      </c>
      <c r="D51" s="213" t="s">
        <v>2287</v>
      </c>
      <c r="E51" s="217"/>
      <c r="F51" s="215"/>
      <c r="G51" s="215" t="s">
        <v>68</v>
      </c>
      <c r="H51" s="215"/>
      <c r="I51" s="215" t="s">
        <v>68</v>
      </c>
      <c r="J51" s="215"/>
      <c r="K51" s="215" t="s">
        <v>68</v>
      </c>
      <c r="L51" s="241"/>
      <c r="M51" s="215" t="s">
        <v>2710</v>
      </c>
      <c r="N51" s="244"/>
      <c r="O51" s="215" t="s">
        <v>68</v>
      </c>
      <c r="P51" s="214" t="s">
        <v>2612</v>
      </c>
      <c r="Q51" s="214" t="s">
        <v>2709</v>
      </c>
    </row>
    <row r="52" spans="1:17" ht="24" customHeight="1">
      <c r="A52" s="218" t="s">
        <v>2292</v>
      </c>
      <c r="B52" s="218" t="s">
        <v>2279</v>
      </c>
      <c r="C52" s="214" t="s">
        <v>2291</v>
      </c>
      <c r="D52" s="213" t="s">
        <v>2287</v>
      </c>
      <c r="E52" s="217"/>
      <c r="F52" s="241"/>
      <c r="G52" s="215" t="s">
        <v>2711</v>
      </c>
      <c r="H52" s="215"/>
      <c r="I52" s="215" t="s">
        <v>68</v>
      </c>
      <c r="J52" s="215"/>
      <c r="K52" s="215" t="s">
        <v>68</v>
      </c>
      <c r="L52" s="215"/>
      <c r="M52" s="215" t="s">
        <v>68</v>
      </c>
      <c r="N52" s="244"/>
      <c r="O52" s="215" t="s">
        <v>68</v>
      </c>
      <c r="P52" s="214" t="s">
        <v>2612</v>
      </c>
      <c r="Q52" s="214" t="s">
        <v>2709</v>
      </c>
    </row>
    <row r="53" spans="1:17" ht="24" customHeight="1">
      <c r="A53" s="218" t="s">
        <v>2296</v>
      </c>
      <c r="B53" s="218" t="s">
        <v>2279</v>
      </c>
      <c r="C53" s="214" t="s">
        <v>2295</v>
      </c>
      <c r="D53" s="213" t="s">
        <v>1412</v>
      </c>
      <c r="E53" s="217"/>
      <c r="F53" s="241"/>
      <c r="G53" s="215" t="s">
        <v>2711</v>
      </c>
      <c r="H53" s="215"/>
      <c r="I53" s="215" t="s">
        <v>68</v>
      </c>
      <c r="J53" s="215"/>
      <c r="K53" s="215" t="s">
        <v>68</v>
      </c>
      <c r="L53" s="215"/>
      <c r="M53" s="215" t="s">
        <v>68</v>
      </c>
      <c r="N53" s="244"/>
      <c r="O53" s="215" t="s">
        <v>68</v>
      </c>
      <c r="P53" s="214" t="s">
        <v>2612</v>
      </c>
      <c r="Q53" s="214" t="s">
        <v>2709</v>
      </c>
    </row>
    <row r="54" spans="1:17" ht="24" customHeight="1">
      <c r="A54" s="218" t="s">
        <v>1418</v>
      </c>
      <c r="B54" s="218" t="s">
        <v>1416</v>
      </c>
      <c r="C54" s="214" t="s">
        <v>1417</v>
      </c>
      <c r="D54" s="213" t="s">
        <v>1033</v>
      </c>
      <c r="E54" s="217"/>
      <c r="F54" s="241"/>
      <c r="G54" s="215" t="s">
        <v>2695</v>
      </c>
      <c r="H54" s="241"/>
      <c r="I54" s="215" t="s">
        <v>2696</v>
      </c>
      <c r="J54" s="241"/>
      <c r="K54" s="215" t="s">
        <v>2697</v>
      </c>
      <c r="L54" s="241"/>
      <c r="M54" s="215" t="s">
        <v>2698</v>
      </c>
      <c r="N54" s="244"/>
      <c r="O54" s="215" t="s">
        <v>68</v>
      </c>
      <c r="P54" s="214" t="s">
        <v>2612</v>
      </c>
      <c r="Q54" s="214" t="s">
        <v>2712</v>
      </c>
    </row>
    <row r="55" spans="1:17" ht="24" customHeight="1">
      <c r="A55" s="218" t="s">
        <v>1424</v>
      </c>
      <c r="B55" s="218" t="s">
        <v>1423</v>
      </c>
      <c r="C55" s="214" t="s">
        <v>1417</v>
      </c>
      <c r="D55" s="213" t="s">
        <v>1412</v>
      </c>
      <c r="E55" s="217"/>
      <c r="F55" s="241"/>
      <c r="G55" s="215" t="s">
        <v>2713</v>
      </c>
      <c r="H55" s="241"/>
      <c r="I55" s="215" t="s">
        <v>2714</v>
      </c>
      <c r="J55" s="241"/>
      <c r="K55" s="215" t="s">
        <v>2715</v>
      </c>
      <c r="L55" s="241"/>
      <c r="M55" s="215" t="s">
        <v>2698</v>
      </c>
      <c r="N55" s="244"/>
      <c r="O55" s="215" t="s">
        <v>68</v>
      </c>
      <c r="P55" s="214" t="s">
        <v>2612</v>
      </c>
      <c r="Q55" s="214" t="s">
        <v>2712</v>
      </c>
    </row>
    <row r="56" spans="1:17" ht="24" customHeight="1">
      <c r="A56" s="218" t="s">
        <v>1433</v>
      </c>
      <c r="B56" s="218" t="s">
        <v>1423</v>
      </c>
      <c r="C56" s="214" t="s">
        <v>1431</v>
      </c>
      <c r="D56" s="213" t="s">
        <v>1412</v>
      </c>
      <c r="E56" s="217"/>
      <c r="F56" s="241"/>
      <c r="G56" s="215" t="s">
        <v>2713</v>
      </c>
      <c r="H56" s="241"/>
      <c r="I56" s="215" t="s">
        <v>2714</v>
      </c>
      <c r="J56" s="241"/>
      <c r="K56" s="215" t="s">
        <v>2715</v>
      </c>
      <c r="L56" s="241"/>
      <c r="M56" s="215" t="s">
        <v>2698</v>
      </c>
      <c r="N56" s="244"/>
      <c r="O56" s="215" t="s">
        <v>68</v>
      </c>
      <c r="P56" s="214" t="s">
        <v>2612</v>
      </c>
      <c r="Q56" s="214" t="s">
        <v>2712</v>
      </c>
    </row>
    <row r="57" spans="1:17" ht="24" customHeight="1">
      <c r="A57" s="218" t="s">
        <v>1422</v>
      </c>
      <c r="B57" s="218" t="s">
        <v>1421</v>
      </c>
      <c r="C57" s="214" t="s">
        <v>1417</v>
      </c>
      <c r="D57" s="213" t="s">
        <v>1412</v>
      </c>
      <c r="E57" s="217"/>
      <c r="F57" s="241"/>
      <c r="G57" s="215" t="s">
        <v>2713</v>
      </c>
      <c r="H57" s="241"/>
      <c r="I57" s="215" t="s">
        <v>2714</v>
      </c>
      <c r="J57" s="241"/>
      <c r="K57" s="215" t="s">
        <v>2715</v>
      </c>
      <c r="L57" s="241"/>
      <c r="M57" s="215" t="s">
        <v>2698</v>
      </c>
      <c r="N57" s="244"/>
      <c r="O57" s="215" t="s">
        <v>68</v>
      </c>
      <c r="P57" s="214" t="s">
        <v>2612</v>
      </c>
      <c r="Q57" s="214" t="s">
        <v>2712</v>
      </c>
    </row>
    <row r="58" spans="1:17" ht="24" customHeight="1">
      <c r="A58" s="218" t="s">
        <v>1434</v>
      </c>
      <c r="B58" s="218" t="s">
        <v>1421</v>
      </c>
      <c r="C58" s="214" t="s">
        <v>1431</v>
      </c>
      <c r="D58" s="213" t="s">
        <v>1412</v>
      </c>
      <c r="E58" s="217"/>
      <c r="F58" s="241"/>
      <c r="G58" s="215" t="s">
        <v>2713</v>
      </c>
      <c r="H58" s="241"/>
      <c r="I58" s="215" t="s">
        <v>2714</v>
      </c>
      <c r="J58" s="241"/>
      <c r="K58" s="215" t="s">
        <v>2715</v>
      </c>
      <c r="L58" s="241"/>
      <c r="M58" s="215" t="s">
        <v>2698</v>
      </c>
      <c r="N58" s="244"/>
      <c r="O58" s="215" t="s">
        <v>68</v>
      </c>
      <c r="P58" s="214" t="s">
        <v>2612</v>
      </c>
      <c r="Q58" s="214" t="s">
        <v>2712</v>
      </c>
    </row>
    <row r="59" spans="1:17" ht="24" customHeight="1">
      <c r="A59" s="218" t="s">
        <v>1420</v>
      </c>
      <c r="B59" s="218" t="s">
        <v>1419</v>
      </c>
      <c r="C59" s="214" t="s">
        <v>1417</v>
      </c>
      <c r="D59" s="213" t="s">
        <v>1412</v>
      </c>
      <c r="E59" s="217"/>
      <c r="F59" s="241"/>
      <c r="G59" s="215" t="s">
        <v>2713</v>
      </c>
      <c r="H59" s="241"/>
      <c r="I59" s="215" t="s">
        <v>2714</v>
      </c>
      <c r="J59" s="241"/>
      <c r="K59" s="215" t="s">
        <v>2715</v>
      </c>
      <c r="L59" s="241"/>
      <c r="M59" s="215" t="s">
        <v>2698</v>
      </c>
      <c r="N59" s="244"/>
      <c r="O59" s="215" t="s">
        <v>68</v>
      </c>
      <c r="P59" s="214" t="s">
        <v>2612</v>
      </c>
      <c r="Q59" s="214" t="s">
        <v>2712</v>
      </c>
    </row>
    <row r="60" spans="1:17" ht="24" customHeight="1">
      <c r="A60" s="218" t="s">
        <v>1432</v>
      </c>
      <c r="B60" s="218" t="s">
        <v>1419</v>
      </c>
      <c r="C60" s="214" t="s">
        <v>1431</v>
      </c>
      <c r="D60" s="213" t="s">
        <v>1412</v>
      </c>
      <c r="E60" s="217"/>
      <c r="F60" s="241"/>
      <c r="G60" s="215" t="s">
        <v>2713</v>
      </c>
      <c r="H60" s="241"/>
      <c r="I60" s="215" t="s">
        <v>2714</v>
      </c>
      <c r="J60" s="241"/>
      <c r="K60" s="215" t="s">
        <v>2715</v>
      </c>
      <c r="L60" s="241"/>
      <c r="M60" s="215" t="s">
        <v>2698</v>
      </c>
      <c r="N60" s="244"/>
      <c r="O60" s="215" t="s">
        <v>68</v>
      </c>
      <c r="P60" s="214" t="s">
        <v>2612</v>
      </c>
      <c r="Q60" s="214" t="s">
        <v>2712</v>
      </c>
    </row>
    <row r="61" spans="1:17" ht="24" customHeight="1">
      <c r="A61" s="218" t="s">
        <v>2025</v>
      </c>
      <c r="B61" s="218" t="s">
        <v>2023</v>
      </c>
      <c r="C61" s="214" t="s">
        <v>2024</v>
      </c>
      <c r="D61" s="213" t="s">
        <v>1471</v>
      </c>
      <c r="E61" s="217"/>
      <c r="F61" s="215"/>
      <c r="G61" s="215" t="s">
        <v>68</v>
      </c>
      <c r="H61" s="215"/>
      <c r="I61" s="215" t="s">
        <v>68</v>
      </c>
      <c r="J61" s="215"/>
      <c r="K61" s="215" t="s">
        <v>68</v>
      </c>
      <c r="L61" s="215"/>
      <c r="M61" s="215" t="s">
        <v>68</v>
      </c>
      <c r="N61" s="245"/>
      <c r="O61" s="215" t="s">
        <v>68</v>
      </c>
      <c r="P61" s="214" t="s">
        <v>2612</v>
      </c>
      <c r="Q61" s="214" t="s">
        <v>2716</v>
      </c>
    </row>
    <row r="62" spans="1:17" ht="24" customHeight="1">
      <c r="A62" s="218" t="s">
        <v>1928</v>
      </c>
      <c r="B62" s="218" t="s">
        <v>1926</v>
      </c>
      <c r="C62" s="214" t="s">
        <v>1927</v>
      </c>
      <c r="D62" s="213" t="s">
        <v>9</v>
      </c>
      <c r="E62" s="217"/>
      <c r="F62" s="215"/>
      <c r="G62" s="215" t="s">
        <v>68</v>
      </c>
      <c r="H62" s="241"/>
      <c r="I62" s="215" t="s">
        <v>2717</v>
      </c>
      <c r="J62" s="215"/>
      <c r="K62" s="215" t="s">
        <v>68</v>
      </c>
      <c r="L62" s="215"/>
      <c r="M62" s="215" t="s">
        <v>68</v>
      </c>
      <c r="N62" s="244"/>
      <c r="O62" s="215" t="s">
        <v>68</v>
      </c>
      <c r="P62" s="214" t="s">
        <v>2612</v>
      </c>
      <c r="Q62" s="214" t="s">
        <v>2718</v>
      </c>
    </row>
    <row r="63" spans="1:17" ht="24" customHeight="1">
      <c r="A63" s="218" t="s">
        <v>2031</v>
      </c>
      <c r="B63" s="218" t="s">
        <v>2030</v>
      </c>
      <c r="C63" s="214" t="s">
        <v>1183</v>
      </c>
      <c r="D63" s="213" t="s">
        <v>437</v>
      </c>
      <c r="E63" s="217"/>
      <c r="F63" s="215"/>
      <c r="G63" s="215" t="s">
        <v>68</v>
      </c>
      <c r="H63" s="215"/>
      <c r="I63" s="215" t="s">
        <v>68</v>
      </c>
      <c r="J63" s="215"/>
      <c r="K63" s="215" t="s">
        <v>68</v>
      </c>
      <c r="L63" s="215"/>
      <c r="M63" s="215" t="s">
        <v>68</v>
      </c>
      <c r="N63" s="245"/>
      <c r="O63" s="215" t="s">
        <v>68</v>
      </c>
      <c r="P63" s="214" t="s">
        <v>2719</v>
      </c>
      <c r="Q63" s="214" t="s">
        <v>2720</v>
      </c>
    </row>
    <row r="64" spans="1:17" ht="24" customHeight="1">
      <c r="A64" s="218" t="s">
        <v>2033</v>
      </c>
      <c r="B64" s="218" t="s">
        <v>1185</v>
      </c>
      <c r="C64" s="214" t="s">
        <v>1186</v>
      </c>
      <c r="D64" s="213" t="s">
        <v>437</v>
      </c>
      <c r="E64" s="217"/>
      <c r="F64" s="215"/>
      <c r="G64" s="215" t="s">
        <v>68</v>
      </c>
      <c r="H64" s="215"/>
      <c r="I64" s="215" t="s">
        <v>68</v>
      </c>
      <c r="J64" s="215"/>
      <c r="K64" s="215" t="s">
        <v>68</v>
      </c>
      <c r="L64" s="215"/>
      <c r="M64" s="215" t="s">
        <v>68</v>
      </c>
      <c r="N64" s="245"/>
      <c r="O64" s="215" t="s">
        <v>68</v>
      </c>
      <c r="P64" s="214" t="s">
        <v>68</v>
      </c>
      <c r="Q64" s="214" t="s">
        <v>68</v>
      </c>
    </row>
    <row r="65" spans="1:17" ht="24" customHeight="1">
      <c r="A65" s="218" t="s">
        <v>2042</v>
      </c>
      <c r="B65" s="218" t="s">
        <v>1185</v>
      </c>
      <c r="C65" s="214" t="s">
        <v>1188</v>
      </c>
      <c r="D65" s="213" t="s">
        <v>437</v>
      </c>
      <c r="E65" s="217"/>
      <c r="F65" s="215"/>
      <c r="G65" s="215" t="s">
        <v>68</v>
      </c>
      <c r="H65" s="215"/>
      <c r="I65" s="215" t="s">
        <v>68</v>
      </c>
      <c r="J65" s="215"/>
      <c r="K65" s="215" t="s">
        <v>68</v>
      </c>
      <c r="L65" s="215"/>
      <c r="M65" s="215" t="s">
        <v>68</v>
      </c>
      <c r="N65" s="245"/>
      <c r="O65" s="215" t="s">
        <v>68</v>
      </c>
      <c r="P65" s="214" t="s">
        <v>68</v>
      </c>
      <c r="Q65" s="214" t="s">
        <v>68</v>
      </c>
    </row>
    <row r="66" spans="1:17" ht="24" customHeight="1">
      <c r="A66" s="218" t="s">
        <v>2044</v>
      </c>
      <c r="B66" s="218" t="s">
        <v>1190</v>
      </c>
      <c r="C66" s="214" t="s">
        <v>1191</v>
      </c>
      <c r="D66" s="213" t="s">
        <v>437</v>
      </c>
      <c r="E66" s="217"/>
      <c r="F66" s="215"/>
      <c r="G66" s="215" t="s">
        <v>68</v>
      </c>
      <c r="H66" s="215"/>
      <c r="I66" s="215" t="s">
        <v>68</v>
      </c>
      <c r="J66" s="215"/>
      <c r="K66" s="215" t="s">
        <v>68</v>
      </c>
      <c r="L66" s="215"/>
      <c r="M66" s="215" t="s">
        <v>68</v>
      </c>
      <c r="N66" s="245"/>
      <c r="O66" s="215" t="s">
        <v>68</v>
      </c>
      <c r="P66" s="214" t="s">
        <v>68</v>
      </c>
      <c r="Q66" s="214" t="s">
        <v>68</v>
      </c>
    </row>
    <row r="67" spans="1:17" ht="24" customHeight="1">
      <c r="A67" s="218" t="s">
        <v>2046</v>
      </c>
      <c r="B67" s="218" t="s">
        <v>1190</v>
      </c>
      <c r="C67" s="214" t="s">
        <v>1193</v>
      </c>
      <c r="D67" s="213" t="s">
        <v>437</v>
      </c>
      <c r="E67" s="217"/>
      <c r="F67" s="215"/>
      <c r="G67" s="215" t="s">
        <v>68</v>
      </c>
      <c r="H67" s="215"/>
      <c r="I67" s="215" t="s">
        <v>68</v>
      </c>
      <c r="J67" s="215"/>
      <c r="K67" s="215" t="s">
        <v>68</v>
      </c>
      <c r="L67" s="215"/>
      <c r="M67" s="215" t="s">
        <v>68</v>
      </c>
      <c r="N67" s="245"/>
      <c r="O67" s="215" t="s">
        <v>68</v>
      </c>
      <c r="P67" s="214" t="s">
        <v>68</v>
      </c>
      <c r="Q67" s="214" t="s">
        <v>68</v>
      </c>
    </row>
    <row r="68" spans="1:17" ht="24" customHeight="1">
      <c r="A68" s="218" t="s">
        <v>2048</v>
      </c>
      <c r="B68" s="218" t="s">
        <v>1190</v>
      </c>
      <c r="C68" s="214" t="s">
        <v>1195</v>
      </c>
      <c r="D68" s="213" t="s">
        <v>437</v>
      </c>
      <c r="E68" s="217"/>
      <c r="F68" s="215"/>
      <c r="G68" s="215" t="s">
        <v>68</v>
      </c>
      <c r="H68" s="215"/>
      <c r="I68" s="215" t="s">
        <v>68</v>
      </c>
      <c r="J68" s="215"/>
      <c r="K68" s="215" t="s">
        <v>68</v>
      </c>
      <c r="L68" s="215"/>
      <c r="M68" s="215" t="s">
        <v>68</v>
      </c>
      <c r="N68" s="245"/>
      <c r="O68" s="215" t="s">
        <v>68</v>
      </c>
      <c r="P68" s="214" t="s">
        <v>68</v>
      </c>
      <c r="Q68" s="214" t="s">
        <v>68</v>
      </c>
    </row>
    <row r="69" spans="1:17" ht="24" customHeight="1">
      <c r="A69" s="218" t="s">
        <v>2050</v>
      </c>
      <c r="B69" s="218" t="s">
        <v>1185</v>
      </c>
      <c r="C69" s="214" t="s">
        <v>1197</v>
      </c>
      <c r="D69" s="213" t="s">
        <v>437</v>
      </c>
      <c r="E69" s="217"/>
      <c r="F69" s="215"/>
      <c r="G69" s="215" t="s">
        <v>68</v>
      </c>
      <c r="H69" s="215"/>
      <c r="I69" s="215" t="s">
        <v>68</v>
      </c>
      <c r="J69" s="215"/>
      <c r="K69" s="215" t="s">
        <v>68</v>
      </c>
      <c r="L69" s="215"/>
      <c r="M69" s="215" t="s">
        <v>68</v>
      </c>
      <c r="N69" s="245"/>
      <c r="O69" s="215" t="s">
        <v>68</v>
      </c>
      <c r="P69" s="214" t="s">
        <v>68</v>
      </c>
      <c r="Q69" s="214" t="s">
        <v>68</v>
      </c>
    </row>
    <row r="70" spans="1:17" ht="24" customHeight="1">
      <c r="A70" s="218" t="s">
        <v>2052</v>
      </c>
      <c r="B70" s="218" t="s">
        <v>1199</v>
      </c>
      <c r="C70" s="214" t="s">
        <v>1200</v>
      </c>
      <c r="D70" s="213" t="s">
        <v>437</v>
      </c>
      <c r="E70" s="217"/>
      <c r="F70" s="215"/>
      <c r="G70" s="215" t="s">
        <v>68</v>
      </c>
      <c r="H70" s="215"/>
      <c r="I70" s="215" t="s">
        <v>68</v>
      </c>
      <c r="J70" s="215"/>
      <c r="K70" s="215" t="s">
        <v>68</v>
      </c>
      <c r="L70" s="215"/>
      <c r="M70" s="215" t="s">
        <v>68</v>
      </c>
      <c r="N70" s="245"/>
      <c r="O70" s="215" t="s">
        <v>68</v>
      </c>
      <c r="P70" s="214" t="s">
        <v>68</v>
      </c>
      <c r="Q70" s="214" t="s">
        <v>68</v>
      </c>
    </row>
    <row r="71" spans="1:17" ht="24" customHeight="1">
      <c r="A71" s="218" t="s">
        <v>2061</v>
      </c>
      <c r="B71" s="218" t="s">
        <v>1202</v>
      </c>
      <c r="C71" s="214" t="s">
        <v>1203</v>
      </c>
      <c r="D71" s="213" t="s">
        <v>437</v>
      </c>
      <c r="E71" s="217"/>
      <c r="F71" s="215"/>
      <c r="G71" s="215" t="s">
        <v>68</v>
      </c>
      <c r="H71" s="215"/>
      <c r="I71" s="215" t="s">
        <v>68</v>
      </c>
      <c r="J71" s="215"/>
      <c r="K71" s="215" t="s">
        <v>68</v>
      </c>
      <c r="L71" s="215"/>
      <c r="M71" s="215" t="s">
        <v>68</v>
      </c>
      <c r="N71" s="245"/>
      <c r="O71" s="215" t="s">
        <v>68</v>
      </c>
      <c r="P71" s="214" t="s">
        <v>68</v>
      </c>
      <c r="Q71" s="214" t="s">
        <v>68</v>
      </c>
    </row>
    <row r="72" spans="1:17" ht="24" customHeight="1">
      <c r="A72" s="218" t="s">
        <v>2063</v>
      </c>
      <c r="B72" s="218" t="s">
        <v>1185</v>
      </c>
      <c r="C72" s="214" t="s">
        <v>1205</v>
      </c>
      <c r="D72" s="213" t="s">
        <v>437</v>
      </c>
      <c r="E72" s="217"/>
      <c r="F72" s="215"/>
      <c r="G72" s="215" t="s">
        <v>68</v>
      </c>
      <c r="H72" s="215"/>
      <c r="I72" s="215" t="s">
        <v>68</v>
      </c>
      <c r="J72" s="215"/>
      <c r="K72" s="215" t="s">
        <v>68</v>
      </c>
      <c r="L72" s="215"/>
      <c r="M72" s="215" t="s">
        <v>68</v>
      </c>
      <c r="N72" s="245"/>
      <c r="O72" s="215" t="s">
        <v>68</v>
      </c>
      <c r="P72" s="214" t="s">
        <v>68</v>
      </c>
      <c r="Q72" s="214" t="s">
        <v>68</v>
      </c>
    </row>
    <row r="73" spans="1:17" ht="24" customHeight="1">
      <c r="A73" s="218" t="s">
        <v>2065</v>
      </c>
      <c r="B73" s="218" t="s">
        <v>1185</v>
      </c>
      <c r="C73" s="214" t="s">
        <v>1207</v>
      </c>
      <c r="D73" s="213" t="s">
        <v>437</v>
      </c>
      <c r="E73" s="217"/>
      <c r="F73" s="215"/>
      <c r="G73" s="215" t="s">
        <v>68</v>
      </c>
      <c r="H73" s="215"/>
      <c r="I73" s="215" t="s">
        <v>68</v>
      </c>
      <c r="J73" s="215"/>
      <c r="K73" s="215" t="s">
        <v>68</v>
      </c>
      <c r="L73" s="215"/>
      <c r="M73" s="215" t="s">
        <v>68</v>
      </c>
      <c r="N73" s="245"/>
      <c r="O73" s="215" t="s">
        <v>68</v>
      </c>
      <c r="P73" s="214" t="s">
        <v>68</v>
      </c>
      <c r="Q73" s="214" t="s">
        <v>68</v>
      </c>
    </row>
    <row r="74" spans="1:17" ht="24" customHeight="1">
      <c r="A74" s="218" t="s">
        <v>2067</v>
      </c>
      <c r="B74" s="218" t="s">
        <v>1209</v>
      </c>
      <c r="C74" s="214" t="s">
        <v>1210</v>
      </c>
      <c r="D74" s="213" t="s">
        <v>437</v>
      </c>
      <c r="E74" s="217"/>
      <c r="F74" s="215"/>
      <c r="G74" s="215" t="s">
        <v>68</v>
      </c>
      <c r="H74" s="215"/>
      <c r="I74" s="215" t="s">
        <v>68</v>
      </c>
      <c r="J74" s="215"/>
      <c r="K74" s="215" t="s">
        <v>68</v>
      </c>
      <c r="L74" s="215"/>
      <c r="M74" s="215" t="s">
        <v>68</v>
      </c>
      <c r="N74" s="245"/>
      <c r="O74" s="215" t="s">
        <v>68</v>
      </c>
      <c r="P74" s="214" t="s">
        <v>68</v>
      </c>
      <c r="Q74" s="214" t="s">
        <v>68</v>
      </c>
    </row>
    <row r="75" spans="1:17" ht="24" customHeight="1">
      <c r="A75" s="218" t="s">
        <v>2069</v>
      </c>
      <c r="B75" s="218" t="s">
        <v>1209</v>
      </c>
      <c r="C75" s="214" t="s">
        <v>1212</v>
      </c>
      <c r="D75" s="213" t="s">
        <v>437</v>
      </c>
      <c r="E75" s="217"/>
      <c r="F75" s="215"/>
      <c r="G75" s="215" t="s">
        <v>68</v>
      </c>
      <c r="H75" s="215"/>
      <c r="I75" s="215" t="s">
        <v>68</v>
      </c>
      <c r="J75" s="215"/>
      <c r="K75" s="215" t="s">
        <v>68</v>
      </c>
      <c r="L75" s="215"/>
      <c r="M75" s="215" t="s">
        <v>68</v>
      </c>
      <c r="N75" s="245"/>
      <c r="O75" s="215" t="s">
        <v>68</v>
      </c>
      <c r="P75" s="214" t="s">
        <v>68</v>
      </c>
      <c r="Q75" s="214" t="s">
        <v>68</v>
      </c>
    </row>
    <row r="76" spans="1:17" ht="24" customHeight="1">
      <c r="A76" s="218" t="s">
        <v>2036</v>
      </c>
      <c r="B76" s="218" t="s">
        <v>2034</v>
      </c>
      <c r="C76" s="214" t="s">
        <v>2035</v>
      </c>
      <c r="D76" s="213" t="s">
        <v>9</v>
      </c>
      <c r="E76" s="217"/>
      <c r="F76" s="215"/>
      <c r="G76" s="215" t="s">
        <v>68</v>
      </c>
      <c r="H76" s="215"/>
      <c r="I76" s="215" t="s">
        <v>68</v>
      </c>
      <c r="J76" s="215"/>
      <c r="K76" s="215" t="s">
        <v>68</v>
      </c>
      <c r="L76" s="215"/>
      <c r="M76" s="215" t="s">
        <v>68</v>
      </c>
      <c r="N76" s="245"/>
      <c r="O76" s="215" t="s">
        <v>68</v>
      </c>
      <c r="P76" s="214" t="s">
        <v>2612</v>
      </c>
      <c r="Q76" s="214" t="s">
        <v>2721</v>
      </c>
    </row>
    <row r="77" spans="1:17" ht="24" customHeight="1">
      <c r="A77" s="218" t="s">
        <v>2077</v>
      </c>
      <c r="B77" s="218" t="s">
        <v>2075</v>
      </c>
      <c r="C77" s="214" t="s">
        <v>2076</v>
      </c>
      <c r="D77" s="213" t="s">
        <v>1033</v>
      </c>
      <c r="E77" s="217"/>
      <c r="F77" s="215"/>
      <c r="G77" s="215" t="s">
        <v>68</v>
      </c>
      <c r="H77" s="215"/>
      <c r="I77" s="215" t="s">
        <v>68</v>
      </c>
      <c r="J77" s="215"/>
      <c r="K77" s="215" t="s">
        <v>68</v>
      </c>
      <c r="L77" s="215"/>
      <c r="M77" s="215" t="s">
        <v>68</v>
      </c>
      <c r="N77" s="228"/>
      <c r="O77" s="215" t="s">
        <v>68</v>
      </c>
      <c r="P77" s="214" t="s">
        <v>2719</v>
      </c>
      <c r="Q77" s="214" t="s">
        <v>2722</v>
      </c>
    </row>
    <row r="78" spans="1:17" ht="24" customHeight="1">
      <c r="A78" s="218" t="s">
        <v>2080</v>
      </c>
      <c r="B78" s="218" t="s">
        <v>2078</v>
      </c>
      <c r="C78" s="214" t="s">
        <v>2079</v>
      </c>
      <c r="D78" s="213" t="s">
        <v>437</v>
      </c>
      <c r="E78" s="217"/>
      <c r="F78" s="215"/>
      <c r="G78" s="215" t="s">
        <v>68</v>
      </c>
      <c r="H78" s="215"/>
      <c r="I78" s="215" t="s">
        <v>68</v>
      </c>
      <c r="J78" s="215"/>
      <c r="K78" s="215" t="s">
        <v>68</v>
      </c>
      <c r="L78" s="215"/>
      <c r="M78" s="215" t="s">
        <v>68</v>
      </c>
      <c r="N78" s="228"/>
      <c r="O78" s="215" t="s">
        <v>68</v>
      </c>
      <c r="P78" s="214" t="s">
        <v>2719</v>
      </c>
      <c r="Q78" s="214" t="s">
        <v>2723</v>
      </c>
    </row>
    <row r="79" spans="1:17" ht="24" customHeight="1">
      <c r="A79" s="218" t="s">
        <v>2484</v>
      </c>
      <c r="B79" s="218" t="s">
        <v>401</v>
      </c>
      <c r="C79" s="214" t="s">
        <v>1313</v>
      </c>
      <c r="D79" s="213" t="s">
        <v>9</v>
      </c>
      <c r="E79" s="217"/>
      <c r="F79" s="215"/>
      <c r="G79" s="215" t="s">
        <v>68</v>
      </c>
      <c r="H79" s="215"/>
      <c r="I79" s="215" t="s">
        <v>68</v>
      </c>
      <c r="J79" s="215"/>
      <c r="K79" s="215" t="s">
        <v>68</v>
      </c>
      <c r="L79" s="215"/>
      <c r="M79" s="215" t="s">
        <v>68</v>
      </c>
      <c r="N79" s="228"/>
      <c r="O79" s="215" t="s">
        <v>68</v>
      </c>
      <c r="P79" s="214" t="s">
        <v>2719</v>
      </c>
      <c r="Q79" s="214" t="s">
        <v>2724</v>
      </c>
    </row>
    <row r="80" spans="1:17" ht="24" customHeight="1">
      <c r="A80" s="218" t="s">
        <v>2491</v>
      </c>
      <c r="B80" s="218" t="s">
        <v>401</v>
      </c>
      <c r="C80" s="214" t="s">
        <v>1315</v>
      </c>
      <c r="D80" s="213" t="s">
        <v>9</v>
      </c>
      <c r="E80" s="217"/>
      <c r="F80" s="215"/>
      <c r="G80" s="215" t="s">
        <v>68</v>
      </c>
      <c r="H80" s="215"/>
      <c r="I80" s="215" t="s">
        <v>68</v>
      </c>
      <c r="J80" s="215"/>
      <c r="K80" s="215" t="s">
        <v>68</v>
      </c>
      <c r="L80" s="215"/>
      <c r="M80" s="215" t="s">
        <v>68</v>
      </c>
      <c r="N80" s="228"/>
      <c r="O80" s="215" t="s">
        <v>68</v>
      </c>
      <c r="P80" s="214" t="s">
        <v>2719</v>
      </c>
      <c r="Q80" s="214" t="s">
        <v>2725</v>
      </c>
    </row>
    <row r="81" spans="1:17" ht="24" customHeight="1">
      <c r="A81" s="218" t="s">
        <v>2451</v>
      </c>
      <c r="B81" s="218" t="s">
        <v>401</v>
      </c>
      <c r="C81" s="214" t="s">
        <v>1543</v>
      </c>
      <c r="D81" s="213" t="s">
        <v>9</v>
      </c>
      <c r="E81" s="217"/>
      <c r="F81" s="215"/>
      <c r="G81" s="215" t="s">
        <v>68</v>
      </c>
      <c r="H81" s="215"/>
      <c r="I81" s="215" t="s">
        <v>68</v>
      </c>
      <c r="J81" s="215"/>
      <c r="K81" s="215" t="s">
        <v>68</v>
      </c>
      <c r="L81" s="215"/>
      <c r="M81" s="215" t="s">
        <v>68</v>
      </c>
      <c r="N81" s="228"/>
      <c r="O81" s="215" t="s">
        <v>68</v>
      </c>
      <c r="P81" s="214" t="s">
        <v>2719</v>
      </c>
      <c r="Q81" s="214" t="s">
        <v>2725</v>
      </c>
    </row>
    <row r="82" spans="1:17" ht="24" customHeight="1">
      <c r="A82" s="218" t="s">
        <v>2246</v>
      </c>
      <c r="B82" s="218" t="s">
        <v>1317</v>
      </c>
      <c r="C82" s="214" t="s">
        <v>68</v>
      </c>
      <c r="D82" s="213" t="s">
        <v>1033</v>
      </c>
      <c r="E82" s="217"/>
      <c r="F82" s="215"/>
      <c r="G82" s="215" t="s">
        <v>68</v>
      </c>
      <c r="H82" s="215"/>
      <c r="I82" s="215" t="s">
        <v>68</v>
      </c>
      <c r="J82" s="215"/>
      <c r="K82" s="215" t="s">
        <v>68</v>
      </c>
      <c r="L82" s="215"/>
      <c r="M82" s="215" t="s">
        <v>68</v>
      </c>
      <c r="N82" s="228"/>
      <c r="O82" s="215" t="s">
        <v>68</v>
      </c>
      <c r="P82" s="214" t="s">
        <v>2719</v>
      </c>
      <c r="Q82" s="214" t="s">
        <v>2726</v>
      </c>
    </row>
    <row r="83" spans="1:17" ht="24" customHeight="1">
      <c r="A83" s="218" t="s">
        <v>2257</v>
      </c>
      <c r="B83" s="218" t="s">
        <v>1323</v>
      </c>
      <c r="C83" s="214" t="s">
        <v>1321</v>
      </c>
      <c r="D83" s="213" t="s">
        <v>437</v>
      </c>
      <c r="E83" s="217"/>
      <c r="F83" s="215"/>
      <c r="G83" s="215" t="s">
        <v>68</v>
      </c>
      <c r="H83" s="215"/>
      <c r="I83" s="215" t="s">
        <v>68</v>
      </c>
      <c r="J83" s="215"/>
      <c r="K83" s="215" t="s">
        <v>68</v>
      </c>
      <c r="L83" s="215"/>
      <c r="M83" s="215" t="s">
        <v>68</v>
      </c>
      <c r="N83" s="228"/>
      <c r="O83" s="215" t="s">
        <v>68</v>
      </c>
      <c r="P83" s="214" t="s">
        <v>2719</v>
      </c>
      <c r="Q83" s="214" t="s">
        <v>2727</v>
      </c>
    </row>
    <row r="84" spans="1:17" ht="24" customHeight="1">
      <c r="A84" s="218" t="s">
        <v>2248</v>
      </c>
      <c r="B84" s="218" t="s">
        <v>1320</v>
      </c>
      <c r="C84" s="214" t="s">
        <v>1324</v>
      </c>
      <c r="D84" s="213" t="s">
        <v>437</v>
      </c>
      <c r="E84" s="217"/>
      <c r="F84" s="215"/>
      <c r="G84" s="215" t="s">
        <v>68</v>
      </c>
      <c r="H84" s="215"/>
      <c r="I84" s="215" t="s">
        <v>68</v>
      </c>
      <c r="J84" s="215"/>
      <c r="K84" s="215" t="s">
        <v>68</v>
      </c>
      <c r="L84" s="215"/>
      <c r="M84" s="215" t="s">
        <v>68</v>
      </c>
      <c r="N84" s="228"/>
      <c r="O84" s="215" t="s">
        <v>68</v>
      </c>
      <c r="P84" s="214" t="s">
        <v>2719</v>
      </c>
      <c r="Q84" s="214" t="s">
        <v>2728</v>
      </c>
    </row>
    <row r="85" spans="1:17" ht="24" customHeight="1">
      <c r="A85" s="218" t="s">
        <v>2259</v>
      </c>
      <c r="B85" s="218" t="s">
        <v>1323</v>
      </c>
      <c r="C85" s="214" t="s">
        <v>1326</v>
      </c>
      <c r="D85" s="213" t="s">
        <v>437</v>
      </c>
      <c r="E85" s="217"/>
      <c r="F85" s="215"/>
      <c r="G85" s="215" t="s">
        <v>68</v>
      </c>
      <c r="H85" s="215"/>
      <c r="I85" s="215" t="s">
        <v>68</v>
      </c>
      <c r="J85" s="215"/>
      <c r="K85" s="215" t="s">
        <v>68</v>
      </c>
      <c r="L85" s="215"/>
      <c r="M85" s="215" t="s">
        <v>68</v>
      </c>
      <c r="N85" s="228"/>
      <c r="O85" s="215" t="s">
        <v>68</v>
      </c>
      <c r="P85" s="214" t="s">
        <v>2719</v>
      </c>
      <c r="Q85" s="214" t="s">
        <v>2729</v>
      </c>
    </row>
    <row r="86" spans="1:17" ht="24" customHeight="1">
      <c r="A86" s="218" t="s">
        <v>2261</v>
      </c>
      <c r="B86" s="218" t="s">
        <v>1323</v>
      </c>
      <c r="C86" s="214" t="s">
        <v>1545</v>
      </c>
      <c r="D86" s="213" t="s">
        <v>437</v>
      </c>
      <c r="E86" s="217"/>
      <c r="F86" s="215"/>
      <c r="G86" s="215" t="s">
        <v>68</v>
      </c>
      <c r="H86" s="215"/>
      <c r="I86" s="215" t="s">
        <v>68</v>
      </c>
      <c r="J86" s="215"/>
      <c r="K86" s="215" t="s">
        <v>68</v>
      </c>
      <c r="L86" s="215"/>
      <c r="M86" s="215" t="s">
        <v>68</v>
      </c>
      <c r="N86" s="228"/>
      <c r="O86" s="215" t="s">
        <v>68</v>
      </c>
      <c r="P86" s="214" t="s">
        <v>2719</v>
      </c>
      <c r="Q86" s="214" t="s">
        <v>2730</v>
      </c>
    </row>
    <row r="87" spans="1:17" ht="24" customHeight="1">
      <c r="A87" s="218" t="s">
        <v>2455</v>
      </c>
      <c r="B87" s="218" t="s">
        <v>1547</v>
      </c>
      <c r="C87" s="214" t="s">
        <v>2454</v>
      </c>
      <c r="D87" s="213" t="s">
        <v>437</v>
      </c>
      <c r="E87" s="217"/>
      <c r="F87" s="215"/>
      <c r="G87" s="215" t="s">
        <v>68</v>
      </c>
      <c r="H87" s="215"/>
      <c r="I87" s="215" t="s">
        <v>68</v>
      </c>
      <c r="J87" s="215"/>
      <c r="K87" s="215" t="s">
        <v>68</v>
      </c>
      <c r="L87" s="215"/>
      <c r="M87" s="215" t="s">
        <v>68</v>
      </c>
      <c r="N87" s="228"/>
      <c r="O87" s="215" t="s">
        <v>68</v>
      </c>
      <c r="P87" s="214" t="s">
        <v>2719</v>
      </c>
      <c r="Q87" s="214" t="s">
        <v>2731</v>
      </c>
    </row>
    <row r="88" spans="1:17" ht="24" customHeight="1">
      <c r="A88" s="218" t="s">
        <v>1527</v>
      </c>
      <c r="B88" s="218" t="s">
        <v>1525</v>
      </c>
      <c r="C88" s="214" t="s">
        <v>1526</v>
      </c>
      <c r="D88" s="213" t="s">
        <v>437</v>
      </c>
      <c r="E88" s="217"/>
      <c r="F88" s="215"/>
      <c r="G88" s="215" t="s">
        <v>68</v>
      </c>
      <c r="H88" s="215"/>
      <c r="I88" s="215" t="s">
        <v>68</v>
      </c>
      <c r="J88" s="215"/>
      <c r="K88" s="215" t="s">
        <v>68</v>
      </c>
      <c r="L88" s="215"/>
      <c r="M88" s="215" t="s">
        <v>68</v>
      </c>
      <c r="N88" s="228"/>
      <c r="O88" s="215" t="s">
        <v>68</v>
      </c>
      <c r="P88" s="214" t="s">
        <v>2719</v>
      </c>
      <c r="Q88" s="214" t="s">
        <v>2732</v>
      </c>
    </row>
    <row r="89" spans="1:17" ht="24" customHeight="1">
      <c r="A89" s="218" t="s">
        <v>1541</v>
      </c>
      <c r="B89" s="218" t="s">
        <v>1525</v>
      </c>
      <c r="C89" s="214" t="s">
        <v>1540</v>
      </c>
      <c r="D89" s="213" t="s">
        <v>437</v>
      </c>
      <c r="E89" s="217"/>
      <c r="F89" s="215"/>
      <c r="G89" s="215" t="s">
        <v>68</v>
      </c>
      <c r="H89" s="215"/>
      <c r="I89" s="215" t="s">
        <v>68</v>
      </c>
      <c r="J89" s="215"/>
      <c r="K89" s="215" t="s">
        <v>68</v>
      </c>
      <c r="L89" s="215"/>
      <c r="M89" s="215" t="s">
        <v>68</v>
      </c>
      <c r="N89" s="228"/>
      <c r="O89" s="215" t="s">
        <v>68</v>
      </c>
      <c r="P89" s="214" t="s">
        <v>2719</v>
      </c>
      <c r="Q89" s="214" t="s">
        <v>2733</v>
      </c>
    </row>
    <row r="90" spans="1:17" ht="24" customHeight="1">
      <c r="A90" s="218" t="s">
        <v>1535</v>
      </c>
      <c r="B90" s="218" t="s">
        <v>1533</v>
      </c>
      <c r="C90" s="214" t="s">
        <v>1534</v>
      </c>
      <c r="D90" s="213" t="s">
        <v>1033</v>
      </c>
      <c r="E90" s="217"/>
      <c r="F90" s="215"/>
      <c r="G90" s="215" t="s">
        <v>68</v>
      </c>
      <c r="H90" s="215"/>
      <c r="I90" s="215" t="s">
        <v>68</v>
      </c>
      <c r="J90" s="215"/>
      <c r="K90" s="215" t="s">
        <v>68</v>
      </c>
      <c r="L90" s="215"/>
      <c r="M90" s="215" t="s">
        <v>68</v>
      </c>
      <c r="N90" s="228"/>
      <c r="O90" s="215" t="s">
        <v>68</v>
      </c>
      <c r="P90" s="214" t="s">
        <v>2719</v>
      </c>
      <c r="Q90" s="214" t="s">
        <v>2734</v>
      </c>
    </row>
    <row r="91" spans="1:17" ht="24" customHeight="1">
      <c r="A91" s="218" t="s">
        <v>2342</v>
      </c>
      <c r="B91" s="218" t="s">
        <v>2340</v>
      </c>
      <c r="C91" s="214" t="s">
        <v>2341</v>
      </c>
      <c r="D91" s="213" t="s">
        <v>149</v>
      </c>
      <c r="E91" s="217"/>
      <c r="F91" s="215"/>
      <c r="G91" s="215" t="s">
        <v>68</v>
      </c>
      <c r="H91" s="215"/>
      <c r="I91" s="215" t="s">
        <v>68</v>
      </c>
      <c r="J91" s="215"/>
      <c r="K91" s="215" t="s">
        <v>68</v>
      </c>
      <c r="L91" s="215"/>
      <c r="M91" s="215" t="s">
        <v>68</v>
      </c>
      <c r="N91" s="245"/>
      <c r="O91" s="215" t="s">
        <v>68</v>
      </c>
      <c r="P91" s="214" t="s">
        <v>2719</v>
      </c>
      <c r="Q91" s="214" t="s">
        <v>2735</v>
      </c>
    </row>
    <row r="92" spans="1:17" ht="24" customHeight="1">
      <c r="A92" s="218" t="s">
        <v>2350</v>
      </c>
      <c r="B92" s="218" t="s">
        <v>2340</v>
      </c>
      <c r="C92" s="214" t="s">
        <v>2349</v>
      </c>
      <c r="D92" s="213" t="s">
        <v>149</v>
      </c>
      <c r="E92" s="217"/>
      <c r="F92" s="215"/>
      <c r="G92" s="215" t="s">
        <v>68</v>
      </c>
      <c r="H92" s="215"/>
      <c r="I92" s="215" t="s">
        <v>68</v>
      </c>
      <c r="J92" s="215"/>
      <c r="K92" s="215" t="s">
        <v>68</v>
      </c>
      <c r="L92" s="215"/>
      <c r="M92" s="215" t="s">
        <v>68</v>
      </c>
      <c r="N92" s="245"/>
      <c r="O92" s="215" t="s">
        <v>68</v>
      </c>
      <c r="P92" s="214" t="s">
        <v>2719</v>
      </c>
      <c r="Q92" s="214" t="s">
        <v>2736</v>
      </c>
    </row>
    <row r="93" spans="1:17" ht="24" customHeight="1">
      <c r="A93" s="218" t="s">
        <v>2355</v>
      </c>
      <c r="B93" s="218" t="s">
        <v>2353</v>
      </c>
      <c r="C93" s="214" t="s">
        <v>2354</v>
      </c>
      <c r="D93" s="213" t="s">
        <v>149</v>
      </c>
      <c r="E93" s="217"/>
      <c r="F93" s="215"/>
      <c r="G93" s="215" t="s">
        <v>68</v>
      </c>
      <c r="H93" s="215"/>
      <c r="I93" s="215" t="s">
        <v>68</v>
      </c>
      <c r="J93" s="215"/>
      <c r="K93" s="215" t="s">
        <v>68</v>
      </c>
      <c r="L93" s="215"/>
      <c r="M93" s="215" t="s">
        <v>68</v>
      </c>
      <c r="N93" s="245"/>
      <c r="O93" s="215" t="s">
        <v>68</v>
      </c>
      <c r="P93" s="214" t="s">
        <v>2719</v>
      </c>
      <c r="Q93" s="214" t="s">
        <v>2737</v>
      </c>
    </row>
    <row r="94" spans="1:17" ht="24" customHeight="1">
      <c r="A94" s="218" t="s">
        <v>2477</v>
      </c>
      <c r="B94" s="218" t="s">
        <v>2340</v>
      </c>
      <c r="C94" s="214" t="s">
        <v>2476</v>
      </c>
      <c r="D94" s="213" t="s">
        <v>149</v>
      </c>
      <c r="E94" s="217"/>
      <c r="F94" s="215"/>
      <c r="G94" s="215" t="s">
        <v>68</v>
      </c>
      <c r="H94" s="215"/>
      <c r="I94" s="215" t="s">
        <v>68</v>
      </c>
      <c r="J94" s="215"/>
      <c r="K94" s="215" t="s">
        <v>68</v>
      </c>
      <c r="L94" s="215"/>
      <c r="M94" s="215" t="s">
        <v>68</v>
      </c>
      <c r="N94" s="245"/>
      <c r="O94" s="215" t="s">
        <v>68</v>
      </c>
      <c r="P94" s="214" t="s">
        <v>2719</v>
      </c>
      <c r="Q94" s="214" t="s">
        <v>2738</v>
      </c>
    </row>
    <row r="95" spans="1:17" ht="24" customHeight="1">
      <c r="A95" s="218" t="s">
        <v>2459</v>
      </c>
      <c r="B95" s="218" t="s">
        <v>2457</v>
      </c>
      <c r="C95" s="214" t="s">
        <v>2458</v>
      </c>
      <c r="D95" s="213" t="s">
        <v>149</v>
      </c>
      <c r="E95" s="217"/>
      <c r="F95" s="215"/>
      <c r="G95" s="215" t="s">
        <v>68</v>
      </c>
      <c r="H95" s="215"/>
      <c r="I95" s="215" t="s">
        <v>68</v>
      </c>
      <c r="J95" s="215"/>
      <c r="K95" s="215" t="s">
        <v>68</v>
      </c>
      <c r="L95" s="215"/>
      <c r="M95" s="215" t="s">
        <v>68</v>
      </c>
      <c r="N95" s="245"/>
      <c r="O95" s="215" t="s">
        <v>68</v>
      </c>
      <c r="P95" s="214" t="s">
        <v>68</v>
      </c>
      <c r="Q95" s="214" t="s">
        <v>68</v>
      </c>
    </row>
    <row r="96" spans="1:17" ht="24" customHeight="1">
      <c r="A96" s="218" t="s">
        <v>1555</v>
      </c>
      <c r="B96" s="218" t="s">
        <v>1553</v>
      </c>
      <c r="C96" s="214" t="s">
        <v>1554</v>
      </c>
      <c r="D96" s="213" t="s">
        <v>437</v>
      </c>
      <c r="E96" s="217"/>
      <c r="F96" s="215"/>
      <c r="G96" s="215" t="s">
        <v>68</v>
      </c>
      <c r="H96" s="215"/>
      <c r="I96" s="215" t="s">
        <v>68</v>
      </c>
      <c r="J96" s="215"/>
      <c r="K96" s="215" t="s">
        <v>68</v>
      </c>
      <c r="L96" s="215"/>
      <c r="M96" s="215" t="s">
        <v>68</v>
      </c>
      <c r="N96" s="245"/>
      <c r="O96" s="215" t="s">
        <v>68</v>
      </c>
      <c r="P96" s="214" t="s">
        <v>68</v>
      </c>
      <c r="Q96" s="214" t="s">
        <v>68</v>
      </c>
    </row>
    <row r="97" spans="1:17" ht="24" customHeight="1">
      <c r="A97" s="218" t="s">
        <v>2372</v>
      </c>
      <c r="B97" s="218" t="s">
        <v>2370</v>
      </c>
      <c r="C97" s="214" t="s">
        <v>2371</v>
      </c>
      <c r="D97" s="213" t="s">
        <v>437</v>
      </c>
      <c r="E97" s="217"/>
      <c r="F97" s="215"/>
      <c r="G97" s="215" t="s">
        <v>68</v>
      </c>
      <c r="H97" s="215"/>
      <c r="I97" s="215" t="s">
        <v>68</v>
      </c>
      <c r="J97" s="215"/>
      <c r="K97" s="215" t="s">
        <v>68</v>
      </c>
      <c r="L97" s="215"/>
      <c r="M97" s="215" t="s">
        <v>68</v>
      </c>
      <c r="N97" s="245"/>
      <c r="O97" s="215" t="s">
        <v>68</v>
      </c>
      <c r="P97" s="214" t="s">
        <v>68</v>
      </c>
      <c r="Q97" s="214" t="s">
        <v>68</v>
      </c>
    </row>
    <row r="98" spans="1:17" ht="24" customHeight="1">
      <c r="A98" s="218" t="s">
        <v>2378</v>
      </c>
      <c r="B98" s="218" t="s">
        <v>2376</v>
      </c>
      <c r="C98" s="214" t="s">
        <v>2377</v>
      </c>
      <c r="D98" s="213" t="s">
        <v>437</v>
      </c>
      <c r="E98" s="217"/>
      <c r="F98" s="215"/>
      <c r="G98" s="215" t="s">
        <v>68</v>
      </c>
      <c r="H98" s="215"/>
      <c r="I98" s="215" t="s">
        <v>68</v>
      </c>
      <c r="J98" s="215"/>
      <c r="K98" s="215" t="s">
        <v>68</v>
      </c>
      <c r="L98" s="215"/>
      <c r="M98" s="215" t="s">
        <v>68</v>
      </c>
      <c r="N98" s="245"/>
      <c r="O98" s="215" t="s">
        <v>68</v>
      </c>
      <c r="P98" s="214" t="s">
        <v>68</v>
      </c>
      <c r="Q98" s="214" t="s">
        <v>68</v>
      </c>
    </row>
    <row r="99" spans="1:17" ht="24" customHeight="1">
      <c r="A99" s="218" t="s">
        <v>1619</v>
      </c>
      <c r="B99" s="218" t="s">
        <v>847</v>
      </c>
      <c r="C99" s="214" t="s">
        <v>861</v>
      </c>
      <c r="D99" s="213" t="s">
        <v>437</v>
      </c>
      <c r="E99" s="217"/>
      <c r="F99" s="215"/>
      <c r="G99" s="215" t="s">
        <v>68</v>
      </c>
      <c r="H99" s="215"/>
      <c r="I99" s="215" t="s">
        <v>68</v>
      </c>
      <c r="J99" s="215"/>
      <c r="K99" s="215" t="s">
        <v>68</v>
      </c>
      <c r="L99" s="215"/>
      <c r="M99" s="215" t="s">
        <v>68</v>
      </c>
      <c r="N99" s="245"/>
      <c r="O99" s="215" t="s">
        <v>68</v>
      </c>
      <c r="P99" s="214" t="s">
        <v>68</v>
      </c>
      <c r="Q99" s="214" t="s">
        <v>68</v>
      </c>
    </row>
    <row r="100" spans="1:17" ht="24" customHeight="1">
      <c r="A100" s="218" t="s">
        <v>1621</v>
      </c>
      <c r="B100" s="218" t="s">
        <v>848</v>
      </c>
      <c r="C100" s="214" t="s">
        <v>1620</v>
      </c>
      <c r="D100" s="213" t="s">
        <v>437</v>
      </c>
      <c r="E100" s="217"/>
      <c r="F100" s="215"/>
      <c r="G100" s="215" t="s">
        <v>68</v>
      </c>
      <c r="H100" s="215"/>
      <c r="I100" s="215" t="s">
        <v>68</v>
      </c>
      <c r="J100" s="215"/>
      <c r="K100" s="215" t="s">
        <v>68</v>
      </c>
      <c r="L100" s="215"/>
      <c r="M100" s="215" t="s">
        <v>68</v>
      </c>
      <c r="N100" s="245"/>
      <c r="O100" s="215" t="s">
        <v>68</v>
      </c>
      <c r="P100" s="214" t="s">
        <v>68</v>
      </c>
      <c r="Q100" s="214" t="s">
        <v>68</v>
      </c>
    </row>
    <row r="101" spans="1:17" ht="24" customHeight="1">
      <c r="A101" s="218" t="s">
        <v>1622</v>
      </c>
      <c r="B101" s="218" t="s">
        <v>849</v>
      </c>
      <c r="C101" s="214" t="s">
        <v>863</v>
      </c>
      <c r="D101" s="213" t="s">
        <v>437</v>
      </c>
      <c r="E101" s="217"/>
      <c r="F101" s="215"/>
      <c r="G101" s="215" t="s">
        <v>68</v>
      </c>
      <c r="H101" s="215"/>
      <c r="I101" s="215" t="s">
        <v>68</v>
      </c>
      <c r="J101" s="215"/>
      <c r="K101" s="215" t="s">
        <v>68</v>
      </c>
      <c r="L101" s="215"/>
      <c r="M101" s="215" t="s">
        <v>68</v>
      </c>
      <c r="N101" s="245"/>
      <c r="O101" s="215" t="s">
        <v>68</v>
      </c>
      <c r="P101" s="214" t="s">
        <v>68</v>
      </c>
      <c r="Q101" s="214" t="s">
        <v>68</v>
      </c>
    </row>
    <row r="102" spans="1:17" ht="24" customHeight="1">
      <c r="A102" s="218" t="s">
        <v>1623</v>
      </c>
      <c r="B102" s="218" t="s">
        <v>850</v>
      </c>
      <c r="C102" s="214" t="s">
        <v>864</v>
      </c>
      <c r="D102" s="213" t="s">
        <v>437</v>
      </c>
      <c r="E102" s="217"/>
      <c r="F102" s="215"/>
      <c r="G102" s="215" t="s">
        <v>68</v>
      </c>
      <c r="H102" s="215"/>
      <c r="I102" s="215" t="s">
        <v>68</v>
      </c>
      <c r="J102" s="215"/>
      <c r="K102" s="215" t="s">
        <v>68</v>
      </c>
      <c r="L102" s="215"/>
      <c r="M102" s="215" t="s">
        <v>68</v>
      </c>
      <c r="N102" s="245"/>
      <c r="O102" s="215" t="s">
        <v>68</v>
      </c>
      <c r="P102" s="214" t="s">
        <v>68</v>
      </c>
      <c r="Q102" s="214" t="s">
        <v>68</v>
      </c>
    </row>
    <row r="103" spans="1:17" ht="24" customHeight="1">
      <c r="A103" s="218" t="s">
        <v>1624</v>
      </c>
      <c r="B103" s="218" t="s">
        <v>851</v>
      </c>
      <c r="C103" s="214" t="s">
        <v>865</v>
      </c>
      <c r="D103" s="213" t="s">
        <v>437</v>
      </c>
      <c r="E103" s="217"/>
      <c r="F103" s="215"/>
      <c r="G103" s="215" t="s">
        <v>68</v>
      </c>
      <c r="H103" s="215"/>
      <c r="I103" s="215" t="s">
        <v>68</v>
      </c>
      <c r="J103" s="215"/>
      <c r="K103" s="215" t="s">
        <v>68</v>
      </c>
      <c r="L103" s="215"/>
      <c r="M103" s="215" t="s">
        <v>68</v>
      </c>
      <c r="N103" s="245"/>
      <c r="O103" s="215" t="s">
        <v>68</v>
      </c>
      <c r="P103" s="214" t="s">
        <v>68</v>
      </c>
      <c r="Q103" s="214" t="s">
        <v>68</v>
      </c>
    </row>
    <row r="104" spans="1:17" ht="24" customHeight="1">
      <c r="A104" s="218" t="s">
        <v>1625</v>
      </c>
      <c r="B104" s="218" t="s">
        <v>852</v>
      </c>
      <c r="C104" s="214" t="s">
        <v>866</v>
      </c>
      <c r="D104" s="213" t="s">
        <v>437</v>
      </c>
      <c r="E104" s="217"/>
      <c r="F104" s="215"/>
      <c r="G104" s="215" t="s">
        <v>68</v>
      </c>
      <c r="H104" s="215"/>
      <c r="I104" s="215" t="s">
        <v>68</v>
      </c>
      <c r="J104" s="215"/>
      <c r="K104" s="215" t="s">
        <v>68</v>
      </c>
      <c r="L104" s="215"/>
      <c r="M104" s="215" t="s">
        <v>68</v>
      </c>
      <c r="N104" s="245"/>
      <c r="O104" s="215" t="s">
        <v>68</v>
      </c>
      <c r="P104" s="214" t="s">
        <v>68</v>
      </c>
      <c r="Q104" s="214" t="s">
        <v>68</v>
      </c>
    </row>
    <row r="105" spans="1:17" ht="24" customHeight="1">
      <c r="A105" s="218" t="s">
        <v>1626</v>
      </c>
      <c r="B105" s="218" t="s">
        <v>853</v>
      </c>
      <c r="C105" s="214" t="s">
        <v>867</v>
      </c>
      <c r="D105" s="213" t="s">
        <v>437</v>
      </c>
      <c r="E105" s="217"/>
      <c r="F105" s="215"/>
      <c r="G105" s="215" t="s">
        <v>68</v>
      </c>
      <c r="H105" s="215"/>
      <c r="I105" s="215" t="s">
        <v>68</v>
      </c>
      <c r="J105" s="215"/>
      <c r="K105" s="215" t="s">
        <v>68</v>
      </c>
      <c r="L105" s="215"/>
      <c r="M105" s="215" t="s">
        <v>68</v>
      </c>
      <c r="N105" s="245"/>
      <c r="O105" s="215" t="s">
        <v>68</v>
      </c>
      <c r="P105" s="214" t="s">
        <v>68</v>
      </c>
      <c r="Q105" s="214" t="s">
        <v>68</v>
      </c>
    </row>
    <row r="106" spans="1:17" ht="24" customHeight="1">
      <c r="A106" s="218" t="s">
        <v>2388</v>
      </c>
      <c r="B106" s="218" t="s">
        <v>2386</v>
      </c>
      <c r="C106" s="214" t="s">
        <v>2387</v>
      </c>
      <c r="D106" s="213" t="s">
        <v>437</v>
      </c>
      <c r="E106" s="217"/>
      <c r="F106" s="215"/>
      <c r="G106" s="215" t="s">
        <v>68</v>
      </c>
      <c r="H106" s="215"/>
      <c r="I106" s="215" t="s">
        <v>68</v>
      </c>
      <c r="J106" s="215"/>
      <c r="K106" s="215" t="s">
        <v>68</v>
      </c>
      <c r="L106" s="215"/>
      <c r="M106" s="215" t="s">
        <v>68</v>
      </c>
      <c r="N106" s="245"/>
      <c r="O106" s="215" t="s">
        <v>68</v>
      </c>
      <c r="P106" s="214" t="s">
        <v>68</v>
      </c>
      <c r="Q106" s="214" t="s">
        <v>68</v>
      </c>
    </row>
    <row r="107" spans="1:17" ht="24" customHeight="1">
      <c r="A107" s="218" t="s">
        <v>2382</v>
      </c>
      <c r="B107" s="218" t="s">
        <v>2380</v>
      </c>
      <c r="C107" s="214" t="s">
        <v>2381</v>
      </c>
      <c r="D107" s="213" t="s">
        <v>437</v>
      </c>
      <c r="E107" s="217"/>
      <c r="F107" s="215"/>
      <c r="G107" s="215" t="s">
        <v>68</v>
      </c>
      <c r="H107" s="215"/>
      <c r="I107" s="215" t="s">
        <v>68</v>
      </c>
      <c r="J107" s="215"/>
      <c r="K107" s="215" t="s">
        <v>68</v>
      </c>
      <c r="L107" s="215"/>
      <c r="M107" s="215" t="s">
        <v>68</v>
      </c>
      <c r="N107" s="245"/>
      <c r="O107" s="215" t="s">
        <v>68</v>
      </c>
      <c r="P107" s="214" t="s">
        <v>68</v>
      </c>
      <c r="Q107" s="214" t="s">
        <v>68</v>
      </c>
    </row>
    <row r="108" spans="1:17" ht="24" customHeight="1">
      <c r="A108" s="218" t="s">
        <v>2094</v>
      </c>
      <c r="B108" s="218" t="s">
        <v>2092</v>
      </c>
      <c r="C108" s="214" t="s">
        <v>2093</v>
      </c>
      <c r="D108" s="213" t="s">
        <v>437</v>
      </c>
      <c r="E108" s="217"/>
      <c r="F108" s="215"/>
      <c r="G108" s="215" t="s">
        <v>68</v>
      </c>
      <c r="H108" s="215"/>
      <c r="I108" s="215" t="s">
        <v>68</v>
      </c>
      <c r="J108" s="215"/>
      <c r="K108" s="215" t="s">
        <v>68</v>
      </c>
      <c r="L108" s="215"/>
      <c r="M108" s="215" t="s">
        <v>68</v>
      </c>
      <c r="N108" s="245"/>
      <c r="O108" s="215" t="s">
        <v>68</v>
      </c>
      <c r="P108" s="214" t="s">
        <v>68</v>
      </c>
      <c r="Q108" s="214" t="s">
        <v>68</v>
      </c>
    </row>
    <row r="109" spans="1:17" ht="24" customHeight="1">
      <c r="A109" s="218" t="s">
        <v>2396</v>
      </c>
      <c r="B109" s="218" t="s">
        <v>2394</v>
      </c>
      <c r="C109" s="214" t="s">
        <v>2395</v>
      </c>
      <c r="D109" s="213" t="s">
        <v>437</v>
      </c>
      <c r="E109" s="217"/>
      <c r="F109" s="215"/>
      <c r="G109" s="215" t="s">
        <v>68</v>
      </c>
      <c r="H109" s="215"/>
      <c r="I109" s="215" t="s">
        <v>68</v>
      </c>
      <c r="J109" s="215"/>
      <c r="K109" s="215" t="s">
        <v>68</v>
      </c>
      <c r="L109" s="215"/>
      <c r="M109" s="215" t="s">
        <v>68</v>
      </c>
      <c r="N109" s="245"/>
      <c r="O109" s="215" t="s">
        <v>68</v>
      </c>
      <c r="P109" s="214" t="s">
        <v>68</v>
      </c>
      <c r="Q109" s="214" t="s">
        <v>68</v>
      </c>
    </row>
    <row r="110" spans="1:17" ht="24" customHeight="1">
      <c r="A110" s="218" t="s">
        <v>2392</v>
      </c>
      <c r="B110" s="218" t="s">
        <v>2390</v>
      </c>
      <c r="C110" s="214" t="s">
        <v>2391</v>
      </c>
      <c r="D110" s="213" t="s">
        <v>437</v>
      </c>
      <c r="E110" s="217"/>
      <c r="F110" s="215"/>
      <c r="G110" s="215" t="s">
        <v>68</v>
      </c>
      <c r="H110" s="215"/>
      <c r="I110" s="215" t="s">
        <v>68</v>
      </c>
      <c r="J110" s="215"/>
      <c r="K110" s="215" t="s">
        <v>68</v>
      </c>
      <c r="L110" s="215"/>
      <c r="M110" s="215" t="s">
        <v>68</v>
      </c>
      <c r="N110" s="245"/>
      <c r="O110" s="215" t="s">
        <v>68</v>
      </c>
      <c r="P110" s="214" t="s">
        <v>68</v>
      </c>
      <c r="Q110" s="214" t="s">
        <v>68</v>
      </c>
    </row>
    <row r="111" spans="1:17" ht="24" customHeight="1">
      <c r="A111" s="218" t="s">
        <v>2412</v>
      </c>
      <c r="B111" s="218" t="s">
        <v>2410</v>
      </c>
      <c r="C111" s="214" t="s">
        <v>2411</v>
      </c>
      <c r="D111" s="213" t="s">
        <v>437</v>
      </c>
      <c r="E111" s="217"/>
      <c r="F111" s="215"/>
      <c r="G111" s="215" t="s">
        <v>68</v>
      </c>
      <c r="H111" s="215"/>
      <c r="I111" s="215" t="s">
        <v>68</v>
      </c>
      <c r="J111" s="215"/>
      <c r="K111" s="215" t="s">
        <v>68</v>
      </c>
      <c r="L111" s="215"/>
      <c r="M111" s="215" t="s">
        <v>68</v>
      </c>
      <c r="N111" s="245"/>
      <c r="O111" s="215" t="s">
        <v>68</v>
      </c>
      <c r="P111" s="214" t="s">
        <v>68</v>
      </c>
      <c r="Q111" s="214" t="s">
        <v>68</v>
      </c>
    </row>
    <row r="112" spans="1:17" ht="24" customHeight="1">
      <c r="A112" s="218" t="s">
        <v>2416</v>
      </c>
      <c r="B112" s="218" t="s">
        <v>2414</v>
      </c>
      <c r="C112" s="214" t="s">
        <v>2415</v>
      </c>
      <c r="D112" s="213" t="s">
        <v>437</v>
      </c>
      <c r="E112" s="217"/>
      <c r="F112" s="215"/>
      <c r="G112" s="215" t="s">
        <v>68</v>
      </c>
      <c r="H112" s="215"/>
      <c r="I112" s="215" t="s">
        <v>68</v>
      </c>
      <c r="J112" s="215"/>
      <c r="K112" s="215" t="s">
        <v>68</v>
      </c>
      <c r="L112" s="215"/>
      <c r="M112" s="215" t="s">
        <v>68</v>
      </c>
      <c r="N112" s="245"/>
      <c r="O112" s="215" t="s">
        <v>68</v>
      </c>
      <c r="P112" s="214" t="s">
        <v>68</v>
      </c>
      <c r="Q112" s="214" t="s">
        <v>68</v>
      </c>
    </row>
    <row r="113" spans="1:17" ht="24" customHeight="1">
      <c r="A113" s="218" t="s">
        <v>2399</v>
      </c>
      <c r="B113" s="218" t="s">
        <v>2390</v>
      </c>
      <c r="C113" s="214" t="s">
        <v>2398</v>
      </c>
      <c r="D113" s="213" t="s">
        <v>437</v>
      </c>
      <c r="E113" s="217"/>
      <c r="F113" s="215"/>
      <c r="G113" s="215" t="s">
        <v>68</v>
      </c>
      <c r="H113" s="215"/>
      <c r="I113" s="215" t="s">
        <v>68</v>
      </c>
      <c r="J113" s="215"/>
      <c r="K113" s="215" t="s">
        <v>68</v>
      </c>
      <c r="L113" s="215"/>
      <c r="M113" s="215" t="s">
        <v>68</v>
      </c>
      <c r="N113" s="245"/>
      <c r="O113" s="215" t="s">
        <v>68</v>
      </c>
      <c r="P113" s="214" t="s">
        <v>68</v>
      </c>
      <c r="Q113" s="214" t="s">
        <v>68</v>
      </c>
    </row>
    <row r="114" spans="1:17" ht="24" customHeight="1">
      <c r="A114" s="218" t="s">
        <v>2481</v>
      </c>
      <c r="B114" s="218" t="s">
        <v>2390</v>
      </c>
      <c r="C114" s="214" t="s">
        <v>2480</v>
      </c>
      <c r="D114" s="213" t="s">
        <v>437</v>
      </c>
      <c r="E114" s="217"/>
      <c r="F114" s="215"/>
      <c r="G114" s="215" t="s">
        <v>68</v>
      </c>
      <c r="H114" s="215"/>
      <c r="I114" s="215" t="s">
        <v>68</v>
      </c>
      <c r="J114" s="215"/>
      <c r="K114" s="215" t="s">
        <v>68</v>
      </c>
      <c r="L114" s="215"/>
      <c r="M114" s="215" t="s">
        <v>68</v>
      </c>
      <c r="N114" s="245"/>
      <c r="O114" s="215" t="s">
        <v>68</v>
      </c>
      <c r="P114" s="214" t="s">
        <v>68</v>
      </c>
      <c r="Q114" s="214" t="s">
        <v>68</v>
      </c>
    </row>
    <row r="115" spans="1:17" ht="24" customHeight="1">
      <c r="A115" s="218" t="s">
        <v>2404</v>
      </c>
      <c r="B115" s="218" t="s">
        <v>2402</v>
      </c>
      <c r="C115" s="214" t="s">
        <v>2403</v>
      </c>
      <c r="D115" s="213" t="s">
        <v>437</v>
      </c>
      <c r="E115" s="217"/>
      <c r="F115" s="215"/>
      <c r="G115" s="215" t="s">
        <v>68</v>
      </c>
      <c r="H115" s="215"/>
      <c r="I115" s="215" t="s">
        <v>68</v>
      </c>
      <c r="J115" s="215"/>
      <c r="K115" s="215" t="s">
        <v>68</v>
      </c>
      <c r="L115" s="215"/>
      <c r="M115" s="215" t="s">
        <v>68</v>
      </c>
      <c r="N115" s="245"/>
      <c r="O115" s="215" t="s">
        <v>68</v>
      </c>
      <c r="P115" s="214" t="s">
        <v>68</v>
      </c>
      <c r="Q115" s="214" t="s">
        <v>68</v>
      </c>
    </row>
    <row r="116" spans="1:17" ht="24" customHeight="1">
      <c r="A116" s="218" t="s">
        <v>2364</v>
      </c>
      <c r="B116" s="218" t="s">
        <v>2359</v>
      </c>
      <c r="C116" s="214" t="s">
        <v>2363</v>
      </c>
      <c r="D116" s="213" t="s">
        <v>437</v>
      </c>
      <c r="E116" s="217"/>
      <c r="F116" s="215"/>
      <c r="G116" s="215" t="s">
        <v>68</v>
      </c>
      <c r="H116" s="215"/>
      <c r="I116" s="215" t="s">
        <v>68</v>
      </c>
      <c r="J116" s="215"/>
      <c r="K116" s="215" t="s">
        <v>68</v>
      </c>
      <c r="L116" s="215"/>
      <c r="M116" s="215" t="s">
        <v>68</v>
      </c>
      <c r="N116" s="245"/>
      <c r="O116" s="215" t="s">
        <v>68</v>
      </c>
      <c r="P116" s="214" t="s">
        <v>68</v>
      </c>
      <c r="Q116" s="214" t="s">
        <v>68</v>
      </c>
    </row>
    <row r="117" spans="1:17" ht="24" customHeight="1">
      <c r="A117" s="218" t="s">
        <v>2361</v>
      </c>
      <c r="B117" s="218" t="s">
        <v>2359</v>
      </c>
      <c r="C117" s="214" t="s">
        <v>2360</v>
      </c>
      <c r="D117" s="213" t="s">
        <v>437</v>
      </c>
      <c r="E117" s="217"/>
      <c r="F117" s="215"/>
      <c r="G117" s="215" t="s">
        <v>68</v>
      </c>
      <c r="H117" s="215"/>
      <c r="I117" s="215" t="s">
        <v>68</v>
      </c>
      <c r="J117" s="215"/>
      <c r="K117" s="215" t="s">
        <v>68</v>
      </c>
      <c r="L117" s="215"/>
      <c r="M117" s="215" t="s">
        <v>68</v>
      </c>
      <c r="N117" s="245"/>
      <c r="O117" s="215" t="s">
        <v>68</v>
      </c>
      <c r="P117" s="214" t="s">
        <v>68</v>
      </c>
      <c r="Q117" s="214" t="s">
        <v>68</v>
      </c>
    </row>
    <row r="118" spans="1:17" ht="24" customHeight="1">
      <c r="A118" s="218" t="s">
        <v>2098</v>
      </c>
      <c r="B118" s="218" t="s">
        <v>2096</v>
      </c>
      <c r="C118" s="214" t="s">
        <v>2097</v>
      </c>
      <c r="D118" s="213" t="s">
        <v>437</v>
      </c>
      <c r="E118" s="217"/>
      <c r="F118" s="215"/>
      <c r="G118" s="215" t="s">
        <v>68</v>
      </c>
      <c r="H118" s="215"/>
      <c r="I118" s="215" t="s">
        <v>68</v>
      </c>
      <c r="J118" s="215"/>
      <c r="K118" s="215" t="s">
        <v>68</v>
      </c>
      <c r="L118" s="215"/>
      <c r="M118" s="215" t="s">
        <v>68</v>
      </c>
      <c r="N118" s="245"/>
      <c r="O118" s="215" t="s">
        <v>68</v>
      </c>
      <c r="P118" s="214" t="s">
        <v>68</v>
      </c>
      <c r="Q118" s="214" t="s">
        <v>68</v>
      </c>
    </row>
    <row r="119" spans="1:17" ht="24" customHeight="1">
      <c r="A119" s="218" t="s">
        <v>2255</v>
      </c>
      <c r="B119" s="218" t="s">
        <v>2253</v>
      </c>
      <c r="C119" s="214" t="s">
        <v>2254</v>
      </c>
      <c r="D119" s="213" t="s">
        <v>437</v>
      </c>
      <c r="E119" s="217"/>
      <c r="F119" s="215"/>
      <c r="G119" s="215" t="s">
        <v>68</v>
      </c>
      <c r="H119" s="215"/>
      <c r="I119" s="215" t="s">
        <v>68</v>
      </c>
      <c r="J119" s="215"/>
      <c r="K119" s="215" t="s">
        <v>68</v>
      </c>
      <c r="L119" s="215"/>
      <c r="M119" s="215" t="s">
        <v>68</v>
      </c>
      <c r="N119" s="245"/>
      <c r="O119" s="215" t="s">
        <v>68</v>
      </c>
      <c r="P119" s="214" t="s">
        <v>68</v>
      </c>
      <c r="Q119" s="214" t="s">
        <v>68</v>
      </c>
    </row>
    <row r="120" spans="1:17" ht="24" customHeight="1">
      <c r="A120" s="218" t="s">
        <v>2408</v>
      </c>
      <c r="B120" s="218" t="s">
        <v>2406</v>
      </c>
      <c r="C120" s="214" t="s">
        <v>2407</v>
      </c>
      <c r="D120" s="213" t="s">
        <v>437</v>
      </c>
      <c r="E120" s="217"/>
      <c r="F120" s="215"/>
      <c r="G120" s="215" t="s">
        <v>68</v>
      </c>
      <c r="H120" s="215"/>
      <c r="I120" s="215" t="s">
        <v>68</v>
      </c>
      <c r="J120" s="215"/>
      <c r="K120" s="215" t="s">
        <v>68</v>
      </c>
      <c r="L120" s="215"/>
      <c r="M120" s="215" t="s">
        <v>68</v>
      </c>
      <c r="N120" s="245"/>
      <c r="O120" s="215" t="s">
        <v>68</v>
      </c>
      <c r="P120" s="214" t="s">
        <v>68</v>
      </c>
      <c r="Q120" s="214" t="s">
        <v>68</v>
      </c>
    </row>
    <row r="121" spans="1:17" ht="24" customHeight="1">
      <c r="A121" s="218" t="s">
        <v>2103</v>
      </c>
      <c r="B121" s="218" t="s">
        <v>2102</v>
      </c>
      <c r="C121" s="214" t="s">
        <v>1223</v>
      </c>
      <c r="D121" s="213" t="s">
        <v>437</v>
      </c>
      <c r="E121" s="217"/>
      <c r="F121" s="215"/>
      <c r="G121" s="215" t="s">
        <v>68</v>
      </c>
      <c r="H121" s="215"/>
      <c r="I121" s="215" t="s">
        <v>68</v>
      </c>
      <c r="J121" s="215"/>
      <c r="K121" s="215" t="s">
        <v>68</v>
      </c>
      <c r="L121" s="215"/>
      <c r="M121" s="215" t="s">
        <v>68</v>
      </c>
      <c r="N121" s="228"/>
      <c r="O121" s="215" t="s">
        <v>68</v>
      </c>
      <c r="P121" s="214" t="s">
        <v>2719</v>
      </c>
      <c r="Q121" s="214" t="s">
        <v>2739</v>
      </c>
    </row>
    <row r="122" spans="1:17" ht="24" customHeight="1">
      <c r="A122" s="218" t="s">
        <v>1472</v>
      </c>
      <c r="B122" s="218" t="s">
        <v>1469</v>
      </c>
      <c r="C122" s="214" t="s">
        <v>1470</v>
      </c>
      <c r="D122" s="213" t="s">
        <v>1471</v>
      </c>
      <c r="E122" s="217"/>
      <c r="F122" s="215"/>
      <c r="G122" s="215" t="s">
        <v>68</v>
      </c>
      <c r="H122" s="215"/>
      <c r="I122" s="215" t="s">
        <v>68</v>
      </c>
      <c r="J122" s="215"/>
      <c r="K122" s="215" t="s">
        <v>68</v>
      </c>
      <c r="L122" s="215"/>
      <c r="M122" s="215" t="s">
        <v>68</v>
      </c>
      <c r="N122" s="228"/>
      <c r="O122" s="215" t="s">
        <v>68</v>
      </c>
      <c r="P122" s="214" t="s">
        <v>2719</v>
      </c>
      <c r="Q122" s="214" t="s">
        <v>2740</v>
      </c>
    </row>
    <row r="123" spans="1:17" ht="24" customHeight="1">
      <c r="A123" s="218" t="s">
        <v>1581</v>
      </c>
      <c r="B123" s="218" t="s">
        <v>1580</v>
      </c>
      <c r="C123" s="214" t="s">
        <v>790</v>
      </c>
      <c r="D123" s="213" t="s">
        <v>437</v>
      </c>
      <c r="E123" s="217"/>
      <c r="F123" s="215"/>
      <c r="G123" s="215" t="s">
        <v>68</v>
      </c>
      <c r="H123" s="215"/>
      <c r="I123" s="215" t="s">
        <v>68</v>
      </c>
      <c r="J123" s="215"/>
      <c r="K123" s="215" t="s">
        <v>68</v>
      </c>
      <c r="L123" s="215"/>
      <c r="M123" s="215" t="s">
        <v>68</v>
      </c>
      <c r="N123" s="245"/>
      <c r="O123" s="215" t="s">
        <v>68</v>
      </c>
      <c r="P123" s="214" t="s">
        <v>68</v>
      </c>
      <c r="Q123" s="214" t="s">
        <v>68</v>
      </c>
    </row>
    <row r="124" spans="1:17" ht="24" customHeight="1">
      <c r="A124" s="218" t="s">
        <v>1582</v>
      </c>
      <c r="B124" s="218" t="s">
        <v>1580</v>
      </c>
      <c r="C124" s="214" t="s">
        <v>791</v>
      </c>
      <c r="D124" s="213" t="s">
        <v>437</v>
      </c>
      <c r="E124" s="217"/>
      <c r="F124" s="215"/>
      <c r="G124" s="215" t="s">
        <v>68</v>
      </c>
      <c r="H124" s="215"/>
      <c r="I124" s="215" t="s">
        <v>68</v>
      </c>
      <c r="J124" s="215"/>
      <c r="K124" s="215" t="s">
        <v>68</v>
      </c>
      <c r="L124" s="215"/>
      <c r="M124" s="215" t="s">
        <v>68</v>
      </c>
      <c r="N124" s="245"/>
      <c r="O124" s="215" t="s">
        <v>68</v>
      </c>
      <c r="P124" s="214" t="s">
        <v>68</v>
      </c>
      <c r="Q124" s="214" t="s">
        <v>68</v>
      </c>
    </row>
    <row r="125" spans="1:17" ht="24" customHeight="1">
      <c r="A125" s="218" t="s">
        <v>1583</v>
      </c>
      <c r="B125" s="218" t="s">
        <v>1580</v>
      </c>
      <c r="C125" s="214" t="s">
        <v>792</v>
      </c>
      <c r="D125" s="213" t="s">
        <v>437</v>
      </c>
      <c r="E125" s="217"/>
      <c r="F125" s="215"/>
      <c r="G125" s="215" t="s">
        <v>68</v>
      </c>
      <c r="H125" s="215"/>
      <c r="I125" s="215" t="s">
        <v>68</v>
      </c>
      <c r="J125" s="215"/>
      <c r="K125" s="215" t="s">
        <v>68</v>
      </c>
      <c r="L125" s="215"/>
      <c r="M125" s="215" t="s">
        <v>68</v>
      </c>
      <c r="N125" s="245"/>
      <c r="O125" s="215" t="s">
        <v>68</v>
      </c>
      <c r="P125" s="214" t="s">
        <v>68</v>
      </c>
      <c r="Q125" s="214" t="s">
        <v>68</v>
      </c>
    </row>
    <row r="126" spans="1:17" ht="24" customHeight="1">
      <c r="A126" s="218" t="s">
        <v>1584</v>
      </c>
      <c r="B126" s="218" t="s">
        <v>1580</v>
      </c>
      <c r="C126" s="214" t="s">
        <v>793</v>
      </c>
      <c r="D126" s="213" t="s">
        <v>437</v>
      </c>
      <c r="E126" s="217"/>
      <c r="F126" s="215"/>
      <c r="G126" s="215" t="s">
        <v>68</v>
      </c>
      <c r="H126" s="215"/>
      <c r="I126" s="215" t="s">
        <v>68</v>
      </c>
      <c r="J126" s="215"/>
      <c r="K126" s="215" t="s">
        <v>68</v>
      </c>
      <c r="L126" s="215"/>
      <c r="M126" s="215" t="s">
        <v>68</v>
      </c>
      <c r="N126" s="245"/>
      <c r="O126" s="215" t="s">
        <v>68</v>
      </c>
      <c r="P126" s="214" t="s">
        <v>68</v>
      </c>
      <c r="Q126" s="214" t="s">
        <v>68</v>
      </c>
    </row>
    <row r="127" spans="1:17" ht="24" customHeight="1">
      <c r="A127" s="218" t="s">
        <v>1586</v>
      </c>
      <c r="B127" s="218" t="s">
        <v>1585</v>
      </c>
      <c r="C127" s="214" t="s">
        <v>794</v>
      </c>
      <c r="D127" s="213" t="s">
        <v>437</v>
      </c>
      <c r="E127" s="217"/>
      <c r="F127" s="215"/>
      <c r="G127" s="215" t="s">
        <v>68</v>
      </c>
      <c r="H127" s="215"/>
      <c r="I127" s="215" t="s">
        <v>68</v>
      </c>
      <c r="J127" s="215"/>
      <c r="K127" s="215" t="s">
        <v>68</v>
      </c>
      <c r="L127" s="215"/>
      <c r="M127" s="215" t="s">
        <v>68</v>
      </c>
      <c r="N127" s="245"/>
      <c r="O127" s="215" t="s">
        <v>68</v>
      </c>
      <c r="P127" s="214" t="s">
        <v>68</v>
      </c>
      <c r="Q127" s="214" t="s">
        <v>68</v>
      </c>
    </row>
    <row r="128" spans="1:17" ht="24" customHeight="1">
      <c r="A128" s="218" t="s">
        <v>1588</v>
      </c>
      <c r="B128" s="218" t="s">
        <v>1587</v>
      </c>
      <c r="C128" s="214" t="s">
        <v>795</v>
      </c>
      <c r="D128" s="213" t="s">
        <v>437</v>
      </c>
      <c r="E128" s="217"/>
      <c r="F128" s="215"/>
      <c r="G128" s="215" t="s">
        <v>68</v>
      </c>
      <c r="H128" s="215"/>
      <c r="I128" s="215" t="s">
        <v>68</v>
      </c>
      <c r="J128" s="215"/>
      <c r="K128" s="215" t="s">
        <v>68</v>
      </c>
      <c r="L128" s="215"/>
      <c r="M128" s="215" t="s">
        <v>68</v>
      </c>
      <c r="N128" s="245"/>
      <c r="O128" s="215" t="s">
        <v>68</v>
      </c>
      <c r="P128" s="214" t="s">
        <v>68</v>
      </c>
      <c r="Q128" s="214" t="s">
        <v>68</v>
      </c>
    </row>
    <row r="129" spans="1:17" ht="24" customHeight="1">
      <c r="A129" s="218" t="s">
        <v>1590</v>
      </c>
      <c r="B129" s="218" t="s">
        <v>802</v>
      </c>
      <c r="C129" s="214" t="s">
        <v>1589</v>
      </c>
      <c r="D129" s="213" t="s">
        <v>437</v>
      </c>
      <c r="E129" s="217"/>
      <c r="F129" s="215"/>
      <c r="G129" s="215" t="s">
        <v>68</v>
      </c>
      <c r="H129" s="215"/>
      <c r="I129" s="215" t="s">
        <v>68</v>
      </c>
      <c r="J129" s="215"/>
      <c r="K129" s="215" t="s">
        <v>68</v>
      </c>
      <c r="L129" s="215"/>
      <c r="M129" s="215" t="s">
        <v>68</v>
      </c>
      <c r="N129" s="245"/>
      <c r="O129" s="215" t="s">
        <v>68</v>
      </c>
      <c r="P129" s="214" t="s">
        <v>68</v>
      </c>
      <c r="Q129" s="214" t="s">
        <v>68</v>
      </c>
    </row>
    <row r="130" spans="1:17" ht="24" customHeight="1">
      <c r="A130" s="218" t="s">
        <v>1592</v>
      </c>
      <c r="B130" s="218" t="s">
        <v>803</v>
      </c>
      <c r="C130" s="214" t="s">
        <v>1591</v>
      </c>
      <c r="D130" s="213" t="s">
        <v>437</v>
      </c>
      <c r="E130" s="217"/>
      <c r="F130" s="215"/>
      <c r="G130" s="215" t="s">
        <v>68</v>
      </c>
      <c r="H130" s="215"/>
      <c r="I130" s="215" t="s">
        <v>68</v>
      </c>
      <c r="J130" s="215"/>
      <c r="K130" s="215" t="s">
        <v>68</v>
      </c>
      <c r="L130" s="215"/>
      <c r="M130" s="215" t="s">
        <v>68</v>
      </c>
      <c r="N130" s="245"/>
      <c r="O130" s="215" t="s">
        <v>68</v>
      </c>
      <c r="P130" s="214" t="s">
        <v>68</v>
      </c>
      <c r="Q130" s="214" t="s">
        <v>68</v>
      </c>
    </row>
    <row r="131" spans="1:17" ht="24" customHeight="1">
      <c r="A131" s="218" t="s">
        <v>1594</v>
      </c>
      <c r="B131" s="218" t="s">
        <v>804</v>
      </c>
      <c r="C131" s="214" t="s">
        <v>1593</v>
      </c>
      <c r="D131" s="213" t="s">
        <v>437</v>
      </c>
      <c r="E131" s="217"/>
      <c r="F131" s="215"/>
      <c r="G131" s="215" t="s">
        <v>68</v>
      </c>
      <c r="H131" s="215"/>
      <c r="I131" s="215" t="s">
        <v>68</v>
      </c>
      <c r="J131" s="215"/>
      <c r="K131" s="215" t="s">
        <v>68</v>
      </c>
      <c r="L131" s="215"/>
      <c r="M131" s="215" t="s">
        <v>68</v>
      </c>
      <c r="N131" s="245"/>
      <c r="O131" s="215" t="s">
        <v>68</v>
      </c>
      <c r="P131" s="214" t="s">
        <v>68</v>
      </c>
      <c r="Q131" s="214" t="s">
        <v>68</v>
      </c>
    </row>
    <row r="132" spans="1:17" ht="24" customHeight="1">
      <c r="A132" s="218" t="s">
        <v>1596</v>
      </c>
      <c r="B132" s="218" t="s">
        <v>805</v>
      </c>
      <c r="C132" s="214" t="s">
        <v>1595</v>
      </c>
      <c r="D132" s="213" t="s">
        <v>437</v>
      </c>
      <c r="E132" s="217"/>
      <c r="F132" s="215"/>
      <c r="G132" s="215" t="s">
        <v>68</v>
      </c>
      <c r="H132" s="215"/>
      <c r="I132" s="215" t="s">
        <v>68</v>
      </c>
      <c r="J132" s="215"/>
      <c r="K132" s="215" t="s">
        <v>68</v>
      </c>
      <c r="L132" s="215"/>
      <c r="M132" s="215" t="s">
        <v>68</v>
      </c>
      <c r="N132" s="245"/>
      <c r="O132" s="215" t="s">
        <v>68</v>
      </c>
      <c r="P132" s="214" t="s">
        <v>68</v>
      </c>
      <c r="Q132" s="214" t="s">
        <v>68</v>
      </c>
    </row>
    <row r="133" spans="1:17" ht="24" customHeight="1">
      <c r="A133" s="218" t="s">
        <v>1598</v>
      </c>
      <c r="B133" s="218" t="s">
        <v>806</v>
      </c>
      <c r="C133" s="214" t="s">
        <v>1597</v>
      </c>
      <c r="D133" s="213" t="s">
        <v>437</v>
      </c>
      <c r="E133" s="217"/>
      <c r="F133" s="215"/>
      <c r="G133" s="215" t="s">
        <v>68</v>
      </c>
      <c r="H133" s="215"/>
      <c r="I133" s="215" t="s">
        <v>68</v>
      </c>
      <c r="J133" s="215"/>
      <c r="K133" s="215" t="s">
        <v>68</v>
      </c>
      <c r="L133" s="215"/>
      <c r="M133" s="215" t="s">
        <v>68</v>
      </c>
      <c r="N133" s="245"/>
      <c r="O133" s="215" t="s">
        <v>68</v>
      </c>
      <c r="P133" s="214" t="s">
        <v>68</v>
      </c>
      <c r="Q133" s="214" t="s">
        <v>68</v>
      </c>
    </row>
    <row r="134" spans="1:17" ht="24" customHeight="1">
      <c r="A134" s="218" t="s">
        <v>1600</v>
      </c>
      <c r="B134" s="218" t="s">
        <v>807</v>
      </c>
      <c r="C134" s="214" t="s">
        <v>1599</v>
      </c>
      <c r="D134" s="213" t="s">
        <v>437</v>
      </c>
      <c r="E134" s="217"/>
      <c r="F134" s="215"/>
      <c r="G134" s="215" t="s">
        <v>68</v>
      </c>
      <c r="H134" s="215"/>
      <c r="I134" s="215" t="s">
        <v>68</v>
      </c>
      <c r="J134" s="215"/>
      <c r="K134" s="215" t="s">
        <v>68</v>
      </c>
      <c r="L134" s="215"/>
      <c r="M134" s="215" t="s">
        <v>68</v>
      </c>
      <c r="N134" s="245"/>
      <c r="O134" s="215" t="s">
        <v>68</v>
      </c>
      <c r="P134" s="214" t="s">
        <v>68</v>
      </c>
      <c r="Q134" s="214" t="s">
        <v>68</v>
      </c>
    </row>
    <row r="135" spans="1:17" ht="24" customHeight="1">
      <c r="A135" s="218" t="s">
        <v>1602</v>
      </c>
      <c r="B135" s="218" t="s">
        <v>808</v>
      </c>
      <c r="C135" s="214" t="s">
        <v>1601</v>
      </c>
      <c r="D135" s="213" t="s">
        <v>437</v>
      </c>
      <c r="E135" s="217"/>
      <c r="F135" s="215"/>
      <c r="G135" s="215" t="s">
        <v>68</v>
      </c>
      <c r="H135" s="215"/>
      <c r="I135" s="215" t="s">
        <v>68</v>
      </c>
      <c r="J135" s="215"/>
      <c r="K135" s="215" t="s">
        <v>68</v>
      </c>
      <c r="L135" s="215"/>
      <c r="M135" s="215" t="s">
        <v>68</v>
      </c>
      <c r="N135" s="245"/>
      <c r="O135" s="215" t="s">
        <v>68</v>
      </c>
      <c r="P135" s="214" t="s">
        <v>68</v>
      </c>
      <c r="Q135" s="214" t="s">
        <v>68</v>
      </c>
    </row>
    <row r="136" spans="1:17" ht="24" customHeight="1">
      <c r="A136" s="218" t="s">
        <v>1604</v>
      </c>
      <c r="B136" s="218" t="s">
        <v>809</v>
      </c>
      <c r="C136" s="214" t="s">
        <v>1603</v>
      </c>
      <c r="D136" s="213" t="s">
        <v>437</v>
      </c>
      <c r="E136" s="217"/>
      <c r="F136" s="215"/>
      <c r="G136" s="215" t="s">
        <v>68</v>
      </c>
      <c r="H136" s="215"/>
      <c r="I136" s="215" t="s">
        <v>68</v>
      </c>
      <c r="J136" s="215"/>
      <c r="K136" s="215" t="s">
        <v>68</v>
      </c>
      <c r="L136" s="215"/>
      <c r="M136" s="215" t="s">
        <v>68</v>
      </c>
      <c r="N136" s="245"/>
      <c r="O136" s="215" t="s">
        <v>68</v>
      </c>
      <c r="P136" s="214" t="s">
        <v>68</v>
      </c>
      <c r="Q136" s="214" t="s">
        <v>68</v>
      </c>
    </row>
    <row r="137" spans="1:17" ht="24" customHeight="1">
      <c r="A137" s="218" t="s">
        <v>1606</v>
      </c>
      <c r="B137" s="218" t="s">
        <v>810</v>
      </c>
      <c r="C137" s="214" t="s">
        <v>1605</v>
      </c>
      <c r="D137" s="213" t="s">
        <v>437</v>
      </c>
      <c r="E137" s="217"/>
      <c r="F137" s="215"/>
      <c r="G137" s="215" t="s">
        <v>68</v>
      </c>
      <c r="H137" s="215"/>
      <c r="I137" s="215" t="s">
        <v>68</v>
      </c>
      <c r="J137" s="215"/>
      <c r="K137" s="215" t="s">
        <v>68</v>
      </c>
      <c r="L137" s="215"/>
      <c r="M137" s="215" t="s">
        <v>68</v>
      </c>
      <c r="N137" s="245"/>
      <c r="O137" s="215" t="s">
        <v>68</v>
      </c>
      <c r="P137" s="214" t="s">
        <v>68</v>
      </c>
      <c r="Q137" s="214" t="s">
        <v>68</v>
      </c>
    </row>
    <row r="138" spans="1:17" ht="24" customHeight="1">
      <c r="A138" s="218" t="s">
        <v>1608</v>
      </c>
      <c r="B138" s="218" t="s">
        <v>811</v>
      </c>
      <c r="C138" s="214" t="s">
        <v>1607</v>
      </c>
      <c r="D138" s="213" t="s">
        <v>437</v>
      </c>
      <c r="E138" s="217"/>
      <c r="F138" s="215"/>
      <c r="G138" s="215" t="s">
        <v>68</v>
      </c>
      <c r="H138" s="215"/>
      <c r="I138" s="215" t="s">
        <v>68</v>
      </c>
      <c r="J138" s="215"/>
      <c r="K138" s="215" t="s">
        <v>68</v>
      </c>
      <c r="L138" s="215"/>
      <c r="M138" s="215" t="s">
        <v>68</v>
      </c>
      <c r="N138" s="245"/>
      <c r="O138" s="215" t="s">
        <v>68</v>
      </c>
      <c r="P138" s="214" t="s">
        <v>68</v>
      </c>
      <c r="Q138" s="214" t="s">
        <v>68</v>
      </c>
    </row>
    <row r="139" spans="1:17" ht="24" customHeight="1">
      <c r="A139" s="218" t="s">
        <v>1610</v>
      </c>
      <c r="B139" s="218" t="s">
        <v>812</v>
      </c>
      <c r="C139" s="214" t="s">
        <v>1609</v>
      </c>
      <c r="D139" s="213" t="s">
        <v>437</v>
      </c>
      <c r="E139" s="217"/>
      <c r="F139" s="215"/>
      <c r="G139" s="215" t="s">
        <v>68</v>
      </c>
      <c r="H139" s="215"/>
      <c r="I139" s="215" t="s">
        <v>68</v>
      </c>
      <c r="J139" s="215"/>
      <c r="K139" s="215" t="s">
        <v>68</v>
      </c>
      <c r="L139" s="215"/>
      <c r="M139" s="215" t="s">
        <v>68</v>
      </c>
      <c r="N139" s="245"/>
      <c r="O139" s="215" t="s">
        <v>68</v>
      </c>
      <c r="P139" s="214" t="s">
        <v>68</v>
      </c>
      <c r="Q139" s="214" t="s">
        <v>68</v>
      </c>
    </row>
    <row r="140" spans="1:17" ht="24" customHeight="1">
      <c r="A140" s="218" t="s">
        <v>1612</v>
      </c>
      <c r="B140" s="218" t="s">
        <v>813</v>
      </c>
      <c r="C140" s="214" t="s">
        <v>1611</v>
      </c>
      <c r="D140" s="213" t="s">
        <v>437</v>
      </c>
      <c r="E140" s="217"/>
      <c r="F140" s="215"/>
      <c r="G140" s="215" t="s">
        <v>68</v>
      </c>
      <c r="H140" s="215"/>
      <c r="I140" s="215" t="s">
        <v>68</v>
      </c>
      <c r="J140" s="215"/>
      <c r="K140" s="215" t="s">
        <v>68</v>
      </c>
      <c r="L140" s="215"/>
      <c r="M140" s="215" t="s">
        <v>68</v>
      </c>
      <c r="N140" s="245"/>
      <c r="O140" s="215" t="s">
        <v>68</v>
      </c>
      <c r="P140" s="214" t="s">
        <v>68</v>
      </c>
      <c r="Q140" s="214" t="s">
        <v>68</v>
      </c>
    </row>
    <row r="141" spans="1:17" ht="24" customHeight="1">
      <c r="A141" s="218" t="s">
        <v>1614</v>
      </c>
      <c r="B141" s="218" t="s">
        <v>814</v>
      </c>
      <c r="C141" s="214" t="s">
        <v>1613</v>
      </c>
      <c r="D141" s="213" t="s">
        <v>437</v>
      </c>
      <c r="E141" s="217"/>
      <c r="F141" s="215"/>
      <c r="G141" s="215" t="s">
        <v>68</v>
      </c>
      <c r="H141" s="215"/>
      <c r="I141" s="215" t="s">
        <v>68</v>
      </c>
      <c r="J141" s="215"/>
      <c r="K141" s="215" t="s">
        <v>68</v>
      </c>
      <c r="L141" s="215"/>
      <c r="M141" s="215" t="s">
        <v>68</v>
      </c>
      <c r="N141" s="245"/>
      <c r="O141" s="215" t="s">
        <v>68</v>
      </c>
      <c r="P141" s="214" t="s">
        <v>68</v>
      </c>
      <c r="Q141" s="214" t="s">
        <v>68</v>
      </c>
    </row>
    <row r="142" spans="1:17" ht="24" customHeight="1">
      <c r="A142" s="218" t="s">
        <v>1616</v>
      </c>
      <c r="B142" s="218" t="s">
        <v>815</v>
      </c>
      <c r="C142" s="214" t="s">
        <v>1615</v>
      </c>
      <c r="D142" s="213" t="s">
        <v>437</v>
      </c>
      <c r="E142" s="217"/>
      <c r="F142" s="215"/>
      <c r="G142" s="215" t="s">
        <v>68</v>
      </c>
      <c r="H142" s="215"/>
      <c r="I142" s="215" t="s">
        <v>68</v>
      </c>
      <c r="J142" s="215"/>
      <c r="K142" s="215" t="s">
        <v>68</v>
      </c>
      <c r="L142" s="215"/>
      <c r="M142" s="215" t="s">
        <v>68</v>
      </c>
      <c r="N142" s="245"/>
      <c r="O142" s="215" t="s">
        <v>68</v>
      </c>
      <c r="P142" s="214" t="s">
        <v>68</v>
      </c>
      <c r="Q142" s="214" t="s">
        <v>68</v>
      </c>
    </row>
    <row r="143" spans="1:17" ht="24" customHeight="1">
      <c r="A143" s="218" t="s">
        <v>1618</v>
      </c>
      <c r="B143" s="218" t="s">
        <v>816</v>
      </c>
      <c r="C143" s="214" t="s">
        <v>1617</v>
      </c>
      <c r="D143" s="213" t="s">
        <v>437</v>
      </c>
      <c r="E143" s="217"/>
      <c r="F143" s="215"/>
      <c r="G143" s="215" t="s">
        <v>68</v>
      </c>
      <c r="H143" s="215"/>
      <c r="I143" s="215" t="s">
        <v>68</v>
      </c>
      <c r="J143" s="215"/>
      <c r="K143" s="215" t="s">
        <v>68</v>
      </c>
      <c r="L143" s="215"/>
      <c r="M143" s="215" t="s">
        <v>68</v>
      </c>
      <c r="N143" s="245"/>
      <c r="O143" s="215" t="s">
        <v>68</v>
      </c>
      <c r="P143" s="214" t="s">
        <v>68</v>
      </c>
      <c r="Q143" s="214" t="s">
        <v>68</v>
      </c>
    </row>
    <row r="144" spans="1:17" ht="24" customHeight="1">
      <c r="A144" s="218" t="s">
        <v>1480</v>
      </c>
      <c r="B144" s="218" t="s">
        <v>1478</v>
      </c>
      <c r="C144" s="214" t="s">
        <v>1479</v>
      </c>
      <c r="D144" s="213" t="s">
        <v>437</v>
      </c>
      <c r="E144" s="217"/>
      <c r="F144" s="215"/>
      <c r="G144" s="215" t="s">
        <v>68</v>
      </c>
      <c r="H144" s="215"/>
      <c r="I144" s="215" t="s">
        <v>68</v>
      </c>
      <c r="J144" s="215"/>
      <c r="K144" s="215" t="s">
        <v>68</v>
      </c>
      <c r="L144" s="215"/>
      <c r="M144" s="215" t="s">
        <v>68</v>
      </c>
      <c r="N144" s="228"/>
      <c r="O144" s="215" t="s">
        <v>68</v>
      </c>
      <c r="P144" s="214" t="s">
        <v>2719</v>
      </c>
      <c r="Q144" s="214" t="s">
        <v>2741</v>
      </c>
    </row>
    <row r="145" spans="1:17" ht="24" customHeight="1">
      <c r="A145" s="218" t="s">
        <v>1483</v>
      </c>
      <c r="B145" s="218" t="s">
        <v>1481</v>
      </c>
      <c r="C145" s="214" t="s">
        <v>1482</v>
      </c>
      <c r="D145" s="213" t="s">
        <v>437</v>
      </c>
      <c r="E145" s="217"/>
      <c r="F145" s="215"/>
      <c r="G145" s="215" t="s">
        <v>68</v>
      </c>
      <c r="H145" s="215"/>
      <c r="I145" s="215" t="s">
        <v>68</v>
      </c>
      <c r="J145" s="215"/>
      <c r="K145" s="215" t="s">
        <v>68</v>
      </c>
      <c r="L145" s="215"/>
      <c r="M145" s="215" t="s">
        <v>68</v>
      </c>
      <c r="N145" s="228"/>
      <c r="O145" s="215" t="s">
        <v>68</v>
      </c>
      <c r="P145" s="214" t="s">
        <v>2719</v>
      </c>
      <c r="Q145" s="214" t="s">
        <v>2742</v>
      </c>
    </row>
    <row r="146" spans="1:17" ht="24" customHeight="1">
      <c r="A146" s="218" t="s">
        <v>1486</v>
      </c>
      <c r="B146" s="218" t="s">
        <v>1484</v>
      </c>
      <c r="C146" s="214" t="s">
        <v>1485</v>
      </c>
      <c r="D146" s="213" t="s">
        <v>437</v>
      </c>
      <c r="E146" s="217"/>
      <c r="F146" s="215"/>
      <c r="G146" s="215" t="s">
        <v>68</v>
      </c>
      <c r="H146" s="215"/>
      <c r="I146" s="215" t="s">
        <v>68</v>
      </c>
      <c r="J146" s="215"/>
      <c r="K146" s="215" t="s">
        <v>68</v>
      </c>
      <c r="L146" s="215"/>
      <c r="M146" s="215" t="s">
        <v>68</v>
      </c>
      <c r="N146" s="228"/>
      <c r="O146" s="215" t="s">
        <v>68</v>
      </c>
      <c r="P146" s="214" t="s">
        <v>2719</v>
      </c>
      <c r="Q146" s="214" t="s">
        <v>2743</v>
      </c>
    </row>
    <row r="147" spans="1:17" ht="24" customHeight="1">
      <c r="A147" s="218" t="s">
        <v>1489</v>
      </c>
      <c r="B147" s="218" t="s">
        <v>1487</v>
      </c>
      <c r="C147" s="214" t="s">
        <v>1488</v>
      </c>
      <c r="D147" s="213" t="s">
        <v>437</v>
      </c>
      <c r="E147" s="217"/>
      <c r="F147" s="215"/>
      <c r="G147" s="215" t="s">
        <v>68</v>
      </c>
      <c r="H147" s="215"/>
      <c r="I147" s="215" t="s">
        <v>68</v>
      </c>
      <c r="J147" s="215"/>
      <c r="K147" s="215" t="s">
        <v>68</v>
      </c>
      <c r="L147" s="215"/>
      <c r="M147" s="215" t="s">
        <v>68</v>
      </c>
      <c r="N147" s="228"/>
      <c r="O147" s="215" t="s">
        <v>68</v>
      </c>
      <c r="P147" s="214" t="s">
        <v>2719</v>
      </c>
      <c r="Q147" s="214" t="s">
        <v>2744</v>
      </c>
    </row>
    <row r="148" spans="1:17" ht="24" customHeight="1">
      <c r="A148" s="218" t="s">
        <v>1492</v>
      </c>
      <c r="B148" s="218" t="s">
        <v>1490</v>
      </c>
      <c r="C148" s="214" t="s">
        <v>1491</v>
      </c>
      <c r="D148" s="213" t="s">
        <v>437</v>
      </c>
      <c r="E148" s="217"/>
      <c r="F148" s="215"/>
      <c r="G148" s="215" t="s">
        <v>68</v>
      </c>
      <c r="H148" s="215"/>
      <c r="I148" s="215" t="s">
        <v>68</v>
      </c>
      <c r="J148" s="215"/>
      <c r="K148" s="215" t="s">
        <v>68</v>
      </c>
      <c r="L148" s="215"/>
      <c r="M148" s="215" t="s">
        <v>68</v>
      </c>
      <c r="N148" s="228"/>
      <c r="O148" s="215" t="s">
        <v>68</v>
      </c>
      <c r="P148" s="214" t="s">
        <v>2719</v>
      </c>
      <c r="Q148" s="214" t="s">
        <v>2745</v>
      </c>
    </row>
    <row r="149" spans="1:17" ht="24" customHeight="1">
      <c r="A149" s="218" t="s">
        <v>1495</v>
      </c>
      <c r="B149" s="218" t="s">
        <v>1493</v>
      </c>
      <c r="C149" s="214" t="s">
        <v>1494</v>
      </c>
      <c r="D149" s="213" t="s">
        <v>437</v>
      </c>
      <c r="E149" s="217"/>
      <c r="F149" s="215"/>
      <c r="G149" s="215" t="s">
        <v>68</v>
      </c>
      <c r="H149" s="215"/>
      <c r="I149" s="215" t="s">
        <v>68</v>
      </c>
      <c r="J149" s="215"/>
      <c r="K149" s="215" t="s">
        <v>68</v>
      </c>
      <c r="L149" s="215"/>
      <c r="M149" s="215" t="s">
        <v>68</v>
      </c>
      <c r="N149" s="228"/>
      <c r="O149" s="215" t="s">
        <v>68</v>
      </c>
      <c r="P149" s="214" t="s">
        <v>2719</v>
      </c>
      <c r="Q149" s="214" t="s">
        <v>2746</v>
      </c>
    </row>
    <row r="150" spans="1:17" ht="24" customHeight="1">
      <c r="A150" s="218" t="s">
        <v>1498</v>
      </c>
      <c r="B150" s="218" t="s">
        <v>1496</v>
      </c>
      <c r="C150" s="214" t="s">
        <v>1497</v>
      </c>
      <c r="D150" s="213" t="s">
        <v>437</v>
      </c>
      <c r="E150" s="217"/>
      <c r="F150" s="215"/>
      <c r="G150" s="215" t="s">
        <v>68</v>
      </c>
      <c r="H150" s="215"/>
      <c r="I150" s="215" t="s">
        <v>68</v>
      </c>
      <c r="J150" s="215"/>
      <c r="K150" s="215" t="s">
        <v>68</v>
      </c>
      <c r="L150" s="215"/>
      <c r="M150" s="215" t="s">
        <v>68</v>
      </c>
      <c r="N150" s="228"/>
      <c r="O150" s="215" t="s">
        <v>68</v>
      </c>
      <c r="P150" s="214" t="s">
        <v>2719</v>
      </c>
      <c r="Q150" s="214" t="s">
        <v>2747</v>
      </c>
    </row>
    <row r="151" spans="1:17" ht="24" customHeight="1">
      <c r="A151" s="218" t="s">
        <v>1501</v>
      </c>
      <c r="B151" s="218" t="s">
        <v>1499</v>
      </c>
      <c r="C151" s="214" t="s">
        <v>1500</v>
      </c>
      <c r="D151" s="213" t="s">
        <v>437</v>
      </c>
      <c r="E151" s="217"/>
      <c r="F151" s="215"/>
      <c r="G151" s="215" t="s">
        <v>68</v>
      </c>
      <c r="H151" s="215"/>
      <c r="I151" s="215" t="s">
        <v>68</v>
      </c>
      <c r="J151" s="215"/>
      <c r="K151" s="215" t="s">
        <v>68</v>
      </c>
      <c r="L151" s="215"/>
      <c r="M151" s="215" t="s">
        <v>68</v>
      </c>
      <c r="N151" s="228"/>
      <c r="O151" s="215" t="s">
        <v>68</v>
      </c>
      <c r="P151" s="214" t="s">
        <v>2719</v>
      </c>
      <c r="Q151" s="214" t="s">
        <v>2748</v>
      </c>
    </row>
    <row r="152" spans="1:17" ht="24" customHeight="1">
      <c r="A152" s="218" t="s">
        <v>1503</v>
      </c>
      <c r="B152" s="218" t="s">
        <v>900</v>
      </c>
      <c r="C152" s="214" t="s">
        <v>1502</v>
      </c>
      <c r="D152" s="213" t="s">
        <v>437</v>
      </c>
      <c r="E152" s="217"/>
      <c r="F152" s="215"/>
      <c r="G152" s="215" t="s">
        <v>68</v>
      </c>
      <c r="H152" s="215"/>
      <c r="I152" s="215" t="s">
        <v>68</v>
      </c>
      <c r="J152" s="215"/>
      <c r="K152" s="215" t="s">
        <v>68</v>
      </c>
      <c r="L152" s="215"/>
      <c r="M152" s="215" t="s">
        <v>68</v>
      </c>
      <c r="N152" s="228"/>
      <c r="O152" s="215" t="s">
        <v>68</v>
      </c>
      <c r="P152" s="214" t="s">
        <v>2719</v>
      </c>
      <c r="Q152" s="214" t="s">
        <v>2749</v>
      </c>
    </row>
    <row r="153" spans="1:17" ht="24" customHeight="1">
      <c r="A153" s="218" t="s">
        <v>1505</v>
      </c>
      <c r="B153" s="218" t="s">
        <v>901</v>
      </c>
      <c r="C153" s="214" t="s">
        <v>1504</v>
      </c>
      <c r="D153" s="213" t="s">
        <v>437</v>
      </c>
      <c r="E153" s="217"/>
      <c r="F153" s="215"/>
      <c r="G153" s="215" t="s">
        <v>68</v>
      </c>
      <c r="H153" s="215"/>
      <c r="I153" s="215" t="s">
        <v>68</v>
      </c>
      <c r="J153" s="215"/>
      <c r="K153" s="215" t="s">
        <v>68</v>
      </c>
      <c r="L153" s="215"/>
      <c r="M153" s="215" t="s">
        <v>68</v>
      </c>
      <c r="N153" s="228"/>
      <c r="O153" s="215" t="s">
        <v>68</v>
      </c>
      <c r="P153" s="214" t="s">
        <v>2719</v>
      </c>
      <c r="Q153" s="214" t="s">
        <v>2750</v>
      </c>
    </row>
    <row r="154" spans="1:17" ht="24" customHeight="1">
      <c r="A154" s="218" t="s">
        <v>1507</v>
      </c>
      <c r="B154" s="218" t="s">
        <v>902</v>
      </c>
      <c r="C154" s="214" t="s">
        <v>1506</v>
      </c>
      <c r="D154" s="213" t="s">
        <v>437</v>
      </c>
      <c r="E154" s="217"/>
      <c r="F154" s="215"/>
      <c r="G154" s="215" t="s">
        <v>68</v>
      </c>
      <c r="H154" s="215"/>
      <c r="I154" s="215" t="s">
        <v>68</v>
      </c>
      <c r="J154" s="215"/>
      <c r="K154" s="215" t="s">
        <v>68</v>
      </c>
      <c r="L154" s="215"/>
      <c r="M154" s="215" t="s">
        <v>68</v>
      </c>
      <c r="N154" s="228"/>
      <c r="O154" s="215" t="s">
        <v>68</v>
      </c>
      <c r="P154" s="214" t="s">
        <v>2719</v>
      </c>
      <c r="Q154" s="214" t="s">
        <v>2751</v>
      </c>
    </row>
    <row r="155" spans="1:17" ht="24" customHeight="1">
      <c r="A155" s="218" t="s">
        <v>1509</v>
      </c>
      <c r="B155" s="218" t="s">
        <v>903</v>
      </c>
      <c r="C155" s="214" t="s">
        <v>1508</v>
      </c>
      <c r="D155" s="213" t="s">
        <v>437</v>
      </c>
      <c r="E155" s="217"/>
      <c r="F155" s="215"/>
      <c r="G155" s="215" t="s">
        <v>68</v>
      </c>
      <c r="H155" s="215"/>
      <c r="I155" s="215" t="s">
        <v>68</v>
      </c>
      <c r="J155" s="215"/>
      <c r="K155" s="215" t="s">
        <v>68</v>
      </c>
      <c r="L155" s="215"/>
      <c r="M155" s="215" t="s">
        <v>68</v>
      </c>
      <c r="N155" s="228"/>
      <c r="O155" s="215" t="s">
        <v>68</v>
      </c>
      <c r="P155" s="214" t="s">
        <v>2719</v>
      </c>
      <c r="Q155" s="214" t="s">
        <v>2752</v>
      </c>
    </row>
    <row r="156" spans="1:17" ht="24" customHeight="1">
      <c r="A156" s="218" t="s">
        <v>1511</v>
      </c>
      <c r="B156" s="218" t="s">
        <v>904</v>
      </c>
      <c r="C156" s="214" t="s">
        <v>1510</v>
      </c>
      <c r="D156" s="213" t="s">
        <v>437</v>
      </c>
      <c r="E156" s="217"/>
      <c r="F156" s="215"/>
      <c r="G156" s="215" t="s">
        <v>68</v>
      </c>
      <c r="H156" s="215"/>
      <c r="I156" s="215" t="s">
        <v>68</v>
      </c>
      <c r="J156" s="215"/>
      <c r="K156" s="215" t="s">
        <v>68</v>
      </c>
      <c r="L156" s="215"/>
      <c r="M156" s="215" t="s">
        <v>68</v>
      </c>
      <c r="N156" s="228"/>
      <c r="O156" s="215" t="s">
        <v>68</v>
      </c>
      <c r="P156" s="214" t="s">
        <v>2719</v>
      </c>
      <c r="Q156" s="214" t="s">
        <v>2753</v>
      </c>
    </row>
    <row r="157" spans="1:17" ht="24" customHeight="1">
      <c r="A157" s="218" t="s">
        <v>1514</v>
      </c>
      <c r="B157" s="218" t="s">
        <v>1512</v>
      </c>
      <c r="C157" s="214" t="s">
        <v>1513</v>
      </c>
      <c r="D157" s="213" t="s">
        <v>437</v>
      </c>
      <c r="E157" s="217"/>
      <c r="F157" s="215"/>
      <c r="G157" s="215" t="s">
        <v>68</v>
      </c>
      <c r="H157" s="215"/>
      <c r="I157" s="215" t="s">
        <v>68</v>
      </c>
      <c r="J157" s="215"/>
      <c r="K157" s="215" t="s">
        <v>68</v>
      </c>
      <c r="L157" s="215"/>
      <c r="M157" s="215" t="s">
        <v>68</v>
      </c>
      <c r="N157" s="228"/>
      <c r="O157" s="215" t="s">
        <v>68</v>
      </c>
      <c r="P157" s="214" t="s">
        <v>2719</v>
      </c>
      <c r="Q157" s="214" t="s">
        <v>2754</v>
      </c>
    </row>
    <row r="158" spans="1:17" ht="24" customHeight="1">
      <c r="A158" s="218" t="s">
        <v>1569</v>
      </c>
      <c r="B158" s="218" t="s">
        <v>1567</v>
      </c>
      <c r="C158" s="214" t="s">
        <v>1568</v>
      </c>
      <c r="D158" s="213" t="s">
        <v>437</v>
      </c>
      <c r="E158" s="217"/>
      <c r="F158" s="215"/>
      <c r="G158" s="215" t="s">
        <v>68</v>
      </c>
      <c r="H158" s="215"/>
      <c r="I158" s="215" t="s">
        <v>68</v>
      </c>
      <c r="J158" s="215"/>
      <c r="K158" s="215" t="s">
        <v>68</v>
      </c>
      <c r="L158" s="215"/>
      <c r="M158" s="215" t="s">
        <v>68</v>
      </c>
      <c r="N158" s="228"/>
      <c r="O158" s="215" t="s">
        <v>68</v>
      </c>
      <c r="P158" s="214" t="s">
        <v>2719</v>
      </c>
      <c r="Q158" s="214" t="s">
        <v>2755</v>
      </c>
    </row>
    <row r="159" spans="1:17" ht="24" customHeight="1">
      <c r="A159" s="218" t="s">
        <v>1571</v>
      </c>
      <c r="B159" s="218" t="s">
        <v>1493</v>
      </c>
      <c r="C159" s="214" t="s">
        <v>1570</v>
      </c>
      <c r="D159" s="213" t="s">
        <v>437</v>
      </c>
      <c r="E159" s="217"/>
      <c r="F159" s="215"/>
      <c r="G159" s="215" t="s">
        <v>68</v>
      </c>
      <c r="H159" s="215"/>
      <c r="I159" s="215" t="s">
        <v>68</v>
      </c>
      <c r="J159" s="215"/>
      <c r="K159" s="215" t="s">
        <v>68</v>
      </c>
      <c r="L159" s="215"/>
      <c r="M159" s="215" t="s">
        <v>68</v>
      </c>
      <c r="N159" s="228"/>
      <c r="O159" s="215" t="s">
        <v>68</v>
      </c>
      <c r="P159" s="214" t="s">
        <v>2719</v>
      </c>
      <c r="Q159" s="214" t="s">
        <v>2756</v>
      </c>
    </row>
    <row r="160" spans="1:17" ht="24" customHeight="1">
      <c r="A160" s="218" t="s">
        <v>1573</v>
      </c>
      <c r="B160" s="218" t="s">
        <v>1496</v>
      </c>
      <c r="C160" s="214" t="s">
        <v>1572</v>
      </c>
      <c r="D160" s="213" t="s">
        <v>437</v>
      </c>
      <c r="E160" s="217"/>
      <c r="F160" s="215"/>
      <c r="G160" s="215" t="s">
        <v>68</v>
      </c>
      <c r="H160" s="215"/>
      <c r="I160" s="215" t="s">
        <v>68</v>
      </c>
      <c r="J160" s="215"/>
      <c r="K160" s="215" t="s">
        <v>68</v>
      </c>
      <c r="L160" s="215"/>
      <c r="M160" s="215" t="s">
        <v>68</v>
      </c>
      <c r="N160" s="228"/>
      <c r="O160" s="215" t="s">
        <v>68</v>
      </c>
      <c r="P160" s="214" t="s">
        <v>2719</v>
      </c>
      <c r="Q160" s="214" t="s">
        <v>2757</v>
      </c>
    </row>
  </sheetData>
  <autoFilter ref="A2:Q160">
    <filterColumn colId="5" showButton="0"/>
    <filterColumn colId="7" showButton="0"/>
    <filterColumn colId="9" showButton="0"/>
    <filterColumn colId="11" showButton="0"/>
    <filterColumn colId="13" showButton="0"/>
  </autoFilter>
  <mergeCells count="12">
    <mergeCell ref="Q2:Q3"/>
    <mergeCell ref="A2:A3"/>
    <mergeCell ref="B2:B3"/>
    <mergeCell ref="C2:C3"/>
    <mergeCell ref="D2:D3"/>
    <mergeCell ref="E2:E3"/>
    <mergeCell ref="F2:G2"/>
    <mergeCell ref="H2:I2"/>
    <mergeCell ref="J2:K2"/>
    <mergeCell ref="L2:M2"/>
    <mergeCell ref="N2:O2"/>
    <mergeCell ref="P2:P3"/>
  </mergeCells>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133</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workbookViewId="0">
      <pane ySplit="2" topLeftCell="A3" activePane="bottomLeft" state="frozen"/>
      <selection activeCell="DJ113" sqref="DJ113:FG116"/>
      <selection pane="bottomLeft" activeCell="D3" sqref="D3:D28"/>
    </sheetView>
  </sheetViews>
  <sheetFormatPr defaultRowHeight="24" customHeight="1"/>
  <cols>
    <col min="1" max="1" width="25.75" style="226" customWidth="1"/>
    <col min="2" max="2" width="25.75" style="207" customWidth="1"/>
    <col min="3" max="3" width="25.75" style="208" customWidth="1"/>
    <col min="4" max="4" width="25.75" style="209" customWidth="1"/>
    <col min="5" max="5" width="25.75" style="208" customWidth="1"/>
    <col min="6" max="9" width="0" style="209" hidden="1" customWidth="1"/>
    <col min="10" max="256" width="9" style="209"/>
    <col min="257" max="261" width="25.75" style="209" customWidth="1"/>
    <col min="262" max="265" width="0" style="209" hidden="1" customWidth="1"/>
    <col min="266" max="512" width="9" style="209"/>
    <col min="513" max="517" width="25.75" style="209" customWidth="1"/>
    <col min="518" max="521" width="0" style="209" hidden="1" customWidth="1"/>
    <col min="522" max="768" width="9" style="209"/>
    <col min="769" max="773" width="25.75" style="209" customWidth="1"/>
    <col min="774" max="777" width="0" style="209" hidden="1" customWidth="1"/>
    <col min="778" max="1024" width="9" style="209"/>
    <col min="1025" max="1029" width="25.75" style="209" customWidth="1"/>
    <col min="1030" max="1033" width="0" style="209" hidden="1" customWidth="1"/>
    <col min="1034" max="1280" width="9" style="209"/>
    <col min="1281" max="1285" width="25.75" style="209" customWidth="1"/>
    <col min="1286" max="1289" width="0" style="209" hidden="1" customWidth="1"/>
    <col min="1290" max="1536" width="9" style="209"/>
    <col min="1537" max="1541" width="25.75" style="209" customWidth="1"/>
    <col min="1542" max="1545" width="0" style="209" hidden="1" customWidth="1"/>
    <col min="1546" max="1792" width="9" style="209"/>
    <col min="1793" max="1797" width="25.75" style="209" customWidth="1"/>
    <col min="1798" max="1801" width="0" style="209" hidden="1" customWidth="1"/>
    <col min="1802" max="2048" width="9" style="209"/>
    <col min="2049" max="2053" width="25.75" style="209" customWidth="1"/>
    <col min="2054" max="2057" width="0" style="209" hidden="1" customWidth="1"/>
    <col min="2058" max="2304" width="9" style="209"/>
    <col min="2305" max="2309" width="25.75" style="209" customWidth="1"/>
    <col min="2310" max="2313" width="0" style="209" hidden="1" customWidth="1"/>
    <col min="2314" max="2560" width="9" style="209"/>
    <col min="2561" max="2565" width="25.75" style="209" customWidth="1"/>
    <col min="2566" max="2569" width="0" style="209" hidden="1" customWidth="1"/>
    <col min="2570" max="2816" width="9" style="209"/>
    <col min="2817" max="2821" width="25.75" style="209" customWidth="1"/>
    <col min="2822" max="2825" width="0" style="209" hidden="1" customWidth="1"/>
    <col min="2826" max="3072" width="9" style="209"/>
    <col min="3073" max="3077" width="25.75" style="209" customWidth="1"/>
    <col min="3078" max="3081" width="0" style="209" hidden="1" customWidth="1"/>
    <col min="3082" max="3328" width="9" style="209"/>
    <col min="3329" max="3333" width="25.75" style="209" customWidth="1"/>
    <col min="3334" max="3337" width="0" style="209" hidden="1" customWidth="1"/>
    <col min="3338" max="3584" width="9" style="209"/>
    <col min="3585" max="3589" width="25.75" style="209" customWidth="1"/>
    <col min="3590" max="3593" width="0" style="209" hidden="1" customWidth="1"/>
    <col min="3594" max="3840" width="9" style="209"/>
    <col min="3841" max="3845" width="25.75" style="209" customWidth="1"/>
    <col min="3846" max="3849" width="0" style="209" hidden="1" customWidth="1"/>
    <col min="3850" max="4096" width="9" style="209"/>
    <col min="4097" max="4101" width="25.75" style="209" customWidth="1"/>
    <col min="4102" max="4105" width="0" style="209" hidden="1" customWidth="1"/>
    <col min="4106" max="4352" width="9" style="209"/>
    <col min="4353" max="4357" width="25.75" style="209" customWidth="1"/>
    <col min="4358" max="4361" width="0" style="209" hidden="1" customWidth="1"/>
    <col min="4362" max="4608" width="9" style="209"/>
    <col min="4609" max="4613" width="25.75" style="209" customWidth="1"/>
    <col min="4614" max="4617" width="0" style="209" hidden="1" customWidth="1"/>
    <col min="4618" max="4864" width="9" style="209"/>
    <col min="4865" max="4869" width="25.75" style="209" customWidth="1"/>
    <col min="4870" max="4873" width="0" style="209" hidden="1" customWidth="1"/>
    <col min="4874" max="5120" width="9" style="209"/>
    <col min="5121" max="5125" width="25.75" style="209" customWidth="1"/>
    <col min="5126" max="5129" width="0" style="209" hidden="1" customWidth="1"/>
    <col min="5130" max="5376" width="9" style="209"/>
    <col min="5377" max="5381" width="25.75" style="209" customWidth="1"/>
    <col min="5382" max="5385" width="0" style="209" hidden="1" customWidth="1"/>
    <col min="5386" max="5632" width="9" style="209"/>
    <col min="5633" max="5637" width="25.75" style="209" customWidth="1"/>
    <col min="5638" max="5641" width="0" style="209" hidden="1" customWidth="1"/>
    <col min="5642" max="5888" width="9" style="209"/>
    <col min="5889" max="5893" width="25.75" style="209" customWidth="1"/>
    <col min="5894" max="5897" width="0" style="209" hidden="1" customWidth="1"/>
    <col min="5898" max="6144" width="9" style="209"/>
    <col min="6145" max="6149" width="25.75" style="209" customWidth="1"/>
    <col min="6150" max="6153" width="0" style="209" hidden="1" customWidth="1"/>
    <col min="6154" max="6400" width="9" style="209"/>
    <col min="6401" max="6405" width="25.75" style="209" customWidth="1"/>
    <col min="6406" max="6409" width="0" style="209" hidden="1" customWidth="1"/>
    <col min="6410" max="6656" width="9" style="209"/>
    <col min="6657" max="6661" width="25.75" style="209" customWidth="1"/>
    <col min="6662" max="6665" width="0" style="209" hidden="1" customWidth="1"/>
    <col min="6666" max="6912" width="9" style="209"/>
    <col min="6913" max="6917" width="25.75" style="209" customWidth="1"/>
    <col min="6918" max="6921" width="0" style="209" hidden="1" customWidth="1"/>
    <col min="6922" max="7168" width="9" style="209"/>
    <col min="7169" max="7173" width="25.75" style="209" customWidth="1"/>
    <col min="7174" max="7177" width="0" style="209" hidden="1" customWidth="1"/>
    <col min="7178" max="7424" width="9" style="209"/>
    <col min="7425" max="7429" width="25.75" style="209" customWidth="1"/>
    <col min="7430" max="7433" width="0" style="209" hidden="1" customWidth="1"/>
    <col min="7434" max="7680" width="9" style="209"/>
    <col min="7681" max="7685" width="25.75" style="209" customWidth="1"/>
    <col min="7686" max="7689" width="0" style="209" hidden="1" customWidth="1"/>
    <col min="7690" max="7936" width="9" style="209"/>
    <col min="7937" max="7941" width="25.75" style="209" customWidth="1"/>
    <col min="7942" max="7945" width="0" style="209" hidden="1" customWidth="1"/>
    <col min="7946" max="8192" width="9" style="209"/>
    <col min="8193" max="8197" width="25.75" style="209" customWidth="1"/>
    <col min="8198" max="8201" width="0" style="209" hidden="1" customWidth="1"/>
    <col min="8202" max="8448" width="9" style="209"/>
    <col min="8449" max="8453" width="25.75" style="209" customWidth="1"/>
    <col min="8454" max="8457" width="0" style="209" hidden="1" customWidth="1"/>
    <col min="8458" max="8704" width="9" style="209"/>
    <col min="8705" max="8709" width="25.75" style="209" customWidth="1"/>
    <col min="8710" max="8713" width="0" style="209" hidden="1" customWidth="1"/>
    <col min="8714" max="8960" width="9" style="209"/>
    <col min="8961" max="8965" width="25.75" style="209" customWidth="1"/>
    <col min="8966" max="8969" width="0" style="209" hidden="1" customWidth="1"/>
    <col min="8970" max="9216" width="9" style="209"/>
    <col min="9217" max="9221" width="25.75" style="209" customWidth="1"/>
    <col min="9222" max="9225" width="0" style="209" hidden="1" customWidth="1"/>
    <col min="9226" max="9472" width="9" style="209"/>
    <col min="9473" max="9477" width="25.75" style="209" customWidth="1"/>
    <col min="9478" max="9481" width="0" style="209" hidden="1" customWidth="1"/>
    <col min="9482" max="9728" width="9" style="209"/>
    <col min="9729" max="9733" width="25.75" style="209" customWidth="1"/>
    <col min="9734" max="9737" width="0" style="209" hidden="1" customWidth="1"/>
    <col min="9738" max="9984" width="9" style="209"/>
    <col min="9985" max="9989" width="25.75" style="209" customWidth="1"/>
    <col min="9990" max="9993" width="0" style="209" hidden="1" customWidth="1"/>
    <col min="9994" max="10240" width="9" style="209"/>
    <col min="10241" max="10245" width="25.75" style="209" customWidth="1"/>
    <col min="10246" max="10249" width="0" style="209" hidden="1" customWidth="1"/>
    <col min="10250" max="10496" width="9" style="209"/>
    <col min="10497" max="10501" width="25.75" style="209" customWidth="1"/>
    <col min="10502" max="10505" width="0" style="209" hidden="1" customWidth="1"/>
    <col min="10506" max="10752" width="9" style="209"/>
    <col min="10753" max="10757" width="25.75" style="209" customWidth="1"/>
    <col min="10758" max="10761" width="0" style="209" hidden="1" customWidth="1"/>
    <col min="10762" max="11008" width="9" style="209"/>
    <col min="11009" max="11013" width="25.75" style="209" customWidth="1"/>
    <col min="11014" max="11017" width="0" style="209" hidden="1" customWidth="1"/>
    <col min="11018" max="11264" width="9" style="209"/>
    <col min="11265" max="11269" width="25.75" style="209" customWidth="1"/>
    <col min="11270" max="11273" width="0" style="209" hidden="1" customWidth="1"/>
    <col min="11274" max="11520" width="9" style="209"/>
    <col min="11521" max="11525" width="25.75" style="209" customWidth="1"/>
    <col min="11526" max="11529" width="0" style="209" hidden="1" customWidth="1"/>
    <col min="11530" max="11776" width="9" style="209"/>
    <col min="11777" max="11781" width="25.75" style="209" customWidth="1"/>
    <col min="11782" max="11785" width="0" style="209" hidden="1" customWidth="1"/>
    <col min="11786" max="12032" width="9" style="209"/>
    <col min="12033" max="12037" width="25.75" style="209" customWidth="1"/>
    <col min="12038" max="12041" width="0" style="209" hidden="1" customWidth="1"/>
    <col min="12042" max="12288" width="9" style="209"/>
    <col min="12289" max="12293" width="25.75" style="209" customWidth="1"/>
    <col min="12294" max="12297" width="0" style="209" hidden="1" customWidth="1"/>
    <col min="12298" max="12544" width="9" style="209"/>
    <col min="12545" max="12549" width="25.75" style="209" customWidth="1"/>
    <col min="12550" max="12553" width="0" style="209" hidden="1" customWidth="1"/>
    <col min="12554" max="12800" width="9" style="209"/>
    <col min="12801" max="12805" width="25.75" style="209" customWidth="1"/>
    <col min="12806" max="12809" width="0" style="209" hidden="1" customWidth="1"/>
    <col min="12810" max="13056" width="9" style="209"/>
    <col min="13057" max="13061" width="25.75" style="209" customWidth="1"/>
    <col min="13062" max="13065" width="0" style="209" hidden="1" customWidth="1"/>
    <col min="13066" max="13312" width="9" style="209"/>
    <col min="13313" max="13317" width="25.75" style="209" customWidth="1"/>
    <col min="13318" max="13321" width="0" style="209" hidden="1" customWidth="1"/>
    <col min="13322" max="13568" width="9" style="209"/>
    <col min="13569" max="13573" width="25.75" style="209" customWidth="1"/>
    <col min="13574" max="13577" width="0" style="209" hidden="1" customWidth="1"/>
    <col min="13578" max="13824" width="9" style="209"/>
    <col min="13825" max="13829" width="25.75" style="209" customWidth="1"/>
    <col min="13830" max="13833" width="0" style="209" hidden="1" customWidth="1"/>
    <col min="13834" max="14080" width="9" style="209"/>
    <col min="14081" max="14085" width="25.75" style="209" customWidth="1"/>
    <col min="14086" max="14089" width="0" style="209" hidden="1" customWidth="1"/>
    <col min="14090" max="14336" width="9" style="209"/>
    <col min="14337" max="14341" width="25.75" style="209" customWidth="1"/>
    <col min="14342" max="14345" width="0" style="209" hidden="1" customWidth="1"/>
    <col min="14346" max="14592" width="9" style="209"/>
    <col min="14593" max="14597" width="25.75" style="209" customWidth="1"/>
    <col min="14598" max="14601" width="0" style="209" hidden="1" customWidth="1"/>
    <col min="14602" max="14848" width="9" style="209"/>
    <col min="14849" max="14853" width="25.75" style="209" customWidth="1"/>
    <col min="14854" max="14857" width="0" style="209" hidden="1" customWidth="1"/>
    <col min="14858" max="15104" width="9" style="209"/>
    <col min="15105" max="15109" width="25.75" style="209" customWidth="1"/>
    <col min="15110" max="15113" width="0" style="209" hidden="1" customWidth="1"/>
    <col min="15114" max="15360" width="9" style="209"/>
    <col min="15361" max="15365" width="25.75" style="209" customWidth="1"/>
    <col min="15366" max="15369" width="0" style="209" hidden="1" customWidth="1"/>
    <col min="15370" max="15616" width="9" style="209"/>
    <col min="15617" max="15621" width="25.75" style="209" customWidth="1"/>
    <col min="15622" max="15625" width="0" style="209" hidden="1" customWidth="1"/>
    <col min="15626" max="15872" width="9" style="209"/>
    <col min="15873" max="15877" width="25.75" style="209" customWidth="1"/>
    <col min="15878" max="15881" width="0" style="209" hidden="1" customWidth="1"/>
    <col min="15882" max="16128" width="9" style="209"/>
    <col min="16129" max="16133" width="25.75" style="209" customWidth="1"/>
    <col min="16134" max="16137" width="0" style="209" hidden="1" customWidth="1"/>
    <col min="16138" max="16384" width="9" style="209"/>
  </cols>
  <sheetData>
    <row r="1" spans="1:8" ht="24" customHeight="1">
      <c r="A1" s="206" t="s">
        <v>2758</v>
      </c>
    </row>
    <row r="2" spans="1:8" ht="24" customHeight="1">
      <c r="A2" s="210" t="s">
        <v>2549</v>
      </c>
      <c r="B2" s="210" t="s">
        <v>13</v>
      </c>
      <c r="C2" s="211" t="s">
        <v>2501</v>
      </c>
      <c r="D2" s="211" t="s">
        <v>2555</v>
      </c>
      <c r="E2" s="210" t="s">
        <v>1082</v>
      </c>
    </row>
    <row r="3" spans="1:8" ht="24" customHeight="1">
      <c r="A3" s="218" t="s">
        <v>1967</v>
      </c>
      <c r="B3" s="215" t="s">
        <v>1946</v>
      </c>
      <c r="C3" s="213" t="s">
        <v>1286</v>
      </c>
      <c r="D3" s="217"/>
      <c r="E3" s="215" t="s">
        <v>68</v>
      </c>
      <c r="F3" s="209" t="s">
        <v>68</v>
      </c>
      <c r="G3" s="209" t="s">
        <v>1968</v>
      </c>
      <c r="H3" s="209" t="s">
        <v>68</v>
      </c>
    </row>
    <row r="4" spans="1:8" ht="24" customHeight="1">
      <c r="A4" s="218" t="s">
        <v>1965</v>
      </c>
      <c r="B4" s="215" t="s">
        <v>1946</v>
      </c>
      <c r="C4" s="213" t="s">
        <v>1286</v>
      </c>
      <c r="D4" s="217"/>
      <c r="E4" s="215" t="s">
        <v>68</v>
      </c>
      <c r="F4" s="209" t="s">
        <v>68</v>
      </c>
      <c r="G4" s="209" t="s">
        <v>1966</v>
      </c>
      <c r="H4" s="209" t="s">
        <v>68</v>
      </c>
    </row>
    <row r="5" spans="1:8" ht="24" customHeight="1">
      <c r="A5" s="218" t="s">
        <v>2191</v>
      </c>
      <c r="B5" s="215" t="s">
        <v>1946</v>
      </c>
      <c r="C5" s="213" t="s">
        <v>1286</v>
      </c>
      <c r="D5" s="217"/>
      <c r="E5" s="215" t="s">
        <v>68</v>
      </c>
      <c r="F5" s="209" t="s">
        <v>68</v>
      </c>
      <c r="G5" s="209" t="s">
        <v>2192</v>
      </c>
      <c r="H5" s="209" t="s">
        <v>68</v>
      </c>
    </row>
    <row r="6" spans="1:8" ht="24" customHeight="1">
      <c r="A6" s="218" t="s">
        <v>1961</v>
      </c>
      <c r="B6" s="215" t="s">
        <v>1946</v>
      </c>
      <c r="C6" s="213" t="s">
        <v>1286</v>
      </c>
      <c r="D6" s="217"/>
      <c r="E6" s="215" t="s">
        <v>68</v>
      </c>
      <c r="F6" s="209" t="s">
        <v>68</v>
      </c>
      <c r="G6" s="209" t="s">
        <v>1962</v>
      </c>
      <c r="H6" s="209" t="s">
        <v>68</v>
      </c>
    </row>
    <row r="7" spans="1:8" ht="24" customHeight="1">
      <c r="A7" s="218" t="s">
        <v>1953</v>
      </c>
      <c r="B7" s="215" t="s">
        <v>1946</v>
      </c>
      <c r="C7" s="213" t="s">
        <v>1286</v>
      </c>
      <c r="D7" s="217"/>
      <c r="E7" s="215" t="s">
        <v>68</v>
      </c>
      <c r="F7" s="209" t="s">
        <v>68</v>
      </c>
      <c r="G7" s="209" t="s">
        <v>1954</v>
      </c>
      <c r="H7" s="209" t="s">
        <v>68</v>
      </c>
    </row>
    <row r="8" spans="1:8" ht="24" customHeight="1">
      <c r="A8" s="218" t="s">
        <v>1963</v>
      </c>
      <c r="B8" s="215" t="s">
        <v>1946</v>
      </c>
      <c r="C8" s="213" t="s">
        <v>1286</v>
      </c>
      <c r="D8" s="217"/>
      <c r="E8" s="215" t="s">
        <v>68</v>
      </c>
      <c r="F8" s="209" t="s">
        <v>68</v>
      </c>
      <c r="G8" s="209" t="s">
        <v>1964</v>
      </c>
      <c r="H8" s="209" t="s">
        <v>68</v>
      </c>
    </row>
    <row r="9" spans="1:8" ht="24" customHeight="1">
      <c r="A9" s="218" t="s">
        <v>2211</v>
      </c>
      <c r="B9" s="215" t="s">
        <v>1946</v>
      </c>
      <c r="C9" s="213" t="s">
        <v>1286</v>
      </c>
      <c r="D9" s="217"/>
      <c r="E9" s="215" t="s">
        <v>68</v>
      </c>
      <c r="F9" s="209" t="s">
        <v>68</v>
      </c>
      <c r="G9" s="209" t="s">
        <v>2212</v>
      </c>
      <c r="H9" s="209" t="s">
        <v>68</v>
      </c>
    </row>
    <row r="10" spans="1:8" ht="24" customHeight="1">
      <c r="A10" s="218" t="s">
        <v>2012</v>
      </c>
      <c r="B10" s="215" t="s">
        <v>1946</v>
      </c>
      <c r="C10" s="213" t="s">
        <v>1286</v>
      </c>
      <c r="D10" s="217"/>
      <c r="E10" s="215" t="s">
        <v>68</v>
      </c>
      <c r="F10" s="209" t="s">
        <v>68</v>
      </c>
      <c r="G10" s="209" t="s">
        <v>2013</v>
      </c>
      <c r="H10" s="209" t="s">
        <v>68</v>
      </c>
    </row>
    <row r="11" spans="1:8" ht="24" customHeight="1">
      <c r="A11" s="218" t="s">
        <v>1945</v>
      </c>
      <c r="B11" s="215" t="s">
        <v>1946</v>
      </c>
      <c r="C11" s="213" t="s">
        <v>1286</v>
      </c>
      <c r="D11" s="217"/>
      <c r="E11" s="215" t="s">
        <v>68</v>
      </c>
      <c r="F11" s="209" t="s">
        <v>68</v>
      </c>
      <c r="G11" s="209" t="s">
        <v>1947</v>
      </c>
      <c r="H11" s="209" t="s">
        <v>68</v>
      </c>
    </row>
    <row r="12" spans="1:8" ht="24" customHeight="1">
      <c r="A12" s="218" t="s">
        <v>2121</v>
      </c>
      <c r="B12" s="215" t="s">
        <v>1946</v>
      </c>
      <c r="C12" s="213" t="s">
        <v>1286</v>
      </c>
      <c r="D12" s="217"/>
      <c r="E12" s="215" t="s">
        <v>68</v>
      </c>
      <c r="F12" s="209" t="s">
        <v>68</v>
      </c>
      <c r="G12" s="209" t="s">
        <v>2122</v>
      </c>
      <c r="H12" s="209" t="s">
        <v>68</v>
      </c>
    </row>
    <row r="13" spans="1:8" ht="24" customHeight="1">
      <c r="A13" s="218" t="s">
        <v>2026</v>
      </c>
      <c r="B13" s="215" t="s">
        <v>1946</v>
      </c>
      <c r="C13" s="213" t="s">
        <v>1286</v>
      </c>
      <c r="D13" s="217"/>
      <c r="E13" s="215" t="s">
        <v>68</v>
      </c>
      <c r="F13" s="209" t="s">
        <v>68</v>
      </c>
      <c r="G13" s="209" t="s">
        <v>2027</v>
      </c>
      <c r="H13" s="209" t="s">
        <v>68</v>
      </c>
    </row>
    <row r="14" spans="1:8" ht="24" customHeight="1">
      <c r="A14" s="218" t="s">
        <v>2127</v>
      </c>
      <c r="B14" s="215" t="s">
        <v>1946</v>
      </c>
      <c r="C14" s="213" t="s">
        <v>1286</v>
      </c>
      <c r="D14" s="217"/>
      <c r="E14" s="215" t="s">
        <v>68</v>
      </c>
      <c r="F14" s="209" t="s">
        <v>68</v>
      </c>
      <c r="G14" s="209" t="s">
        <v>2128</v>
      </c>
      <c r="H14" s="209" t="s">
        <v>68</v>
      </c>
    </row>
    <row r="15" spans="1:8" ht="24" customHeight="1">
      <c r="A15" s="218" t="s">
        <v>2145</v>
      </c>
      <c r="B15" s="215" t="s">
        <v>1946</v>
      </c>
      <c r="C15" s="213" t="s">
        <v>1286</v>
      </c>
      <c r="D15" s="217"/>
      <c r="E15" s="215" t="s">
        <v>68</v>
      </c>
      <c r="F15" s="209" t="s">
        <v>68</v>
      </c>
      <c r="G15" s="209" t="s">
        <v>2146</v>
      </c>
      <c r="H15" s="209" t="s">
        <v>68</v>
      </c>
    </row>
    <row r="16" spans="1:8" ht="24" customHeight="1">
      <c r="A16" s="218" t="s">
        <v>2007</v>
      </c>
      <c r="B16" s="215" t="s">
        <v>1946</v>
      </c>
      <c r="C16" s="213" t="s">
        <v>1286</v>
      </c>
      <c r="D16" s="217"/>
      <c r="E16" s="215" t="s">
        <v>68</v>
      </c>
      <c r="F16" s="209" t="s">
        <v>68</v>
      </c>
      <c r="G16" s="209" t="s">
        <v>2008</v>
      </c>
      <c r="H16" s="209" t="s">
        <v>68</v>
      </c>
    </row>
    <row r="17" spans="1:8" ht="24" customHeight="1">
      <c r="A17" s="218" t="s">
        <v>2158</v>
      </c>
      <c r="B17" s="215" t="s">
        <v>1946</v>
      </c>
      <c r="C17" s="213" t="s">
        <v>1286</v>
      </c>
      <c r="D17" s="217"/>
      <c r="E17" s="215" t="s">
        <v>68</v>
      </c>
      <c r="F17" s="209" t="s">
        <v>68</v>
      </c>
      <c r="G17" s="209" t="s">
        <v>2159</v>
      </c>
      <c r="H17" s="209" t="s">
        <v>68</v>
      </c>
    </row>
    <row r="18" spans="1:8" ht="24" customHeight="1">
      <c r="A18" s="218" t="s">
        <v>2109</v>
      </c>
      <c r="B18" s="215" t="s">
        <v>1946</v>
      </c>
      <c r="C18" s="213" t="s">
        <v>1286</v>
      </c>
      <c r="D18" s="217"/>
      <c r="E18" s="215" t="s">
        <v>68</v>
      </c>
      <c r="F18" s="209" t="s">
        <v>68</v>
      </c>
      <c r="G18" s="209" t="s">
        <v>2110</v>
      </c>
      <c r="H18" s="209" t="s">
        <v>68</v>
      </c>
    </row>
    <row r="19" spans="1:8" ht="24" customHeight="1">
      <c r="A19" s="218" t="s">
        <v>2488</v>
      </c>
      <c r="B19" s="215" t="s">
        <v>1946</v>
      </c>
      <c r="C19" s="213" t="s">
        <v>1286</v>
      </c>
      <c r="D19" s="217"/>
      <c r="E19" s="215" t="s">
        <v>68</v>
      </c>
      <c r="F19" s="209" t="s">
        <v>68</v>
      </c>
      <c r="G19" s="209" t="s">
        <v>2489</v>
      </c>
      <c r="H19" s="209" t="s">
        <v>68</v>
      </c>
    </row>
    <row r="20" spans="1:8" ht="24" customHeight="1">
      <c r="A20" s="218" t="s">
        <v>2366</v>
      </c>
      <c r="B20" s="215" t="s">
        <v>1946</v>
      </c>
      <c r="C20" s="213" t="s">
        <v>1286</v>
      </c>
      <c r="D20" s="217"/>
      <c r="E20" s="215" t="s">
        <v>68</v>
      </c>
      <c r="F20" s="209" t="s">
        <v>68</v>
      </c>
      <c r="G20" s="209" t="s">
        <v>2367</v>
      </c>
      <c r="H20" s="209" t="s">
        <v>68</v>
      </c>
    </row>
    <row r="21" spans="1:8" ht="24" customHeight="1">
      <c r="A21" s="218" t="s">
        <v>2373</v>
      </c>
      <c r="B21" s="215" t="s">
        <v>1946</v>
      </c>
      <c r="C21" s="213" t="s">
        <v>1286</v>
      </c>
      <c r="D21" s="217"/>
      <c r="E21" s="215" t="s">
        <v>68</v>
      </c>
      <c r="F21" s="209" t="s">
        <v>68</v>
      </c>
      <c r="G21" s="209" t="s">
        <v>2374</v>
      </c>
      <c r="H21" s="209" t="s">
        <v>68</v>
      </c>
    </row>
    <row r="22" spans="1:8" ht="24" customHeight="1">
      <c r="A22" s="218" t="s">
        <v>2383</v>
      </c>
      <c r="B22" s="215" t="s">
        <v>1946</v>
      </c>
      <c r="C22" s="213" t="s">
        <v>1286</v>
      </c>
      <c r="D22" s="217"/>
      <c r="E22" s="215" t="s">
        <v>68</v>
      </c>
      <c r="F22" s="209" t="s">
        <v>68</v>
      </c>
      <c r="G22" s="209" t="s">
        <v>2384</v>
      </c>
      <c r="H22" s="209" t="s">
        <v>68</v>
      </c>
    </row>
    <row r="23" spans="1:8" ht="24" customHeight="1">
      <c r="A23" s="218" t="s">
        <v>2422</v>
      </c>
      <c r="B23" s="215" t="s">
        <v>1946</v>
      </c>
      <c r="C23" s="213" t="s">
        <v>1286</v>
      </c>
      <c r="D23" s="217"/>
      <c r="E23" s="215" t="s">
        <v>68</v>
      </c>
      <c r="F23" s="209" t="s">
        <v>68</v>
      </c>
      <c r="G23" s="209" t="s">
        <v>2423</v>
      </c>
      <c r="H23" s="209" t="s">
        <v>68</v>
      </c>
    </row>
    <row r="24" spans="1:8" ht="24" customHeight="1">
      <c r="A24" s="218" t="s">
        <v>2344</v>
      </c>
      <c r="B24" s="215" t="s">
        <v>1946</v>
      </c>
      <c r="C24" s="213" t="s">
        <v>1286</v>
      </c>
      <c r="D24" s="217"/>
      <c r="E24" s="215" t="s">
        <v>68</v>
      </c>
      <c r="F24" s="209" t="s">
        <v>68</v>
      </c>
      <c r="G24" s="209" t="s">
        <v>2345</v>
      </c>
      <c r="H24" s="209" t="s">
        <v>68</v>
      </c>
    </row>
    <row r="25" spans="1:8" ht="24" customHeight="1">
      <c r="A25" s="218" t="s">
        <v>2464</v>
      </c>
      <c r="B25" s="215" t="s">
        <v>1946</v>
      </c>
      <c r="C25" s="213" t="s">
        <v>1286</v>
      </c>
      <c r="D25" s="217"/>
      <c r="E25" s="215" t="s">
        <v>68</v>
      </c>
      <c r="F25" s="209" t="s">
        <v>68</v>
      </c>
      <c r="G25" s="209" t="s">
        <v>2465</v>
      </c>
      <c r="H25" s="209" t="s">
        <v>68</v>
      </c>
    </row>
    <row r="26" spans="1:8" ht="24" customHeight="1">
      <c r="A26" s="218" t="s">
        <v>2467</v>
      </c>
      <c r="B26" s="215" t="s">
        <v>2462</v>
      </c>
      <c r="C26" s="213" t="s">
        <v>1286</v>
      </c>
      <c r="D26" s="217"/>
      <c r="E26" s="215" t="s">
        <v>68</v>
      </c>
      <c r="F26" s="209" t="s">
        <v>68</v>
      </c>
      <c r="G26" s="209" t="s">
        <v>2468</v>
      </c>
      <c r="H26" s="209" t="s">
        <v>68</v>
      </c>
    </row>
    <row r="27" spans="1:8" ht="24" customHeight="1">
      <c r="A27" s="218" t="s">
        <v>2461</v>
      </c>
      <c r="B27" s="215" t="s">
        <v>2462</v>
      </c>
      <c r="C27" s="213" t="s">
        <v>1286</v>
      </c>
      <c r="D27" s="217"/>
      <c r="E27" s="215" t="s">
        <v>68</v>
      </c>
      <c r="F27" s="209" t="s">
        <v>68</v>
      </c>
      <c r="G27" s="209" t="s">
        <v>2463</v>
      </c>
      <c r="H27" s="209" t="s">
        <v>68</v>
      </c>
    </row>
    <row r="28" spans="1:8" ht="24" customHeight="1">
      <c r="A28" s="218" t="s">
        <v>2221</v>
      </c>
      <c r="B28" s="215" t="s">
        <v>1946</v>
      </c>
      <c r="C28" s="213" t="s">
        <v>1286</v>
      </c>
      <c r="D28" s="217"/>
      <c r="E28" s="215" t="s">
        <v>68</v>
      </c>
      <c r="F28" s="209" t="s">
        <v>68</v>
      </c>
      <c r="G28" s="209" t="s">
        <v>2222</v>
      </c>
      <c r="H28" s="209" t="s">
        <v>68</v>
      </c>
    </row>
  </sheetData>
  <autoFilter ref="A2:E28"/>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M19"/>
  <sheetViews>
    <sheetView workbookViewId="0">
      <selection activeCell="DJ113" sqref="DJ113:FG116"/>
    </sheetView>
  </sheetViews>
  <sheetFormatPr defaultRowHeight="16.5"/>
  <sheetData>
    <row r="4" spans="2:2" ht="18.75">
      <c r="B4" s="95" t="str">
        <f>갑!D15</f>
        <v>[ 김제시 죽산면 죽산로126(구 새마을 금고)내·외부공사 ]</v>
      </c>
    </row>
    <row r="17" spans="8:13" ht="20.25">
      <c r="H17" s="96"/>
      <c r="I17" s="96"/>
      <c r="J17" s="96"/>
      <c r="K17" s="96"/>
      <c r="L17" s="96"/>
      <c r="M17" s="96"/>
    </row>
    <row r="18" spans="8:13" ht="21" thickBot="1">
      <c r="J18" s="339" t="s">
        <v>134</v>
      </c>
      <c r="K18" s="339"/>
      <c r="L18" s="339"/>
      <c r="M18" s="339"/>
    </row>
    <row r="19" spans="8:13" ht="17.25" thickTop="1"/>
  </sheetData>
  <mergeCells count="1">
    <mergeCell ref="J18:M18"/>
  </mergeCells>
  <phoneticPr fontId="2" type="noConversion"/>
  <pageMargins left="0.7" right="0.93"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19"/>
  <sheetViews>
    <sheetView zoomScaleNormal="100" workbookViewId="0">
      <pane ySplit="2" topLeftCell="A3" activePane="bottomLeft" state="frozen"/>
      <selection activeCell="DJ113" sqref="DJ113:FG116"/>
      <selection pane="bottomLeft" activeCell="DJ113" sqref="DJ113:FG116"/>
    </sheetView>
  </sheetViews>
  <sheetFormatPr defaultColWidth="14.5" defaultRowHeight="24.75" customHeight="1"/>
  <cols>
    <col min="1" max="1" width="7.375" style="67" customWidth="1"/>
    <col min="2" max="2" width="24.125" style="67" customWidth="1"/>
    <col min="3" max="3" width="24.875" style="188" customWidth="1"/>
    <col min="4" max="4" width="7.125" style="88" customWidth="1"/>
    <col min="5" max="5" width="9.125" style="162" customWidth="1"/>
    <col min="6" max="6" width="38.5" style="88" customWidth="1"/>
    <col min="7" max="7" width="10.25" style="88" customWidth="1"/>
    <col min="8" max="16384" width="14.5" style="67"/>
  </cols>
  <sheetData>
    <row r="1" spans="1:7" ht="33" customHeight="1">
      <c r="A1" s="87" t="s">
        <v>892</v>
      </c>
      <c r="B1" s="87"/>
      <c r="G1" s="111" t="str">
        <f>갑!B10</f>
        <v>김제시 죽산면 죽산로126(구 새마을 금고)내·외부공사</v>
      </c>
    </row>
    <row r="2" spans="1:7" ht="36" customHeight="1">
      <c r="A2" s="89" t="s">
        <v>17</v>
      </c>
      <c r="B2" s="89" t="s">
        <v>0</v>
      </c>
      <c r="C2" s="189" t="s">
        <v>1</v>
      </c>
      <c r="D2" s="89" t="s">
        <v>3</v>
      </c>
      <c r="E2" s="163" t="s">
        <v>5</v>
      </c>
      <c r="F2" s="89" t="s">
        <v>6</v>
      </c>
      <c r="G2" s="89" t="s">
        <v>8</v>
      </c>
    </row>
    <row r="3" spans="1:7" ht="25.5" customHeight="1">
      <c r="A3" s="90">
        <v>1</v>
      </c>
      <c r="B3" s="91" t="s">
        <v>879</v>
      </c>
      <c r="C3" s="190"/>
      <c r="D3" s="92"/>
      <c r="E3" s="164"/>
      <c r="F3" s="92"/>
      <c r="G3" s="92"/>
    </row>
    <row r="4" spans="1:7" ht="25.5" customHeight="1">
      <c r="A4" s="100"/>
      <c r="B4" s="93" t="s">
        <v>880</v>
      </c>
      <c r="C4" s="191" t="s">
        <v>885</v>
      </c>
      <c r="D4" s="94" t="s">
        <v>375</v>
      </c>
      <c r="E4" s="165">
        <f>4.725</f>
        <v>4.7249999999999996</v>
      </c>
      <c r="F4" s="94" t="s">
        <v>883</v>
      </c>
      <c r="G4" s="94" t="s">
        <v>884</v>
      </c>
    </row>
    <row r="5" spans="1:7" ht="25.5" customHeight="1">
      <c r="A5" s="100"/>
      <c r="B5" s="93" t="s">
        <v>881</v>
      </c>
      <c r="C5" s="191" t="s">
        <v>886</v>
      </c>
      <c r="D5" s="94" t="s">
        <v>375</v>
      </c>
      <c r="E5" s="165">
        <f>7.36</f>
        <v>7.36</v>
      </c>
      <c r="F5" s="94" t="s">
        <v>882</v>
      </c>
      <c r="G5" s="94" t="s">
        <v>884</v>
      </c>
    </row>
    <row r="6" spans="1:7" ht="25.5" customHeight="1">
      <c r="A6" s="100"/>
      <c r="B6" s="93" t="s">
        <v>880</v>
      </c>
      <c r="C6" s="191" t="s">
        <v>887</v>
      </c>
      <c r="D6" s="94" t="s">
        <v>500</v>
      </c>
      <c r="E6" s="165">
        <f>7.09</f>
        <v>7.09</v>
      </c>
      <c r="F6" s="94" t="s">
        <v>890</v>
      </c>
      <c r="G6" s="94" t="s">
        <v>889</v>
      </c>
    </row>
    <row r="7" spans="1:7" ht="25.5" customHeight="1">
      <c r="A7" s="100"/>
      <c r="B7" s="93" t="s">
        <v>880</v>
      </c>
      <c r="C7" s="191" t="s">
        <v>888</v>
      </c>
      <c r="D7" s="94" t="s">
        <v>500</v>
      </c>
      <c r="E7" s="165">
        <f>2.8</f>
        <v>2.8</v>
      </c>
      <c r="F7" s="94" t="s">
        <v>891</v>
      </c>
      <c r="G7" s="94" t="s">
        <v>889</v>
      </c>
    </row>
    <row r="8" spans="1:7" ht="25.5" customHeight="1">
      <c r="A8" s="100"/>
      <c r="B8" s="93"/>
      <c r="C8" s="191"/>
      <c r="D8" s="94"/>
      <c r="E8" s="165"/>
      <c r="F8" s="94"/>
      <c r="G8" s="94"/>
    </row>
    <row r="9" spans="1:7" ht="25.5" customHeight="1">
      <c r="A9" s="100"/>
      <c r="B9" s="93"/>
      <c r="C9" s="191"/>
      <c r="D9" s="94"/>
      <c r="E9" s="165"/>
      <c r="F9" s="94"/>
      <c r="G9" s="94"/>
    </row>
    <row r="10" spans="1:7" ht="25.5" customHeight="1">
      <c r="A10" s="100"/>
      <c r="B10" s="93"/>
      <c r="C10" s="191"/>
      <c r="D10" s="94"/>
      <c r="E10" s="165"/>
      <c r="F10" s="94"/>
      <c r="G10" s="94"/>
    </row>
    <row r="11" spans="1:7" ht="25.5" customHeight="1">
      <c r="A11" s="100"/>
      <c r="B11" s="93"/>
      <c r="C11" s="191"/>
      <c r="D11" s="94"/>
      <c r="E11" s="165"/>
      <c r="F11" s="94"/>
      <c r="G11" s="94"/>
    </row>
    <row r="12" spans="1:7" ht="25.5" customHeight="1">
      <c r="A12" s="100"/>
      <c r="B12" s="93"/>
      <c r="C12" s="191"/>
      <c r="D12" s="94"/>
      <c r="E12" s="165"/>
      <c r="F12" s="94"/>
      <c r="G12" s="94"/>
    </row>
    <row r="13" spans="1:7" ht="25.5" customHeight="1">
      <c r="A13" s="100"/>
      <c r="B13" s="93"/>
      <c r="C13" s="191"/>
      <c r="D13" s="94"/>
      <c r="E13" s="165"/>
      <c r="F13" s="94"/>
      <c r="G13" s="94"/>
    </row>
    <row r="14" spans="1:7" ht="25.5" customHeight="1">
      <c r="A14" s="100"/>
      <c r="B14" s="93"/>
      <c r="C14" s="191"/>
      <c r="D14" s="94"/>
      <c r="E14" s="165"/>
      <c r="F14" s="94"/>
      <c r="G14" s="94"/>
    </row>
    <row r="15" spans="1:7" ht="25.5" customHeight="1">
      <c r="A15" s="100"/>
      <c r="B15" s="93"/>
      <c r="C15" s="191"/>
      <c r="D15" s="94"/>
      <c r="E15" s="165"/>
      <c r="F15" s="94"/>
      <c r="G15" s="94"/>
    </row>
    <row r="16" spans="1:7" ht="25.5" customHeight="1">
      <c r="A16" s="100"/>
      <c r="B16" s="93"/>
      <c r="C16" s="191"/>
      <c r="D16" s="94"/>
      <c r="E16" s="165"/>
      <c r="F16" s="94"/>
      <c r="G16" s="94"/>
    </row>
    <row r="17" spans="1:7" ht="25.5" customHeight="1">
      <c r="A17" s="100"/>
      <c r="B17" s="93"/>
      <c r="C17" s="191"/>
      <c r="D17" s="94"/>
      <c r="E17" s="165"/>
      <c r="F17" s="94"/>
      <c r="G17" s="94"/>
    </row>
    <row r="18" spans="1:7" ht="25.5" customHeight="1">
      <c r="A18" s="100"/>
      <c r="B18" s="93"/>
      <c r="C18" s="191"/>
      <c r="D18" s="94"/>
      <c r="E18" s="165"/>
      <c r="F18" s="94"/>
      <c r="G18" s="94"/>
    </row>
    <row r="19" spans="1:7" ht="25.5" customHeight="1"/>
  </sheetData>
  <autoFilter ref="A2:G18"/>
  <phoneticPr fontId="2" type="noConversion"/>
  <pageMargins left="0.70866141732283472" right="0.54" top="0.74803149606299213" bottom="0.6" header="0.31496062992125984" footer="0.31496062992125984"/>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M122"/>
  <sheetViews>
    <sheetView zoomScaleNormal="100" workbookViewId="0">
      <pane ySplit="2" topLeftCell="A19" activePane="bottomLeft" state="frozen"/>
      <selection activeCell="DJ113" sqref="DJ113:FG116"/>
      <selection pane="bottomLeft" activeCell="DJ113" sqref="DJ113:FG116"/>
    </sheetView>
  </sheetViews>
  <sheetFormatPr defaultColWidth="14.5" defaultRowHeight="24.75" customHeight="1"/>
  <cols>
    <col min="1" max="1" width="7.375" style="67" customWidth="1"/>
    <col min="2" max="2" width="24.125" style="67" customWidth="1"/>
    <col min="3" max="3" width="24.875" style="188" customWidth="1"/>
    <col min="4" max="4" width="7.125" style="88" customWidth="1"/>
    <col min="5" max="5" width="9.125" style="162" customWidth="1"/>
    <col min="6" max="6" width="38.5" style="88" customWidth="1"/>
    <col min="7" max="7" width="10.25" style="88" customWidth="1"/>
    <col min="8" max="16384" width="14.5" style="67"/>
  </cols>
  <sheetData>
    <row r="1" spans="1:7" ht="33" customHeight="1">
      <c r="A1" s="87" t="s">
        <v>374</v>
      </c>
      <c r="B1" s="87"/>
      <c r="G1" s="111" t="str">
        <f>갑!B10</f>
        <v>김제시 죽산면 죽산로126(구 새마을 금고)내·외부공사</v>
      </c>
    </row>
    <row r="2" spans="1:7" ht="36" customHeight="1">
      <c r="A2" s="89" t="s">
        <v>17</v>
      </c>
      <c r="B2" s="89" t="s">
        <v>0</v>
      </c>
      <c r="C2" s="189" t="s">
        <v>1</v>
      </c>
      <c r="D2" s="89" t="s">
        <v>3</v>
      </c>
      <c r="E2" s="163" t="s">
        <v>5</v>
      </c>
      <c r="F2" s="89" t="s">
        <v>6</v>
      </c>
      <c r="G2" s="89" t="s">
        <v>8</v>
      </c>
    </row>
    <row r="3" spans="1:7" ht="25.5" customHeight="1">
      <c r="A3" s="90">
        <v>1</v>
      </c>
      <c r="B3" s="91" t="s">
        <v>18</v>
      </c>
      <c r="C3" s="190"/>
      <c r="D3" s="92"/>
      <c r="E3" s="164"/>
      <c r="F3" s="92"/>
      <c r="G3" s="92"/>
    </row>
    <row r="4" spans="1:7" ht="25.5" customHeight="1">
      <c r="A4" s="100"/>
      <c r="B4" s="93" t="s">
        <v>425</v>
      </c>
      <c r="C4" s="191" t="s">
        <v>426</v>
      </c>
      <c r="D4" s="94" t="s">
        <v>427</v>
      </c>
      <c r="E4" s="165">
        <v>1</v>
      </c>
      <c r="F4" s="94" t="s">
        <v>428</v>
      </c>
      <c r="G4" s="94"/>
    </row>
    <row r="5" spans="1:7" ht="25.5" customHeight="1">
      <c r="A5" s="100"/>
      <c r="B5" s="93"/>
      <c r="C5" s="191"/>
      <c r="D5" s="94"/>
      <c r="E5" s="165"/>
      <c r="F5" s="94"/>
      <c r="G5" s="94"/>
    </row>
    <row r="6" spans="1:7" ht="25.5" customHeight="1">
      <c r="A6" s="100"/>
      <c r="B6" s="93"/>
      <c r="C6" s="191"/>
      <c r="D6" s="94"/>
      <c r="E6" s="165"/>
      <c r="F6" s="94"/>
      <c r="G6" s="94"/>
    </row>
    <row r="7" spans="1:7" ht="25.5" customHeight="1">
      <c r="A7" s="100"/>
      <c r="B7" s="93"/>
      <c r="C7" s="191"/>
      <c r="D7" s="94"/>
      <c r="E7" s="165"/>
      <c r="F7" s="94"/>
      <c r="G7" s="94"/>
    </row>
    <row r="8" spans="1:7" ht="25.5" customHeight="1">
      <c r="A8" s="100"/>
      <c r="B8" s="93"/>
      <c r="C8" s="191"/>
      <c r="D8" s="94"/>
      <c r="E8" s="165"/>
      <c r="F8" s="94"/>
      <c r="G8" s="94"/>
    </row>
    <row r="9" spans="1:7" ht="25.5" customHeight="1">
      <c r="A9" s="100"/>
      <c r="B9" s="93"/>
      <c r="C9" s="191"/>
      <c r="D9" s="94"/>
      <c r="E9" s="165"/>
      <c r="F9" s="94"/>
      <c r="G9" s="94"/>
    </row>
    <row r="10" spans="1:7" ht="25.5" customHeight="1">
      <c r="A10" s="100"/>
      <c r="B10" s="93"/>
      <c r="C10" s="191"/>
      <c r="D10" s="94"/>
      <c r="E10" s="165"/>
      <c r="F10" s="94"/>
      <c r="G10" s="94"/>
    </row>
    <row r="11" spans="1:7" ht="25.5" customHeight="1">
      <c r="A11" s="100"/>
      <c r="B11" s="93"/>
      <c r="C11" s="191"/>
      <c r="D11" s="94"/>
      <c r="E11" s="165"/>
      <c r="F11" s="94"/>
      <c r="G11" s="94"/>
    </row>
    <row r="12" spans="1:7" ht="25.5" customHeight="1">
      <c r="A12" s="100"/>
      <c r="B12" s="93"/>
      <c r="C12" s="191"/>
      <c r="D12" s="94"/>
      <c r="E12" s="165"/>
      <c r="F12" s="94"/>
      <c r="G12" s="94"/>
    </row>
    <row r="13" spans="1:7" ht="25.5" customHeight="1">
      <c r="A13" s="100"/>
      <c r="B13" s="93"/>
      <c r="C13" s="191"/>
      <c r="D13" s="94"/>
      <c r="E13" s="165"/>
      <c r="F13" s="94"/>
      <c r="G13" s="94"/>
    </row>
    <row r="14" spans="1:7" ht="25.5" customHeight="1">
      <c r="A14" s="100"/>
      <c r="B14" s="93"/>
      <c r="C14" s="191"/>
      <c r="D14" s="94"/>
      <c r="E14" s="165"/>
      <c r="F14" s="94"/>
      <c r="G14" s="94"/>
    </row>
    <row r="15" spans="1:7" ht="25.5" customHeight="1">
      <c r="A15" s="100"/>
      <c r="B15" s="93"/>
      <c r="C15" s="191"/>
      <c r="D15" s="94"/>
      <c r="E15" s="165"/>
      <c r="F15" s="94"/>
      <c r="G15" s="94"/>
    </row>
    <row r="16" spans="1:7" ht="25.5" customHeight="1">
      <c r="A16" s="100"/>
      <c r="B16" s="93"/>
      <c r="C16" s="191"/>
      <c r="D16" s="94"/>
      <c r="E16" s="165"/>
      <c r="F16" s="94"/>
      <c r="G16" s="94"/>
    </row>
    <row r="17" spans="1:7" ht="25.5" customHeight="1">
      <c r="A17" s="100"/>
      <c r="B17" s="93"/>
      <c r="C17" s="191"/>
      <c r="D17" s="94"/>
      <c r="E17" s="165"/>
      <c r="F17" s="94"/>
      <c r="G17" s="94"/>
    </row>
    <row r="18" spans="1:7" ht="25.5" customHeight="1">
      <c r="A18" s="100"/>
      <c r="B18" s="93"/>
      <c r="C18" s="191"/>
      <c r="D18" s="94"/>
      <c r="E18" s="165"/>
      <c r="F18" s="94"/>
      <c r="G18" s="94"/>
    </row>
    <row r="19" spans="1:7" ht="25.5" customHeight="1">
      <c r="A19" s="90">
        <f>A3+1</f>
        <v>2</v>
      </c>
      <c r="B19" s="91" t="s">
        <v>19</v>
      </c>
      <c r="C19" s="190"/>
      <c r="D19" s="92"/>
      <c r="E19" s="164"/>
      <c r="F19" s="92"/>
      <c r="G19" s="92"/>
    </row>
    <row r="20" spans="1:7" ht="25.5" customHeight="1">
      <c r="A20" s="100"/>
      <c r="B20" s="93" t="s">
        <v>432</v>
      </c>
      <c r="C20" s="191" t="s">
        <v>434</v>
      </c>
      <c r="D20" s="94" t="s">
        <v>391</v>
      </c>
      <c r="E20" s="165">
        <f>9.13*0.4</f>
        <v>3.6520000000000006</v>
      </c>
      <c r="F20" s="94" t="s">
        <v>874</v>
      </c>
      <c r="G20" s="167" t="s">
        <v>875</v>
      </c>
    </row>
    <row r="21" spans="1:7" ht="25.5" customHeight="1">
      <c r="A21" s="100"/>
      <c r="B21" s="93" t="s">
        <v>382</v>
      </c>
      <c r="C21" s="191" t="s">
        <v>384</v>
      </c>
      <c r="D21" s="94" t="s">
        <v>379</v>
      </c>
      <c r="E21" s="165">
        <v>1</v>
      </c>
      <c r="F21" s="94" t="s">
        <v>385</v>
      </c>
      <c r="G21" s="167">
        <f>2.475*3.28</f>
        <v>8.1180000000000003</v>
      </c>
    </row>
    <row r="22" spans="1:7" ht="25.5" customHeight="1">
      <c r="A22" s="100"/>
      <c r="B22" s="93" t="s">
        <v>382</v>
      </c>
      <c r="C22" s="191" t="s">
        <v>414</v>
      </c>
      <c r="D22" s="94" t="s">
        <v>379</v>
      </c>
      <c r="E22" s="165">
        <v>1</v>
      </c>
      <c r="F22" s="94" t="s">
        <v>385</v>
      </c>
      <c r="G22" s="167">
        <f>0.92*3.28</f>
        <v>3.0175999999999998</v>
      </c>
    </row>
    <row r="23" spans="1:7" ht="25.5" customHeight="1">
      <c r="A23" s="100"/>
      <c r="B23" s="93" t="s">
        <v>923</v>
      </c>
      <c r="C23" s="191" t="s">
        <v>925</v>
      </c>
      <c r="D23" s="94" t="s">
        <v>379</v>
      </c>
      <c r="E23" s="165">
        <v>1</v>
      </c>
      <c r="F23" s="94" t="s">
        <v>924</v>
      </c>
      <c r="G23" s="167"/>
    </row>
    <row r="24" spans="1:7" ht="25.5" customHeight="1">
      <c r="A24" s="100"/>
      <c r="B24" s="93" t="s">
        <v>404</v>
      </c>
      <c r="C24" s="191" t="s">
        <v>377</v>
      </c>
      <c r="D24" s="94" t="s">
        <v>379</v>
      </c>
      <c r="E24" s="165">
        <v>4</v>
      </c>
      <c r="F24" s="94" t="s">
        <v>380</v>
      </c>
      <c r="G24" s="167">
        <f>1.485*2.175</f>
        <v>3.2298749999999998</v>
      </c>
    </row>
    <row r="25" spans="1:7" ht="25.5" customHeight="1">
      <c r="A25" s="100"/>
      <c r="B25" s="93" t="s">
        <v>404</v>
      </c>
      <c r="C25" s="191" t="s">
        <v>416</v>
      </c>
      <c r="D25" s="94" t="s">
        <v>379</v>
      </c>
      <c r="E25" s="165">
        <v>1</v>
      </c>
      <c r="F25" s="94" t="s">
        <v>386</v>
      </c>
      <c r="G25" s="167">
        <f>3.845*2.345</f>
        <v>9.0165250000000015</v>
      </c>
    </row>
    <row r="26" spans="1:7" ht="25.5" customHeight="1">
      <c r="A26" s="100"/>
      <c r="B26" s="93" t="s">
        <v>406</v>
      </c>
      <c r="C26" s="191" t="s">
        <v>408</v>
      </c>
      <c r="D26" s="94" t="s">
        <v>379</v>
      </c>
      <c r="E26" s="165">
        <v>1</v>
      </c>
      <c r="F26" s="94" t="s">
        <v>422</v>
      </c>
      <c r="G26" s="167">
        <f>0.83*0.92</f>
        <v>0.76359999999999995</v>
      </c>
    </row>
    <row r="27" spans="1:7" ht="25.5" customHeight="1">
      <c r="A27" s="100"/>
      <c r="B27" s="93" t="s">
        <v>406</v>
      </c>
      <c r="C27" s="191" t="s">
        <v>410</v>
      </c>
      <c r="D27" s="94" t="s">
        <v>379</v>
      </c>
      <c r="E27" s="165">
        <v>2</v>
      </c>
      <c r="F27" s="94" t="s">
        <v>422</v>
      </c>
      <c r="G27" s="167">
        <f>0.9*0.9</f>
        <v>0.81</v>
      </c>
    </row>
    <row r="28" spans="1:7" ht="25.5" customHeight="1">
      <c r="A28" s="100"/>
      <c r="B28" s="93" t="s">
        <v>406</v>
      </c>
      <c r="C28" s="191" t="s">
        <v>412</v>
      </c>
      <c r="D28" s="94" t="s">
        <v>379</v>
      </c>
      <c r="E28" s="165">
        <v>1</v>
      </c>
      <c r="F28" s="94" t="s">
        <v>422</v>
      </c>
      <c r="G28" s="167">
        <f>1.2*2.49</f>
        <v>2.988</v>
      </c>
    </row>
    <row r="29" spans="1:7" ht="25.5" customHeight="1">
      <c r="A29" s="100"/>
      <c r="B29" s="93" t="s">
        <v>418</v>
      </c>
      <c r="C29" s="191" t="s">
        <v>420</v>
      </c>
      <c r="D29" s="94" t="s">
        <v>379</v>
      </c>
      <c r="E29" s="165">
        <v>1</v>
      </c>
      <c r="F29" s="94" t="s">
        <v>421</v>
      </c>
      <c r="G29" s="167">
        <f>1.495*2.47</f>
        <v>3.6926500000000004</v>
      </c>
    </row>
    <row r="30" spans="1:7" ht="25.5" customHeight="1">
      <c r="A30" s="100"/>
      <c r="B30" s="93" t="s">
        <v>418</v>
      </c>
      <c r="C30" s="191" t="s">
        <v>424</v>
      </c>
      <c r="D30" s="94" t="s">
        <v>379</v>
      </c>
      <c r="E30" s="165">
        <v>1</v>
      </c>
      <c r="F30" s="94" t="s">
        <v>421</v>
      </c>
      <c r="G30" s="167">
        <f>1.395*1.395</f>
        <v>1.9460250000000001</v>
      </c>
    </row>
    <row r="31" spans="1:7" ht="25.5" customHeight="1">
      <c r="A31" s="100"/>
      <c r="B31" s="93" t="s">
        <v>388</v>
      </c>
      <c r="C31" s="191" t="s">
        <v>390</v>
      </c>
      <c r="D31" s="94" t="s">
        <v>391</v>
      </c>
      <c r="E31" s="165">
        <f>(9.13*3.4)-(0.92*3.4+2.475*3.4+3.845*2.345)+0.6*3.4*8</f>
        <v>26.802475000000001</v>
      </c>
      <c r="F31" s="94" t="s">
        <v>392</v>
      </c>
      <c r="G31" s="167"/>
    </row>
    <row r="32" spans="1:7" ht="25.5" customHeight="1">
      <c r="A32" s="100"/>
      <c r="B32" s="93" t="s">
        <v>394</v>
      </c>
      <c r="C32" s="191" t="s">
        <v>396</v>
      </c>
      <c r="D32" s="94" t="s">
        <v>397</v>
      </c>
      <c r="E32" s="165">
        <f>(4.5*3.34*26.8)/1000</f>
        <v>0.402804</v>
      </c>
      <c r="F32" s="94" t="s">
        <v>398</v>
      </c>
      <c r="G32" s="167"/>
    </row>
    <row r="33" spans="1:7" ht="25.5" customHeight="1">
      <c r="A33" s="100"/>
      <c r="B33" s="93" t="s">
        <v>400</v>
      </c>
      <c r="C33" s="191" t="s">
        <v>402</v>
      </c>
      <c r="D33" s="94" t="s">
        <v>391</v>
      </c>
      <c r="E33" s="165">
        <f>(9.13*3.4)-(0.92*3.4+2.475*3.4+3.845*2.345)+0.6*3.4*8</f>
        <v>26.802475000000001</v>
      </c>
      <c r="F33" s="166" t="s">
        <v>392</v>
      </c>
      <c r="G33" s="167"/>
    </row>
    <row r="34" spans="1:7" ht="25.5" customHeight="1">
      <c r="A34" s="100"/>
      <c r="B34" s="93" t="s">
        <v>509</v>
      </c>
      <c r="C34" s="191" t="s">
        <v>511</v>
      </c>
      <c r="D34" s="94" t="s">
        <v>512</v>
      </c>
      <c r="E34" s="165">
        <f>1.5*0.3*0.3</f>
        <v>0.13499999999999998</v>
      </c>
      <c r="F34" s="94" t="s">
        <v>513</v>
      </c>
      <c r="G34" s="167"/>
    </row>
    <row r="35" spans="1:7" ht="25.5" customHeight="1">
      <c r="A35" s="100"/>
      <c r="B35" s="93" t="s">
        <v>687</v>
      </c>
      <c r="C35" s="93" t="s">
        <v>334</v>
      </c>
      <c r="D35" s="94" t="s">
        <v>159</v>
      </c>
      <c r="E35" s="165">
        <f>G107</f>
        <v>1.9499172541200001</v>
      </c>
      <c r="F35" s="94" t="s">
        <v>688</v>
      </c>
      <c r="G35" s="94"/>
    </row>
    <row r="36" spans="1:7" ht="25.5" customHeight="1">
      <c r="A36" s="90">
        <f>A19+1</f>
        <v>3</v>
      </c>
      <c r="B36" s="91" t="s">
        <v>878</v>
      </c>
      <c r="C36" s="190"/>
      <c r="D36" s="92"/>
      <c r="E36" s="164"/>
      <c r="F36" s="92"/>
      <c r="G36" s="92"/>
    </row>
    <row r="37" spans="1:7" ht="25.5" customHeight="1">
      <c r="A37" s="100"/>
      <c r="B37" s="93" t="s">
        <v>429</v>
      </c>
      <c r="C37" s="191" t="s">
        <v>430</v>
      </c>
      <c r="D37" s="94" t="s">
        <v>391</v>
      </c>
      <c r="E37" s="165">
        <f>(9.13*3.4)-(0.92*3.4+2.475*3.4+3.845*2.345)+0.6*3.4*8+3.65</f>
        <v>30.452475</v>
      </c>
      <c r="F37" s="94" t="s">
        <v>877</v>
      </c>
      <c r="G37" s="166" t="s">
        <v>876</v>
      </c>
    </row>
    <row r="38" spans="1:7" ht="25.5" customHeight="1">
      <c r="A38" s="100"/>
      <c r="B38" s="93" t="s">
        <v>674</v>
      </c>
      <c r="C38" s="191" t="s">
        <v>675</v>
      </c>
      <c r="D38" s="94" t="s">
        <v>438</v>
      </c>
      <c r="E38" s="165">
        <v>1</v>
      </c>
      <c r="F38" s="94" t="s">
        <v>676</v>
      </c>
      <c r="G38" s="94"/>
    </row>
    <row r="39" spans="1:7" ht="25.5" customHeight="1">
      <c r="A39" s="100"/>
      <c r="B39" s="93" t="s">
        <v>435</v>
      </c>
      <c r="C39" s="191" t="s">
        <v>436</v>
      </c>
      <c r="D39" s="94" t="s">
        <v>438</v>
      </c>
      <c r="E39" s="165">
        <v>1</v>
      </c>
      <c r="F39" s="94" t="s">
        <v>439</v>
      </c>
      <c r="G39" s="94"/>
    </row>
    <row r="40" spans="1:7" ht="25.5" customHeight="1">
      <c r="A40" s="100"/>
      <c r="B40" s="93"/>
      <c r="C40" s="191"/>
      <c r="D40" s="94"/>
      <c r="E40" s="165"/>
      <c r="F40" s="94"/>
      <c r="G40" s="94"/>
    </row>
    <row r="41" spans="1:7" ht="25.5" customHeight="1">
      <c r="A41" s="100"/>
      <c r="B41" s="93"/>
      <c r="C41" s="191"/>
      <c r="D41" s="94"/>
      <c r="E41" s="165"/>
      <c r="F41" s="94"/>
      <c r="G41" s="94"/>
    </row>
    <row r="42" spans="1:7" ht="25.5" customHeight="1">
      <c r="A42" s="100"/>
      <c r="B42" s="93"/>
      <c r="C42" s="191"/>
      <c r="D42" s="94"/>
      <c r="E42" s="165"/>
      <c r="F42" s="94"/>
      <c r="G42" s="94"/>
    </row>
    <row r="43" spans="1:7" ht="25.5" customHeight="1">
      <c r="A43" s="100"/>
      <c r="B43" s="93"/>
      <c r="C43" s="191"/>
      <c r="D43" s="94"/>
      <c r="E43" s="165"/>
      <c r="F43" s="94"/>
      <c r="G43" s="94"/>
    </row>
    <row r="44" spans="1:7" ht="25.5" customHeight="1">
      <c r="A44" s="100"/>
      <c r="B44" s="93"/>
      <c r="C44" s="191"/>
      <c r="D44" s="94"/>
      <c r="E44" s="165"/>
      <c r="F44" s="94"/>
      <c r="G44" s="94"/>
    </row>
    <row r="45" spans="1:7" ht="25.5" customHeight="1">
      <c r="A45" s="100"/>
      <c r="B45" s="93"/>
      <c r="C45" s="191"/>
      <c r="D45" s="94"/>
      <c r="E45" s="165"/>
      <c r="F45" s="94"/>
      <c r="G45" s="94"/>
    </row>
    <row r="46" spans="1:7" ht="25.5" customHeight="1">
      <c r="A46" s="100"/>
      <c r="B46" s="93"/>
      <c r="C46" s="191"/>
      <c r="D46" s="94"/>
      <c r="E46" s="165"/>
      <c r="F46" s="94"/>
      <c r="G46" s="94"/>
    </row>
    <row r="47" spans="1:7" ht="25.5" customHeight="1">
      <c r="A47" s="100"/>
      <c r="B47" s="93"/>
      <c r="C47" s="191"/>
      <c r="D47" s="94"/>
      <c r="E47" s="165"/>
      <c r="F47" s="94"/>
      <c r="G47" s="94"/>
    </row>
    <row r="48" spans="1:7" ht="25.5" customHeight="1">
      <c r="A48" s="100"/>
      <c r="B48" s="93"/>
      <c r="C48" s="191"/>
      <c r="D48" s="94"/>
      <c r="E48" s="165"/>
      <c r="F48" s="94"/>
      <c r="G48" s="94"/>
    </row>
    <row r="49" spans="1:13" ht="25.5" customHeight="1">
      <c r="A49" s="100"/>
      <c r="B49" s="93"/>
      <c r="C49" s="191"/>
      <c r="D49" s="94"/>
      <c r="E49" s="165"/>
      <c r="F49" s="94"/>
      <c r="G49" s="94"/>
    </row>
    <row r="50" spans="1:13" ht="25.5" customHeight="1">
      <c r="A50" s="100"/>
      <c r="B50" s="93"/>
      <c r="C50" s="191"/>
      <c r="D50" s="94"/>
      <c r="E50" s="165"/>
      <c r="F50" s="94"/>
      <c r="G50" s="94"/>
    </row>
    <row r="51" spans="1:13" ht="25.5" customHeight="1">
      <c r="A51" s="100"/>
      <c r="B51" s="93"/>
      <c r="C51" s="191"/>
      <c r="D51" s="94"/>
      <c r="E51" s="165"/>
      <c r="F51" s="94"/>
      <c r="G51" s="94"/>
    </row>
    <row r="52" spans="1:13" ht="25.5" customHeight="1">
      <c r="A52" s="90">
        <f>A36+1</f>
        <v>4</v>
      </c>
      <c r="B52" s="91" t="s">
        <v>440</v>
      </c>
      <c r="C52" s="190"/>
      <c r="D52" s="92"/>
      <c r="E52" s="164"/>
      <c r="F52" s="92"/>
      <c r="G52" s="92"/>
    </row>
    <row r="53" spans="1:13" ht="25.5" customHeight="1">
      <c r="A53" s="100" t="s">
        <v>442</v>
      </c>
      <c r="B53" s="93" t="s">
        <v>441</v>
      </c>
      <c r="C53" s="191" t="s">
        <v>954</v>
      </c>
      <c r="D53" s="94" t="s">
        <v>438</v>
      </c>
      <c r="E53" s="165">
        <v>1</v>
      </c>
      <c r="F53" s="94" t="s">
        <v>485</v>
      </c>
      <c r="G53" s="169">
        <f t="shared" ref="G53:G67" si="0">I53/1000*J53/1000</f>
        <v>1.9460250000000001</v>
      </c>
      <c r="H53" s="67">
        <f>I53*2/1000+J53*2/1000</f>
        <v>5.58</v>
      </c>
      <c r="I53" s="67">
        <v>1395</v>
      </c>
      <c r="J53" s="67">
        <v>1395</v>
      </c>
      <c r="K53" s="67" t="s">
        <v>486</v>
      </c>
      <c r="L53" s="67" t="s">
        <v>487</v>
      </c>
      <c r="M53" s="67" t="s">
        <v>488</v>
      </c>
    </row>
    <row r="54" spans="1:13" ht="25.5" customHeight="1">
      <c r="A54" s="100" t="s">
        <v>443</v>
      </c>
      <c r="B54" s="93" t="s">
        <v>441</v>
      </c>
      <c r="C54" s="191" t="s">
        <v>448</v>
      </c>
      <c r="D54" s="94" t="s">
        <v>438</v>
      </c>
      <c r="E54" s="165">
        <v>1</v>
      </c>
      <c r="F54" s="94" t="s">
        <v>485</v>
      </c>
      <c r="G54" s="169">
        <f t="shared" si="0"/>
        <v>3.72255</v>
      </c>
      <c r="H54" s="67">
        <f t="shared" ref="H54:H68" si="1">I54*2/1000+J54*2/1000</f>
        <v>7.9700000000000006</v>
      </c>
      <c r="I54" s="67">
        <v>1495</v>
      </c>
      <c r="J54" s="67">
        <v>2490</v>
      </c>
      <c r="K54" s="67" t="s">
        <v>486</v>
      </c>
      <c r="L54" s="67" t="s">
        <v>487</v>
      </c>
      <c r="M54" s="67" t="s">
        <v>488</v>
      </c>
    </row>
    <row r="55" spans="1:13" ht="25.5" customHeight="1">
      <c r="A55" s="100" t="s">
        <v>444</v>
      </c>
      <c r="B55" s="93" t="s">
        <v>449</v>
      </c>
      <c r="C55" s="191" t="s">
        <v>450</v>
      </c>
      <c r="D55" s="94" t="s">
        <v>438</v>
      </c>
      <c r="E55" s="165">
        <v>1</v>
      </c>
      <c r="F55" s="94" t="s">
        <v>485</v>
      </c>
      <c r="G55" s="169">
        <f t="shared" si="0"/>
        <v>3.1274999999999999</v>
      </c>
      <c r="H55" s="67">
        <f t="shared" si="1"/>
        <v>7.17</v>
      </c>
      <c r="I55" s="67">
        <v>1500</v>
      </c>
      <c r="J55" s="67">
        <v>2085</v>
      </c>
      <c r="K55" s="67" t="s">
        <v>486</v>
      </c>
      <c r="L55" s="67" t="s">
        <v>487</v>
      </c>
      <c r="M55" s="67" t="s">
        <v>488</v>
      </c>
    </row>
    <row r="56" spans="1:13" ht="25.5" customHeight="1">
      <c r="A56" s="100" t="s">
        <v>445</v>
      </c>
      <c r="B56" s="93" t="s">
        <v>449</v>
      </c>
      <c r="C56" s="191" t="s">
        <v>451</v>
      </c>
      <c r="D56" s="94" t="s">
        <v>438</v>
      </c>
      <c r="E56" s="165">
        <v>2</v>
      </c>
      <c r="F56" s="94" t="s">
        <v>485</v>
      </c>
      <c r="G56" s="169">
        <f t="shared" si="0"/>
        <v>3.1170750000000003</v>
      </c>
      <c r="H56" s="67">
        <f t="shared" si="1"/>
        <v>7.16</v>
      </c>
      <c r="I56" s="67">
        <v>1495</v>
      </c>
      <c r="J56" s="67">
        <v>2085</v>
      </c>
      <c r="K56" s="67" t="s">
        <v>486</v>
      </c>
      <c r="L56" s="67" t="s">
        <v>487</v>
      </c>
      <c r="M56" s="67" t="s">
        <v>488</v>
      </c>
    </row>
    <row r="57" spans="1:13" ht="25.5" customHeight="1">
      <c r="A57" s="100" t="s">
        <v>446</v>
      </c>
      <c r="B57" s="93" t="s">
        <v>449</v>
      </c>
      <c r="C57" s="191" t="s">
        <v>452</v>
      </c>
      <c r="D57" s="94" t="s">
        <v>438</v>
      </c>
      <c r="E57" s="165">
        <v>1</v>
      </c>
      <c r="F57" s="94" t="s">
        <v>485</v>
      </c>
      <c r="G57" s="169">
        <f t="shared" si="0"/>
        <v>3.0962250000000004</v>
      </c>
      <c r="H57" s="67">
        <f t="shared" si="1"/>
        <v>7.1400000000000006</v>
      </c>
      <c r="I57" s="67">
        <v>1485</v>
      </c>
      <c r="J57" s="67">
        <v>2085</v>
      </c>
      <c r="K57" s="67" t="s">
        <v>486</v>
      </c>
      <c r="L57" s="67" t="s">
        <v>487</v>
      </c>
      <c r="M57" s="67" t="s">
        <v>488</v>
      </c>
    </row>
    <row r="58" spans="1:13" ht="25.5" customHeight="1">
      <c r="A58" s="100" t="s">
        <v>447</v>
      </c>
      <c r="B58" s="93" t="s">
        <v>441</v>
      </c>
      <c r="C58" s="191" t="s">
        <v>453</v>
      </c>
      <c r="D58" s="94" t="s">
        <v>438</v>
      </c>
      <c r="E58" s="165">
        <v>1</v>
      </c>
      <c r="F58" s="94" t="s">
        <v>485</v>
      </c>
      <c r="G58" s="169">
        <f t="shared" si="0"/>
        <v>2.988</v>
      </c>
      <c r="H58" s="67">
        <f t="shared" si="1"/>
        <v>7.3800000000000008</v>
      </c>
      <c r="I58" s="67">
        <v>1200</v>
      </c>
      <c r="J58" s="67">
        <v>2490</v>
      </c>
      <c r="K58" s="67" t="s">
        <v>486</v>
      </c>
      <c r="L58" s="67" t="s">
        <v>487</v>
      </c>
      <c r="M58" s="67" t="s">
        <v>488</v>
      </c>
    </row>
    <row r="59" spans="1:13" ht="25.5" customHeight="1">
      <c r="A59" s="100" t="s">
        <v>454</v>
      </c>
      <c r="B59" s="93" t="s">
        <v>455</v>
      </c>
      <c r="C59" s="191" t="s">
        <v>456</v>
      </c>
      <c r="D59" s="94" t="s">
        <v>438</v>
      </c>
      <c r="E59" s="165">
        <v>1</v>
      </c>
      <c r="F59" s="94" t="s">
        <v>485</v>
      </c>
      <c r="G59" s="169">
        <f t="shared" si="0"/>
        <v>2.0425</v>
      </c>
      <c r="H59" s="67">
        <f t="shared" si="1"/>
        <v>6.1999999999999993</v>
      </c>
      <c r="I59" s="67">
        <v>950</v>
      </c>
      <c r="J59" s="67">
        <v>2150</v>
      </c>
      <c r="K59" s="67" t="s">
        <v>486</v>
      </c>
      <c r="L59" s="67" t="s">
        <v>487</v>
      </c>
      <c r="M59" s="67" t="s">
        <v>488</v>
      </c>
    </row>
    <row r="60" spans="1:13" ht="25.5" customHeight="1">
      <c r="A60" s="100" t="s">
        <v>457</v>
      </c>
      <c r="B60" s="93" t="s">
        <v>458</v>
      </c>
      <c r="C60" s="191" t="s">
        <v>459</v>
      </c>
      <c r="D60" s="94" t="s">
        <v>438</v>
      </c>
      <c r="E60" s="165">
        <v>1</v>
      </c>
      <c r="F60" s="94" t="s">
        <v>485</v>
      </c>
      <c r="G60" s="169">
        <f t="shared" si="0"/>
        <v>2.2425000000000002</v>
      </c>
      <c r="H60" s="67">
        <f t="shared" si="1"/>
        <v>5.99</v>
      </c>
      <c r="I60" s="67">
        <v>1500</v>
      </c>
      <c r="J60" s="67">
        <v>1495</v>
      </c>
      <c r="K60" s="67" t="s">
        <v>486</v>
      </c>
      <c r="L60" s="67" t="s">
        <v>487</v>
      </c>
      <c r="M60" s="67" t="s">
        <v>488</v>
      </c>
    </row>
    <row r="61" spans="1:13" ht="25.5" customHeight="1">
      <c r="A61" s="100" t="s">
        <v>460</v>
      </c>
      <c r="B61" s="93" t="s">
        <v>441</v>
      </c>
      <c r="C61" s="191" t="s">
        <v>464</v>
      </c>
      <c r="D61" s="94" t="s">
        <v>438</v>
      </c>
      <c r="E61" s="165">
        <v>2</v>
      </c>
      <c r="F61" s="94" t="s">
        <v>485</v>
      </c>
      <c r="G61" s="169">
        <f t="shared" si="0"/>
        <v>0.80100000000000005</v>
      </c>
      <c r="H61" s="67">
        <f t="shared" si="1"/>
        <v>3.58</v>
      </c>
      <c r="I61" s="67">
        <v>900</v>
      </c>
      <c r="J61" s="67">
        <v>890</v>
      </c>
      <c r="K61" s="67" t="s">
        <v>486</v>
      </c>
      <c r="L61" s="67" t="s">
        <v>487</v>
      </c>
      <c r="M61" s="67" t="s">
        <v>488</v>
      </c>
    </row>
    <row r="62" spans="1:13" ht="25.5" customHeight="1">
      <c r="A62" s="100" t="s">
        <v>461</v>
      </c>
      <c r="B62" s="93" t="s">
        <v>441</v>
      </c>
      <c r="C62" s="191" t="s">
        <v>465</v>
      </c>
      <c r="D62" s="94" t="s">
        <v>438</v>
      </c>
      <c r="E62" s="165">
        <v>1</v>
      </c>
      <c r="F62" s="94" t="s">
        <v>485</v>
      </c>
      <c r="G62" s="169">
        <f t="shared" si="0"/>
        <v>0.30615000000000003</v>
      </c>
      <c r="H62" s="67">
        <f t="shared" si="1"/>
        <v>2.35</v>
      </c>
      <c r="I62" s="67">
        <v>785</v>
      </c>
      <c r="J62" s="67">
        <v>390</v>
      </c>
      <c r="K62" s="67" t="s">
        <v>486</v>
      </c>
      <c r="L62" s="67" t="s">
        <v>487</v>
      </c>
      <c r="M62" s="67" t="s">
        <v>488</v>
      </c>
    </row>
    <row r="63" spans="1:13" ht="25.5" customHeight="1">
      <c r="A63" s="100" t="s">
        <v>462</v>
      </c>
      <c r="B63" s="93" t="s">
        <v>468</v>
      </c>
      <c r="C63" s="191" t="s">
        <v>466</v>
      </c>
      <c r="D63" s="94" t="s">
        <v>438</v>
      </c>
      <c r="E63" s="165">
        <v>1</v>
      </c>
      <c r="F63" s="94" t="s">
        <v>485</v>
      </c>
      <c r="G63" s="169">
        <f t="shared" si="0"/>
        <v>0.80012499999999998</v>
      </c>
      <c r="H63" s="67">
        <f t="shared" si="1"/>
        <v>3.58</v>
      </c>
      <c r="I63" s="67">
        <v>865</v>
      </c>
      <c r="J63" s="67">
        <v>925</v>
      </c>
      <c r="K63" s="67" t="s">
        <v>486</v>
      </c>
      <c r="L63" s="67" t="s">
        <v>487</v>
      </c>
      <c r="M63" s="67" t="s">
        <v>488</v>
      </c>
    </row>
    <row r="64" spans="1:13" ht="25.5" customHeight="1">
      <c r="A64" s="100" t="s">
        <v>463</v>
      </c>
      <c r="B64" s="93" t="s">
        <v>468</v>
      </c>
      <c r="C64" s="191" t="s">
        <v>467</v>
      </c>
      <c r="D64" s="94" t="s">
        <v>438</v>
      </c>
      <c r="E64" s="165">
        <v>1</v>
      </c>
      <c r="F64" s="94" t="s">
        <v>485</v>
      </c>
      <c r="G64" s="169">
        <f t="shared" si="0"/>
        <v>0.68040000000000012</v>
      </c>
      <c r="H64" s="67">
        <f t="shared" si="1"/>
        <v>3.3</v>
      </c>
      <c r="I64" s="67">
        <v>810</v>
      </c>
      <c r="J64" s="67">
        <v>840</v>
      </c>
      <c r="K64" s="67" t="s">
        <v>486</v>
      </c>
      <c r="L64" s="67" t="s">
        <v>487</v>
      </c>
      <c r="M64" s="67" t="s">
        <v>488</v>
      </c>
    </row>
    <row r="65" spans="1:13" ht="25.5" customHeight="1">
      <c r="A65" s="100" t="s">
        <v>469</v>
      </c>
      <c r="B65" s="93" t="s">
        <v>470</v>
      </c>
      <c r="C65" s="191" t="s">
        <v>471</v>
      </c>
      <c r="D65" s="94" t="s">
        <v>438</v>
      </c>
      <c r="E65" s="165">
        <v>1</v>
      </c>
      <c r="F65" s="94" t="s">
        <v>485</v>
      </c>
      <c r="G65" s="169">
        <f t="shared" si="0"/>
        <v>8.95885</v>
      </c>
      <c r="H65" s="67">
        <f t="shared" si="1"/>
        <v>12.350000000000001</v>
      </c>
      <c r="I65" s="67">
        <v>3845</v>
      </c>
      <c r="J65" s="67">
        <v>2330</v>
      </c>
      <c r="K65" s="67" t="s">
        <v>489</v>
      </c>
      <c r="L65" s="67" t="s">
        <v>487</v>
      </c>
      <c r="M65" s="67" t="s">
        <v>488</v>
      </c>
    </row>
    <row r="66" spans="1:13" ht="25.5" customHeight="1">
      <c r="A66" s="100" t="s">
        <v>482</v>
      </c>
      <c r="B66" s="93" t="s">
        <v>484</v>
      </c>
      <c r="C66" s="191" t="s">
        <v>768</v>
      </c>
      <c r="D66" s="94" t="s">
        <v>438</v>
      </c>
      <c r="E66" s="165">
        <v>1</v>
      </c>
      <c r="F66" s="94" t="s">
        <v>485</v>
      </c>
      <c r="G66" s="169">
        <f t="shared" si="0"/>
        <v>8.1180000000000003</v>
      </c>
      <c r="H66" s="67">
        <f t="shared" si="1"/>
        <v>11.51</v>
      </c>
      <c r="I66" s="67">
        <v>2475</v>
      </c>
      <c r="J66" s="67">
        <v>3280</v>
      </c>
      <c r="K66" s="67" t="s">
        <v>489</v>
      </c>
      <c r="L66" s="67" t="s">
        <v>492</v>
      </c>
      <c r="M66" s="67" t="s">
        <v>767</v>
      </c>
    </row>
    <row r="67" spans="1:13" ht="25.5" customHeight="1">
      <c r="A67" s="100" t="s">
        <v>483</v>
      </c>
      <c r="B67" s="93" t="s">
        <v>484</v>
      </c>
      <c r="C67" s="191" t="s">
        <v>769</v>
      </c>
      <c r="D67" s="94" t="s">
        <v>438</v>
      </c>
      <c r="E67" s="165">
        <v>1</v>
      </c>
      <c r="F67" s="94" t="s">
        <v>485</v>
      </c>
      <c r="G67" s="169">
        <f t="shared" si="0"/>
        <v>3.0175999999999998</v>
      </c>
      <c r="H67" s="67">
        <f t="shared" si="1"/>
        <v>8.4</v>
      </c>
      <c r="I67" s="67">
        <v>920</v>
      </c>
      <c r="J67" s="67">
        <v>3280</v>
      </c>
      <c r="K67" s="67" t="s">
        <v>489</v>
      </c>
      <c r="L67" s="67" t="s">
        <v>492</v>
      </c>
      <c r="M67" s="67" t="s">
        <v>770</v>
      </c>
    </row>
    <row r="68" spans="1:13" ht="25.5" customHeight="1">
      <c r="A68" s="100" t="s">
        <v>677</v>
      </c>
      <c r="B68" s="93" t="s">
        <v>678</v>
      </c>
      <c r="C68" s="191" t="s">
        <v>777</v>
      </c>
      <c r="D68" s="94" t="s">
        <v>438</v>
      </c>
      <c r="E68" s="165">
        <v>1</v>
      </c>
      <c r="F68" s="94" t="s">
        <v>676</v>
      </c>
      <c r="G68" s="168">
        <f>0.893*1.345</f>
        <v>1.201085</v>
      </c>
      <c r="H68" s="67">
        <f t="shared" si="1"/>
        <v>0</v>
      </c>
    </row>
    <row r="69" spans="1:13" ht="25.5" customHeight="1">
      <c r="A69" s="100"/>
      <c r="B69" s="93"/>
      <c r="C69" s="191"/>
      <c r="D69" s="94"/>
      <c r="E69" s="165"/>
      <c r="F69" s="94"/>
      <c r="G69" s="94"/>
    </row>
    <row r="70" spans="1:13" ht="25.5" customHeight="1">
      <c r="A70" s="100"/>
      <c r="B70" s="93"/>
      <c r="C70" s="191"/>
      <c r="D70" s="94"/>
      <c r="E70" s="165"/>
      <c r="F70" s="94"/>
      <c r="G70" s="94"/>
    </row>
    <row r="71" spans="1:13" ht="25.5" customHeight="1">
      <c r="A71" s="100"/>
      <c r="B71" s="93"/>
      <c r="C71" s="191"/>
      <c r="D71" s="94"/>
      <c r="E71" s="165"/>
      <c r="F71" s="94"/>
      <c r="G71" s="94"/>
    </row>
    <row r="72" spans="1:13" ht="25.5" customHeight="1">
      <c r="A72" s="100"/>
      <c r="B72" s="93"/>
      <c r="C72" s="191"/>
      <c r="D72" s="94"/>
      <c r="E72" s="165"/>
      <c r="F72" s="94"/>
      <c r="G72" s="94"/>
    </row>
    <row r="73" spans="1:13" ht="25.5" customHeight="1">
      <c r="A73" s="100"/>
      <c r="B73" s="93"/>
      <c r="C73" s="191"/>
      <c r="D73" s="94"/>
      <c r="E73" s="165"/>
      <c r="F73" s="94"/>
      <c r="G73" s="94"/>
    </row>
    <row r="74" spans="1:13" ht="25.5" customHeight="1">
      <c r="A74" s="100"/>
      <c r="B74" s="93"/>
      <c r="C74" s="191"/>
      <c r="D74" s="94"/>
      <c r="E74" s="165"/>
      <c r="F74" s="94"/>
      <c r="G74" s="94"/>
    </row>
    <row r="75" spans="1:13" ht="25.5" customHeight="1">
      <c r="A75" s="100"/>
      <c r="B75" s="93"/>
      <c r="C75" s="191"/>
      <c r="D75" s="94"/>
      <c r="E75" s="165"/>
      <c r="F75" s="94"/>
      <c r="G75" s="94"/>
    </row>
    <row r="76" spans="1:13" ht="25.5" customHeight="1">
      <c r="A76" s="100"/>
      <c r="B76" s="93"/>
      <c r="C76" s="191"/>
      <c r="D76" s="94"/>
      <c r="E76" s="165"/>
      <c r="F76" s="94"/>
      <c r="G76" s="94"/>
    </row>
    <row r="77" spans="1:13" ht="25.5" customHeight="1">
      <c r="A77" s="100"/>
      <c r="B77" s="93"/>
      <c r="C77" s="191"/>
      <c r="D77" s="94"/>
      <c r="E77" s="165"/>
      <c r="F77" s="94"/>
      <c r="G77" s="94"/>
    </row>
    <row r="78" spans="1:13" ht="25.5" customHeight="1">
      <c r="A78" s="100"/>
      <c r="B78" s="93"/>
      <c r="C78" s="191"/>
      <c r="D78" s="94"/>
      <c r="E78" s="165"/>
      <c r="F78" s="94"/>
      <c r="G78" s="94"/>
    </row>
    <row r="79" spans="1:13" ht="25.5" customHeight="1">
      <c r="A79" s="100"/>
      <c r="B79" s="93"/>
      <c r="C79" s="191"/>
      <c r="D79" s="94"/>
      <c r="E79" s="165"/>
      <c r="F79" s="94"/>
      <c r="G79" s="94"/>
    </row>
    <row r="80" spans="1:13" ht="25.5" customHeight="1">
      <c r="A80" s="100"/>
      <c r="B80" s="93"/>
      <c r="C80" s="191"/>
      <c r="D80" s="94"/>
      <c r="E80" s="165"/>
      <c r="F80" s="94"/>
      <c r="G80" s="94"/>
    </row>
    <row r="81" spans="1:11" ht="25.5" customHeight="1">
      <c r="A81" s="100"/>
      <c r="B81" s="93"/>
      <c r="C81" s="191"/>
      <c r="D81" s="94"/>
      <c r="E81" s="165"/>
      <c r="F81" s="94"/>
      <c r="G81" s="94"/>
    </row>
    <row r="82" spans="1:11" ht="25.5" customHeight="1">
      <c r="A82" s="100"/>
      <c r="B82" s="93"/>
      <c r="C82" s="191"/>
      <c r="D82" s="94"/>
      <c r="E82" s="165"/>
      <c r="F82" s="94"/>
      <c r="G82" s="94"/>
    </row>
    <row r="83" spans="1:11" ht="25.5" customHeight="1">
      <c r="A83" s="100"/>
      <c r="B83" s="93"/>
      <c r="C83" s="191"/>
      <c r="D83" s="94"/>
      <c r="E83" s="165"/>
      <c r="F83" s="94"/>
      <c r="G83" s="94"/>
    </row>
    <row r="84" spans="1:11" ht="25.5" customHeight="1">
      <c r="A84" s="90">
        <f>A52+1</f>
        <v>5</v>
      </c>
      <c r="B84" s="91" t="s">
        <v>150</v>
      </c>
      <c r="C84" s="91"/>
      <c r="D84" s="92"/>
      <c r="E84" s="164"/>
      <c r="F84" s="92"/>
      <c r="G84" s="92"/>
    </row>
    <row r="85" spans="1:11" ht="25.5" customHeight="1">
      <c r="A85" s="100"/>
      <c r="B85" s="93" t="s">
        <v>158</v>
      </c>
      <c r="C85" s="93" t="s">
        <v>680</v>
      </c>
      <c r="D85" s="94" t="s">
        <v>159</v>
      </c>
      <c r="E85" s="165">
        <f>G105</f>
        <v>0.31049999999999994</v>
      </c>
      <c r="F85" s="94" t="s">
        <v>336</v>
      </c>
      <c r="G85" s="94"/>
    </row>
    <row r="86" spans="1:11" ht="25.5" customHeight="1">
      <c r="A86" s="100"/>
      <c r="B86" s="93" t="s">
        <v>158</v>
      </c>
      <c r="C86" s="93" t="s">
        <v>334</v>
      </c>
      <c r="D86" s="94" t="s">
        <v>159</v>
      </c>
      <c r="E86" s="165">
        <f>G107-E85</f>
        <v>1.6394172541200001</v>
      </c>
      <c r="F86" s="94" t="s">
        <v>336</v>
      </c>
      <c r="G86" s="94"/>
    </row>
    <row r="87" spans="1:11" ht="25.5" customHeight="1">
      <c r="A87" s="100"/>
      <c r="B87" s="93" t="s">
        <v>150</v>
      </c>
      <c r="C87" s="93" t="s">
        <v>679</v>
      </c>
      <c r="D87" s="94" t="s">
        <v>159</v>
      </c>
      <c r="E87" s="165">
        <f>E85</f>
        <v>0.31049999999999994</v>
      </c>
      <c r="F87" s="94" t="s">
        <v>336</v>
      </c>
      <c r="G87" s="94"/>
    </row>
    <row r="88" spans="1:11" ht="25.5" customHeight="1">
      <c r="A88" s="100"/>
      <c r="B88" s="93" t="s">
        <v>150</v>
      </c>
      <c r="C88" s="93" t="s">
        <v>335</v>
      </c>
      <c r="D88" s="94" t="s">
        <v>159</v>
      </c>
      <c r="E88" s="165">
        <f>E86</f>
        <v>1.6394172541200001</v>
      </c>
      <c r="F88" s="94" t="s">
        <v>336</v>
      </c>
      <c r="G88" s="94"/>
    </row>
    <row r="89" spans="1:11" ht="25.5" customHeight="1">
      <c r="A89" s="100"/>
      <c r="B89" s="93"/>
      <c r="C89" s="93"/>
      <c r="D89" s="94"/>
      <c r="E89" s="165"/>
      <c r="F89" s="94"/>
      <c r="G89" s="94"/>
    </row>
    <row r="90" spans="1:11" ht="25.5" customHeight="1">
      <c r="A90" s="100"/>
      <c r="B90" s="179" t="s">
        <v>681</v>
      </c>
      <c r="C90" s="179" t="s">
        <v>1</v>
      </c>
      <c r="D90" s="179" t="s">
        <v>3</v>
      </c>
      <c r="E90" s="180" t="s">
        <v>682</v>
      </c>
      <c r="F90" s="179" t="s">
        <v>683</v>
      </c>
      <c r="G90" s="179" t="s">
        <v>684</v>
      </c>
    </row>
    <row r="91" spans="1:11" ht="25.5" customHeight="1">
      <c r="A91" s="100"/>
      <c r="B91" s="93" t="s">
        <v>431</v>
      </c>
      <c r="C91" s="93" t="s">
        <v>433</v>
      </c>
      <c r="D91" s="94" t="s">
        <v>9</v>
      </c>
      <c r="E91" s="165">
        <v>3.6520000000000006</v>
      </c>
      <c r="F91" s="94">
        <v>30</v>
      </c>
      <c r="G91" s="181">
        <f>E91*F91/1000</f>
        <v>0.10956000000000002</v>
      </c>
    </row>
    <row r="92" spans="1:11" ht="25.5" customHeight="1">
      <c r="A92" s="100"/>
      <c r="B92" s="93" t="s">
        <v>381</v>
      </c>
      <c r="C92" s="93" t="s">
        <v>383</v>
      </c>
      <c r="D92" s="94" t="s">
        <v>378</v>
      </c>
      <c r="E92" s="165">
        <v>1</v>
      </c>
      <c r="F92" s="94">
        <f>K92*8</f>
        <v>64.944000000000003</v>
      </c>
      <c r="G92" s="181">
        <f t="shared" ref="G92:G105" si="2">E92*F92/1000</f>
        <v>6.4944000000000002E-2</v>
      </c>
      <c r="I92" s="67">
        <v>2475</v>
      </c>
      <c r="J92" s="67">
        <v>3280</v>
      </c>
      <c r="K92" s="67">
        <f>I92/1000*J92/1000</f>
        <v>8.1180000000000003</v>
      </c>
    </row>
    <row r="93" spans="1:11" ht="25.5" customHeight="1">
      <c r="A93" s="100"/>
      <c r="B93" s="93" t="s">
        <v>381</v>
      </c>
      <c r="C93" s="93" t="s">
        <v>413</v>
      </c>
      <c r="D93" s="94" t="s">
        <v>378</v>
      </c>
      <c r="E93" s="165">
        <v>1</v>
      </c>
      <c r="F93" s="94">
        <f t="shared" ref="F93:F101" si="3">K93*8</f>
        <v>24.140799999999999</v>
      </c>
      <c r="G93" s="181">
        <f t="shared" si="2"/>
        <v>2.4140799999999997E-2</v>
      </c>
      <c r="I93" s="67">
        <v>920</v>
      </c>
      <c r="J93" s="67">
        <v>3280</v>
      </c>
      <c r="K93" s="67">
        <f t="shared" ref="K93:K101" si="4">I93/1000*J93/1000</f>
        <v>3.0175999999999998</v>
      </c>
    </row>
    <row r="94" spans="1:11" ht="25.5" customHeight="1">
      <c r="A94" s="100"/>
      <c r="B94" s="93" t="s">
        <v>923</v>
      </c>
      <c r="C94" s="191" t="s">
        <v>925</v>
      </c>
      <c r="D94" s="94" t="s">
        <v>379</v>
      </c>
      <c r="E94" s="165">
        <v>1</v>
      </c>
      <c r="F94" s="94">
        <f t="shared" si="3"/>
        <v>2.56</v>
      </c>
      <c r="G94" s="200">
        <f t="shared" si="2"/>
        <v>2.5600000000000002E-3</v>
      </c>
      <c r="I94" s="67">
        <v>800</v>
      </c>
      <c r="J94" s="67">
        <v>400</v>
      </c>
      <c r="K94" s="67">
        <f t="shared" si="4"/>
        <v>0.32</v>
      </c>
    </row>
    <row r="95" spans="1:11" ht="25.5" customHeight="1">
      <c r="A95" s="100"/>
      <c r="B95" s="93" t="s">
        <v>403</v>
      </c>
      <c r="C95" s="93" t="s">
        <v>376</v>
      </c>
      <c r="D95" s="94" t="s">
        <v>378</v>
      </c>
      <c r="E95" s="165">
        <v>4</v>
      </c>
      <c r="F95" s="94">
        <f t="shared" si="3"/>
        <v>25.838999999999999</v>
      </c>
      <c r="G95" s="181">
        <f t="shared" si="2"/>
        <v>0.10335599999999999</v>
      </c>
      <c r="I95" s="67">
        <v>1485</v>
      </c>
      <c r="J95" s="67">
        <v>2175</v>
      </c>
      <c r="K95" s="67">
        <f t="shared" si="4"/>
        <v>3.2298749999999998</v>
      </c>
    </row>
    <row r="96" spans="1:11" ht="25.5" customHeight="1">
      <c r="A96" s="100"/>
      <c r="B96" s="93" t="s">
        <v>403</v>
      </c>
      <c r="C96" s="93" t="s">
        <v>415</v>
      </c>
      <c r="D96" s="94" t="s">
        <v>378</v>
      </c>
      <c r="E96" s="165">
        <v>1</v>
      </c>
      <c r="F96" s="94">
        <f t="shared" si="3"/>
        <v>72.132199999999997</v>
      </c>
      <c r="G96" s="181">
        <f t="shared" si="2"/>
        <v>7.2132199999999994E-2</v>
      </c>
      <c r="I96" s="67">
        <v>3845</v>
      </c>
      <c r="J96" s="67">
        <v>2345</v>
      </c>
      <c r="K96" s="67">
        <f t="shared" si="4"/>
        <v>9.0165249999999997</v>
      </c>
    </row>
    <row r="97" spans="1:11" ht="25.5" customHeight="1">
      <c r="A97" s="100"/>
      <c r="B97" s="93" t="s">
        <v>405</v>
      </c>
      <c r="C97" s="93" t="s">
        <v>407</v>
      </c>
      <c r="D97" s="94" t="s">
        <v>378</v>
      </c>
      <c r="E97" s="165">
        <v>1</v>
      </c>
      <c r="F97" s="94">
        <f t="shared" si="3"/>
        <v>6.1087999999999996</v>
      </c>
      <c r="G97" s="181">
        <f t="shared" si="2"/>
        <v>6.1087999999999993E-3</v>
      </c>
      <c r="I97" s="67">
        <v>830</v>
      </c>
      <c r="J97" s="67">
        <v>920</v>
      </c>
      <c r="K97" s="67">
        <f t="shared" si="4"/>
        <v>0.76359999999999995</v>
      </c>
    </row>
    <row r="98" spans="1:11" ht="25.5" customHeight="1">
      <c r="A98" s="100"/>
      <c r="B98" s="93" t="s">
        <v>405</v>
      </c>
      <c r="C98" s="93" t="s">
        <v>409</v>
      </c>
      <c r="D98" s="94" t="s">
        <v>378</v>
      </c>
      <c r="E98" s="165">
        <v>2</v>
      </c>
      <c r="F98" s="94">
        <f t="shared" si="3"/>
        <v>6.48</v>
      </c>
      <c r="G98" s="181">
        <f t="shared" si="2"/>
        <v>1.2960000000000001E-2</v>
      </c>
      <c r="I98" s="67">
        <v>900</v>
      </c>
      <c r="J98" s="67">
        <v>900</v>
      </c>
      <c r="K98" s="67">
        <f t="shared" si="4"/>
        <v>0.81</v>
      </c>
    </row>
    <row r="99" spans="1:11" ht="25.5" customHeight="1">
      <c r="A99" s="100"/>
      <c r="B99" s="93" t="s">
        <v>405</v>
      </c>
      <c r="C99" s="93" t="s">
        <v>411</v>
      </c>
      <c r="D99" s="94" t="s">
        <v>378</v>
      </c>
      <c r="E99" s="165">
        <v>1</v>
      </c>
      <c r="F99" s="94">
        <f t="shared" si="3"/>
        <v>23.904</v>
      </c>
      <c r="G99" s="181">
        <f t="shared" si="2"/>
        <v>2.3904000000000002E-2</v>
      </c>
      <c r="I99" s="67">
        <v>1200</v>
      </c>
      <c r="J99" s="67">
        <v>2490</v>
      </c>
      <c r="K99" s="67">
        <f t="shared" si="4"/>
        <v>2.988</v>
      </c>
    </row>
    <row r="100" spans="1:11" ht="25.5" customHeight="1">
      <c r="A100" s="100"/>
      <c r="B100" s="93" t="s">
        <v>417</v>
      </c>
      <c r="C100" s="93" t="s">
        <v>419</v>
      </c>
      <c r="D100" s="94" t="s">
        <v>378</v>
      </c>
      <c r="E100" s="165">
        <v>1</v>
      </c>
      <c r="F100" s="94">
        <f t="shared" si="3"/>
        <v>29.5412</v>
      </c>
      <c r="G100" s="181">
        <f t="shared" si="2"/>
        <v>2.95412E-2</v>
      </c>
      <c r="I100" s="67">
        <v>1495</v>
      </c>
      <c r="J100" s="67">
        <v>2470</v>
      </c>
      <c r="K100" s="67">
        <f t="shared" si="4"/>
        <v>3.69265</v>
      </c>
    </row>
    <row r="101" spans="1:11" ht="25.5" customHeight="1">
      <c r="A101" s="100"/>
      <c r="B101" s="93" t="s">
        <v>417</v>
      </c>
      <c r="C101" s="93" t="s">
        <v>423</v>
      </c>
      <c r="D101" s="94" t="s">
        <v>378</v>
      </c>
      <c r="E101" s="165">
        <v>1</v>
      </c>
      <c r="F101" s="94">
        <f t="shared" si="3"/>
        <v>15.568200000000001</v>
      </c>
      <c r="G101" s="181">
        <f t="shared" si="2"/>
        <v>1.5568200000000001E-2</v>
      </c>
      <c r="I101" s="67">
        <v>1395</v>
      </c>
      <c r="J101" s="67">
        <v>1395</v>
      </c>
      <c r="K101" s="67">
        <f t="shared" si="4"/>
        <v>1.9460250000000001</v>
      </c>
    </row>
    <row r="102" spans="1:11" ht="25.5" customHeight="1">
      <c r="A102" s="100"/>
      <c r="B102" s="93" t="s">
        <v>387</v>
      </c>
      <c r="C102" s="93" t="s">
        <v>389</v>
      </c>
      <c r="D102" s="94" t="s">
        <v>9</v>
      </c>
      <c r="E102" s="165">
        <v>26.802475000000001</v>
      </c>
      <c r="F102" s="94">
        <f>0.02*800</f>
        <v>16</v>
      </c>
      <c r="G102" s="181">
        <f t="shared" si="2"/>
        <v>0.42883960000000004</v>
      </c>
    </row>
    <row r="103" spans="1:11" ht="25.5" customHeight="1">
      <c r="A103" s="100"/>
      <c r="B103" s="93" t="s">
        <v>393</v>
      </c>
      <c r="C103" s="93" t="s">
        <v>395</v>
      </c>
      <c r="D103" s="94" t="s">
        <v>16</v>
      </c>
      <c r="E103" s="165">
        <v>0.402804</v>
      </c>
      <c r="F103" s="94">
        <f>3.34*4.5</f>
        <v>15.03</v>
      </c>
      <c r="G103" s="181">
        <f t="shared" si="2"/>
        <v>6.0541441199999995E-3</v>
      </c>
    </row>
    <row r="104" spans="1:11" ht="25.5" customHeight="1">
      <c r="A104" s="100"/>
      <c r="B104" s="93" t="s">
        <v>399</v>
      </c>
      <c r="C104" s="93" t="s">
        <v>401</v>
      </c>
      <c r="D104" s="94" t="s">
        <v>9</v>
      </c>
      <c r="E104" s="165">
        <v>26.802475000000001</v>
      </c>
      <c r="F104" s="94">
        <f>0.012*2300</f>
        <v>27.6</v>
      </c>
      <c r="G104" s="181">
        <f t="shared" si="2"/>
        <v>0.73974831000000008</v>
      </c>
    </row>
    <row r="105" spans="1:11" ht="25.5" customHeight="1">
      <c r="A105" s="100"/>
      <c r="B105" s="93" t="s">
        <v>508</v>
      </c>
      <c r="C105" s="93" t="s">
        <v>510</v>
      </c>
      <c r="D105" s="94" t="s">
        <v>15</v>
      </c>
      <c r="E105" s="165">
        <v>0.13499999999999998</v>
      </c>
      <c r="F105" s="94">
        <v>2300</v>
      </c>
      <c r="G105" s="181">
        <f t="shared" si="2"/>
        <v>0.31049999999999994</v>
      </c>
    </row>
    <row r="106" spans="1:11" ht="25.5" customHeight="1">
      <c r="A106" s="100"/>
      <c r="B106" s="93"/>
      <c r="C106" s="93"/>
      <c r="D106" s="94"/>
      <c r="E106" s="165"/>
      <c r="F106" s="94"/>
      <c r="G106" s="181"/>
    </row>
    <row r="107" spans="1:11" ht="25.5" customHeight="1">
      <c r="A107" s="100"/>
      <c r="B107" s="93"/>
      <c r="C107" s="93"/>
      <c r="D107" s="94"/>
      <c r="E107" s="165"/>
      <c r="F107" s="182" t="s">
        <v>686</v>
      </c>
      <c r="G107" s="183">
        <f>SUM(G91:G106)</f>
        <v>1.9499172541200001</v>
      </c>
    </row>
    <row r="108" spans="1:11" ht="25.5" customHeight="1">
      <c r="A108" s="100"/>
      <c r="B108" s="93"/>
      <c r="C108" s="93"/>
      <c r="D108" s="94"/>
      <c r="E108" s="165"/>
      <c r="F108" s="94"/>
      <c r="G108" s="94"/>
    </row>
    <row r="109" spans="1:11" ht="25.5" customHeight="1">
      <c r="A109" s="100"/>
      <c r="B109" s="93"/>
      <c r="C109" s="93"/>
      <c r="D109" s="94"/>
      <c r="E109" s="165"/>
      <c r="F109" s="94"/>
      <c r="G109" s="94"/>
    </row>
    <row r="110" spans="1:11" ht="25.5" customHeight="1">
      <c r="A110" s="100"/>
      <c r="B110" s="93"/>
      <c r="C110" s="93"/>
      <c r="D110" s="94"/>
      <c r="E110" s="165"/>
      <c r="F110" s="94"/>
      <c r="G110" s="94"/>
    </row>
    <row r="111" spans="1:11" ht="25.5" customHeight="1">
      <c r="A111" s="100"/>
      <c r="B111" s="93"/>
      <c r="C111" s="93"/>
      <c r="D111" s="94"/>
      <c r="E111" s="165"/>
      <c r="F111" s="94"/>
      <c r="G111" s="94"/>
    </row>
    <row r="112" spans="1:11" ht="25.5" customHeight="1">
      <c r="A112" s="100"/>
      <c r="B112" s="93"/>
      <c r="C112" s="93"/>
      <c r="D112" s="94"/>
      <c r="E112" s="165"/>
      <c r="F112" s="94"/>
      <c r="G112" s="94"/>
    </row>
    <row r="113" spans="1:7" ht="25.5" customHeight="1">
      <c r="A113" s="100"/>
      <c r="B113" s="93"/>
      <c r="C113" s="93"/>
      <c r="D113" s="94"/>
      <c r="E113" s="165"/>
      <c r="F113" s="94"/>
      <c r="G113" s="94"/>
    </row>
    <row r="114" spans="1:7" ht="25.5" customHeight="1">
      <c r="A114" s="100"/>
      <c r="B114" s="93"/>
      <c r="C114" s="93"/>
      <c r="D114" s="94"/>
      <c r="E114" s="165"/>
      <c r="F114" s="94"/>
      <c r="G114" s="94"/>
    </row>
    <row r="115" spans="1:7" ht="25.5" customHeight="1">
      <c r="A115" s="100"/>
      <c r="B115" s="93"/>
      <c r="C115" s="93"/>
      <c r="D115" s="94"/>
      <c r="E115" s="165"/>
      <c r="F115" s="94"/>
      <c r="G115" s="94"/>
    </row>
    <row r="116" spans="1:7" ht="25.5" customHeight="1">
      <c r="A116" s="100"/>
      <c r="B116" s="93"/>
      <c r="C116" s="93"/>
      <c r="D116" s="94"/>
      <c r="E116" s="165"/>
      <c r="F116" s="94"/>
      <c r="G116" s="94"/>
    </row>
    <row r="117" spans="1:7" ht="25.5" customHeight="1"/>
    <row r="118" spans="1:7" ht="25.5" customHeight="1"/>
    <row r="119" spans="1:7" ht="25.5" customHeight="1"/>
    <row r="120" spans="1:7" ht="25.5" customHeight="1"/>
    <row r="121" spans="1:7" ht="25.5" customHeight="1"/>
    <row r="122" spans="1:7" ht="25.5" customHeight="1"/>
  </sheetData>
  <autoFilter ref="A2:G78"/>
  <phoneticPr fontId="2" type="noConversion"/>
  <pageMargins left="0.70866141732283472" right="0.54" top="0.74803149606299213" bottom="0.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O194"/>
  <sheetViews>
    <sheetView zoomScaleNormal="100" workbookViewId="0">
      <pane ySplit="2" topLeftCell="A141" activePane="bottomLeft" state="frozen"/>
      <selection activeCell="DJ113" sqref="DJ113:FG116"/>
      <selection pane="bottomLeft" activeCell="DJ113" sqref="DJ113:FG116"/>
    </sheetView>
  </sheetViews>
  <sheetFormatPr defaultColWidth="14.5" defaultRowHeight="24.75" customHeight="1"/>
  <cols>
    <col min="1" max="1" width="7.375" style="67" customWidth="1"/>
    <col min="2" max="2" width="24.125" style="67" customWidth="1"/>
    <col min="3" max="3" width="24.875" style="67" customWidth="1"/>
    <col min="4" max="4" width="7.125" style="88" customWidth="1"/>
    <col min="5" max="5" width="9.125" style="162" customWidth="1"/>
    <col min="6" max="6" width="38.5" style="88" customWidth="1"/>
    <col min="7" max="7" width="10.25" style="88" customWidth="1"/>
    <col min="8" max="16384" width="14.5" style="67"/>
  </cols>
  <sheetData>
    <row r="1" spans="1:7" ht="33" customHeight="1">
      <c r="A1" s="87" t="s">
        <v>493</v>
      </c>
      <c r="B1" s="87"/>
      <c r="G1" s="111" t="str">
        <f>갑!B10</f>
        <v>김제시 죽산면 죽산로126(구 새마을 금고)내·외부공사</v>
      </c>
    </row>
    <row r="2" spans="1:7" ht="36" customHeight="1">
      <c r="A2" s="89" t="s">
        <v>17</v>
      </c>
      <c r="B2" s="89" t="s">
        <v>0</v>
      </c>
      <c r="C2" s="89" t="s">
        <v>1</v>
      </c>
      <c r="D2" s="89" t="s">
        <v>3</v>
      </c>
      <c r="E2" s="163" t="s">
        <v>5</v>
      </c>
      <c r="F2" s="89" t="s">
        <v>6</v>
      </c>
      <c r="G2" s="89" t="s">
        <v>8</v>
      </c>
    </row>
    <row r="3" spans="1:7" ht="25.5" customHeight="1">
      <c r="A3" s="90">
        <v>1</v>
      </c>
      <c r="B3" s="91" t="s">
        <v>615</v>
      </c>
      <c r="C3" s="91"/>
      <c r="D3" s="92"/>
      <c r="E3" s="164"/>
      <c r="F3" s="92"/>
      <c r="G3" s="92"/>
    </row>
    <row r="4" spans="1:7" ht="25.5" customHeight="1">
      <c r="A4" s="100"/>
      <c r="B4" s="93" t="s">
        <v>154</v>
      </c>
      <c r="C4" s="93" t="s">
        <v>155</v>
      </c>
      <c r="D4" s="94" t="s">
        <v>9</v>
      </c>
      <c r="E4" s="165">
        <v>118</v>
      </c>
      <c r="F4" s="94" t="s">
        <v>494</v>
      </c>
      <c r="G4" s="94"/>
    </row>
    <row r="5" spans="1:7" ht="25.5" customHeight="1">
      <c r="A5" s="100"/>
      <c r="B5" s="93" t="s">
        <v>141</v>
      </c>
      <c r="C5" s="93" t="s">
        <v>142</v>
      </c>
      <c r="D5" s="94" t="s">
        <v>9</v>
      </c>
      <c r="E5" s="165">
        <v>118</v>
      </c>
      <c r="F5" s="94" t="s">
        <v>494</v>
      </c>
      <c r="G5" s="94"/>
    </row>
    <row r="6" spans="1:7" ht="25.5" customHeight="1">
      <c r="A6" s="100"/>
      <c r="B6" s="93" t="s">
        <v>143</v>
      </c>
      <c r="C6" s="93" t="s">
        <v>144</v>
      </c>
      <c r="D6" s="94" t="s">
        <v>9</v>
      </c>
      <c r="E6" s="165">
        <v>118</v>
      </c>
      <c r="F6" s="94" t="s">
        <v>494</v>
      </c>
      <c r="G6" s="94"/>
    </row>
    <row r="7" spans="1:7" ht="25.5" customHeight="1">
      <c r="A7" s="100"/>
      <c r="B7" s="93" t="s">
        <v>145</v>
      </c>
      <c r="C7" s="93" t="s">
        <v>146</v>
      </c>
      <c r="D7" s="94" t="s">
        <v>9</v>
      </c>
      <c r="E7" s="165">
        <v>118</v>
      </c>
      <c r="F7" s="94" t="s">
        <v>494</v>
      </c>
      <c r="G7" s="94"/>
    </row>
    <row r="8" spans="1:7" ht="25.5" customHeight="1">
      <c r="A8" s="100"/>
      <c r="B8" s="93" t="s">
        <v>147</v>
      </c>
      <c r="C8" s="93" t="s">
        <v>148</v>
      </c>
      <c r="D8" s="94" t="s">
        <v>149</v>
      </c>
      <c r="E8" s="165">
        <v>1</v>
      </c>
      <c r="F8" s="94" t="s">
        <v>160</v>
      </c>
      <c r="G8" s="94"/>
    </row>
    <row r="9" spans="1:7" ht="25.5" customHeight="1">
      <c r="A9" s="100"/>
      <c r="B9" s="93"/>
      <c r="C9" s="93"/>
      <c r="D9" s="94"/>
      <c r="E9" s="165"/>
      <c r="F9" s="94"/>
      <c r="G9" s="94"/>
    </row>
    <row r="10" spans="1:7" ht="25.5" customHeight="1">
      <c r="A10" s="100"/>
      <c r="B10" s="93"/>
      <c r="C10" s="93"/>
      <c r="D10" s="94"/>
      <c r="E10" s="165"/>
      <c r="F10" s="94"/>
      <c r="G10" s="94"/>
    </row>
    <row r="11" spans="1:7" ht="25.5" customHeight="1">
      <c r="A11" s="100"/>
      <c r="B11" s="93"/>
      <c r="C11" s="93"/>
      <c r="D11" s="94"/>
      <c r="E11" s="165"/>
      <c r="F11" s="94"/>
      <c r="G11" s="94"/>
    </row>
    <row r="12" spans="1:7" ht="25.5" customHeight="1">
      <c r="A12" s="100"/>
      <c r="B12" s="93"/>
      <c r="C12" s="93"/>
      <c r="D12" s="94"/>
      <c r="E12" s="165"/>
      <c r="F12" s="94"/>
      <c r="G12" s="94"/>
    </row>
    <row r="13" spans="1:7" ht="25.5" customHeight="1">
      <c r="A13" s="100"/>
      <c r="B13" s="93"/>
      <c r="C13" s="93"/>
      <c r="D13" s="94"/>
      <c r="E13" s="165"/>
      <c r="F13" s="94"/>
      <c r="G13" s="94"/>
    </row>
    <row r="14" spans="1:7" ht="25.5" customHeight="1">
      <c r="A14" s="100"/>
      <c r="B14" s="93"/>
      <c r="C14" s="93"/>
      <c r="D14" s="94"/>
      <c r="E14" s="165"/>
      <c r="F14" s="94"/>
      <c r="G14" s="94"/>
    </row>
    <row r="15" spans="1:7" ht="25.5" customHeight="1">
      <c r="A15" s="100"/>
      <c r="B15" s="93"/>
      <c r="C15" s="93"/>
      <c r="D15" s="94"/>
      <c r="E15" s="165"/>
      <c r="F15" s="94"/>
      <c r="G15" s="94"/>
    </row>
    <row r="16" spans="1:7" ht="25.5" customHeight="1">
      <c r="A16" s="100"/>
      <c r="B16" s="93"/>
      <c r="C16" s="93"/>
      <c r="D16" s="94"/>
      <c r="E16" s="165"/>
      <c r="F16" s="94"/>
      <c r="G16" s="94"/>
    </row>
    <row r="17" spans="1:7" ht="25.5" customHeight="1">
      <c r="A17" s="100"/>
      <c r="B17" s="93"/>
      <c r="C17" s="93"/>
      <c r="D17" s="94"/>
      <c r="E17" s="165"/>
      <c r="F17" s="94"/>
      <c r="G17" s="94"/>
    </row>
    <row r="18" spans="1:7" ht="25.5" customHeight="1">
      <c r="A18" s="100"/>
      <c r="B18" s="93"/>
      <c r="C18" s="93"/>
      <c r="D18" s="94"/>
      <c r="E18" s="165"/>
      <c r="F18" s="94"/>
      <c r="G18" s="94"/>
    </row>
    <row r="19" spans="1:7" ht="25.5" customHeight="1">
      <c r="A19" s="90">
        <f>A3+1</f>
        <v>2</v>
      </c>
      <c r="B19" s="91" t="s">
        <v>19</v>
      </c>
      <c r="C19" s="91"/>
      <c r="D19" s="92"/>
      <c r="E19" s="164"/>
      <c r="F19" s="92"/>
      <c r="G19" s="92"/>
    </row>
    <row r="20" spans="1:7" ht="25.5" customHeight="1">
      <c r="A20" s="100"/>
      <c r="B20" s="93" t="s">
        <v>498</v>
      </c>
      <c r="C20" s="93" t="s">
        <v>499</v>
      </c>
      <c r="D20" s="94" t="s">
        <v>500</v>
      </c>
      <c r="E20" s="165">
        <f>-1.25*2+3.3*2</f>
        <v>4.0999999999999996</v>
      </c>
      <c r="F20" s="94" t="s">
        <v>501</v>
      </c>
      <c r="G20" s="94"/>
    </row>
    <row r="21" spans="1:7" ht="25.5" customHeight="1">
      <c r="A21" s="100"/>
      <c r="B21" s="93" t="s">
        <v>498</v>
      </c>
      <c r="C21" s="93" t="s">
        <v>558</v>
      </c>
      <c r="D21" s="94" t="s">
        <v>500</v>
      </c>
      <c r="E21" s="165">
        <f>1.2*2</f>
        <v>2.4</v>
      </c>
      <c r="F21" s="94" t="s">
        <v>559</v>
      </c>
      <c r="G21" s="94"/>
    </row>
    <row r="22" spans="1:7" ht="25.5" customHeight="1">
      <c r="A22" s="100"/>
      <c r="B22" s="93" t="s">
        <v>498</v>
      </c>
      <c r="C22" s="93" t="s">
        <v>558</v>
      </c>
      <c r="D22" s="94" t="s">
        <v>500</v>
      </c>
      <c r="E22" s="165">
        <f>2.5*2+1.68</f>
        <v>6.68</v>
      </c>
      <c r="F22" s="94" t="s">
        <v>562</v>
      </c>
      <c r="G22" s="94"/>
    </row>
    <row r="23" spans="1:7" ht="25.5" customHeight="1">
      <c r="A23" s="100"/>
      <c r="B23" s="93" t="s">
        <v>498</v>
      </c>
      <c r="C23" s="93" t="s">
        <v>558</v>
      </c>
      <c r="D23" s="94" t="s">
        <v>500</v>
      </c>
      <c r="E23" s="165">
        <f>1.05*2+1*2</f>
        <v>4.0999999999999996</v>
      </c>
      <c r="F23" s="94" t="s">
        <v>561</v>
      </c>
      <c r="G23" s="94"/>
    </row>
    <row r="24" spans="1:7" ht="25.5" customHeight="1">
      <c r="A24" s="100"/>
      <c r="B24" s="93" t="s">
        <v>498</v>
      </c>
      <c r="C24" s="93" t="s">
        <v>558</v>
      </c>
      <c r="D24" s="94" t="s">
        <v>500</v>
      </c>
      <c r="E24" s="165">
        <f>0.8+1.2*2</f>
        <v>3.2</v>
      </c>
      <c r="F24" s="94" t="s">
        <v>574</v>
      </c>
      <c r="G24" s="94"/>
    </row>
    <row r="25" spans="1:7" ht="25.5" customHeight="1">
      <c r="A25" s="100"/>
      <c r="B25" s="93" t="s">
        <v>498</v>
      </c>
      <c r="C25" s="93" t="s">
        <v>575</v>
      </c>
      <c r="D25" s="94" t="s">
        <v>500</v>
      </c>
      <c r="E25" s="165">
        <f>9.276</f>
        <v>9.2759999999999998</v>
      </c>
      <c r="F25" s="94" t="s">
        <v>576</v>
      </c>
      <c r="G25" s="178">
        <f>SUM(E20:E25)</f>
        <v>29.756</v>
      </c>
    </row>
    <row r="26" spans="1:7" ht="25.5" customHeight="1">
      <c r="A26" s="100"/>
      <c r="B26" s="93" t="s">
        <v>503</v>
      </c>
      <c r="C26" s="93" t="s">
        <v>505</v>
      </c>
      <c r="D26" s="94" t="s">
        <v>506</v>
      </c>
      <c r="E26" s="165">
        <f>1.25*3.3*0.3</f>
        <v>1.2375</v>
      </c>
      <c r="F26" s="94" t="s">
        <v>507</v>
      </c>
      <c r="G26" s="94"/>
    </row>
    <row r="27" spans="1:7" ht="25.5" customHeight="1">
      <c r="A27" s="100"/>
      <c r="B27" s="93" t="s">
        <v>503</v>
      </c>
      <c r="C27" s="93" t="s">
        <v>505</v>
      </c>
      <c r="D27" s="94" t="s">
        <v>506</v>
      </c>
      <c r="E27" s="165">
        <f>1.2*1*0.2</f>
        <v>0.24</v>
      </c>
      <c r="F27" s="94" t="s">
        <v>560</v>
      </c>
      <c r="G27" s="94"/>
    </row>
    <row r="28" spans="1:7" ht="25.5" customHeight="1">
      <c r="A28" s="100"/>
      <c r="B28" s="93" t="s">
        <v>503</v>
      </c>
      <c r="C28" s="93" t="s">
        <v>505</v>
      </c>
      <c r="D28" s="94" t="s">
        <v>506</v>
      </c>
      <c r="E28" s="165">
        <f>(1.68*0.5+2.5*1)*0.3</f>
        <v>1.002</v>
      </c>
      <c r="F28" s="94" t="s">
        <v>563</v>
      </c>
      <c r="G28" s="94"/>
    </row>
    <row r="29" spans="1:7" ht="25.5" customHeight="1">
      <c r="A29" s="100"/>
      <c r="B29" s="93" t="s">
        <v>503</v>
      </c>
      <c r="C29" s="93" t="s">
        <v>505</v>
      </c>
      <c r="D29" s="94" t="s">
        <v>506</v>
      </c>
      <c r="E29" s="165">
        <f>(0.6*1.05+0.3*1.05)*0.3</f>
        <v>0.28350000000000003</v>
      </c>
      <c r="F29" s="94" t="s">
        <v>564</v>
      </c>
      <c r="G29" s="94"/>
    </row>
    <row r="30" spans="1:7" ht="25.5" customHeight="1">
      <c r="A30" s="100"/>
      <c r="B30" s="93" t="s">
        <v>503</v>
      </c>
      <c r="C30" s="93" t="s">
        <v>505</v>
      </c>
      <c r="D30" s="94" t="s">
        <v>506</v>
      </c>
      <c r="E30" s="165">
        <f>0.8*1.2*0.3</f>
        <v>0.28799999999999998</v>
      </c>
      <c r="F30" s="94" t="s">
        <v>573</v>
      </c>
      <c r="G30" s="94"/>
    </row>
    <row r="31" spans="1:7" ht="25.5" customHeight="1">
      <c r="A31" s="100"/>
      <c r="B31" s="93" t="s">
        <v>503</v>
      </c>
      <c r="C31" s="93" t="s">
        <v>505</v>
      </c>
      <c r="D31" s="94" t="s">
        <v>506</v>
      </c>
      <c r="E31" s="165">
        <f>5.147*0.4</f>
        <v>2.0588000000000002</v>
      </c>
      <c r="F31" s="94" t="s">
        <v>577</v>
      </c>
      <c r="G31" s="178">
        <f>SUM(E26:E31)</f>
        <v>5.1097999999999999</v>
      </c>
    </row>
    <row r="32" spans="1:7" ht="25.5" customHeight="1">
      <c r="A32" s="100"/>
      <c r="B32" s="93" t="s">
        <v>566</v>
      </c>
      <c r="C32" s="93" t="s">
        <v>568</v>
      </c>
      <c r="D32" s="94" t="s">
        <v>532</v>
      </c>
      <c r="E32" s="165">
        <f>4.175*2.5*2</f>
        <v>20.875</v>
      </c>
      <c r="F32" s="94" t="s">
        <v>569</v>
      </c>
      <c r="G32" s="94"/>
    </row>
    <row r="33" spans="1:7" ht="25.5" customHeight="1">
      <c r="A33" s="100"/>
      <c r="B33" s="93" t="s">
        <v>579</v>
      </c>
      <c r="C33" s="93" t="s">
        <v>571</v>
      </c>
      <c r="D33" s="94" t="s">
        <v>532</v>
      </c>
      <c r="E33" s="165">
        <f>4.175*2.5</f>
        <v>10.4375</v>
      </c>
      <c r="F33" s="94" t="s">
        <v>572</v>
      </c>
      <c r="G33" s="94"/>
    </row>
    <row r="34" spans="1:7" ht="25.5" customHeight="1">
      <c r="A34" s="100"/>
      <c r="B34" s="93" t="s">
        <v>673</v>
      </c>
      <c r="C34" s="93" t="s">
        <v>496</v>
      </c>
      <c r="D34" s="94" t="s">
        <v>495</v>
      </c>
      <c r="E34" s="165">
        <v>1</v>
      </c>
      <c r="F34" s="94" t="s">
        <v>671</v>
      </c>
      <c r="G34" s="94"/>
    </row>
    <row r="35" spans="1:7" ht="25.5" customHeight="1">
      <c r="A35" s="100"/>
      <c r="B35" s="93" t="s">
        <v>673</v>
      </c>
      <c r="C35" s="93" t="s">
        <v>497</v>
      </c>
      <c r="D35" s="94" t="s">
        <v>495</v>
      </c>
      <c r="E35" s="165">
        <v>1</v>
      </c>
      <c r="F35" s="94" t="s">
        <v>670</v>
      </c>
      <c r="G35" s="94"/>
    </row>
    <row r="36" spans="1:7" ht="25.5" customHeight="1">
      <c r="A36" s="100"/>
      <c r="B36" s="93" t="s">
        <v>687</v>
      </c>
      <c r="C36" s="93" t="s">
        <v>334</v>
      </c>
      <c r="D36" s="94" t="s">
        <v>159</v>
      </c>
      <c r="E36" s="165">
        <f>G190</f>
        <v>13.190914999999999</v>
      </c>
      <c r="F36" s="94" t="s">
        <v>688</v>
      </c>
      <c r="G36" s="94"/>
    </row>
    <row r="37" spans="1:7" ht="25.5" customHeight="1">
      <c r="A37" s="100"/>
      <c r="B37" s="93"/>
      <c r="C37" s="93"/>
      <c r="D37" s="94"/>
      <c r="E37" s="165"/>
      <c r="F37" s="94"/>
      <c r="G37" s="94"/>
    </row>
    <row r="38" spans="1:7" ht="25.5" customHeight="1">
      <c r="A38" s="100"/>
      <c r="B38" s="93"/>
      <c r="C38" s="93"/>
      <c r="D38" s="94"/>
      <c r="E38" s="165"/>
      <c r="F38" s="94"/>
      <c r="G38" s="94"/>
    </row>
    <row r="39" spans="1:7" ht="25.5" customHeight="1">
      <c r="A39" s="100"/>
      <c r="B39" s="93"/>
      <c r="C39" s="93"/>
      <c r="D39" s="94"/>
      <c r="E39" s="165"/>
      <c r="F39" s="94"/>
      <c r="G39" s="94"/>
    </row>
    <row r="40" spans="1:7" ht="25.5" customHeight="1">
      <c r="A40" s="100"/>
      <c r="B40" s="93"/>
      <c r="C40" s="93"/>
      <c r="D40" s="94"/>
      <c r="E40" s="165"/>
      <c r="F40" s="94"/>
      <c r="G40" s="94"/>
    </row>
    <row r="41" spans="1:7" ht="25.5" customHeight="1">
      <c r="A41" s="100"/>
      <c r="B41" s="93"/>
      <c r="C41" s="93"/>
      <c r="D41" s="94"/>
      <c r="E41" s="165"/>
      <c r="F41" s="94"/>
      <c r="G41" s="94"/>
    </row>
    <row r="42" spans="1:7" ht="25.5" customHeight="1">
      <c r="A42" s="100"/>
      <c r="B42" s="93"/>
      <c r="C42" s="93"/>
      <c r="D42" s="94"/>
      <c r="E42" s="165"/>
      <c r="F42" s="94"/>
      <c r="G42" s="94"/>
    </row>
    <row r="43" spans="1:7" ht="25.5" customHeight="1">
      <c r="A43" s="100"/>
      <c r="B43" s="93"/>
      <c r="C43" s="93"/>
      <c r="D43" s="94"/>
      <c r="E43" s="165"/>
      <c r="F43" s="94"/>
      <c r="G43" s="94"/>
    </row>
    <row r="44" spans="1:7" ht="25.5" customHeight="1">
      <c r="A44" s="100"/>
      <c r="B44" s="93"/>
      <c r="C44" s="93"/>
      <c r="D44" s="94"/>
      <c r="E44" s="165"/>
      <c r="F44" s="94"/>
      <c r="G44" s="94"/>
    </row>
    <row r="45" spans="1:7" ht="25.5" customHeight="1">
      <c r="A45" s="100"/>
      <c r="B45" s="93"/>
      <c r="C45" s="93"/>
      <c r="D45" s="94"/>
      <c r="E45" s="165"/>
      <c r="F45" s="94"/>
      <c r="G45" s="94"/>
    </row>
    <row r="46" spans="1:7" ht="25.5" customHeight="1">
      <c r="A46" s="100"/>
      <c r="B46" s="93"/>
      <c r="C46" s="93"/>
      <c r="D46" s="94"/>
      <c r="E46" s="165"/>
      <c r="F46" s="94"/>
      <c r="G46" s="94"/>
    </row>
    <row r="47" spans="1:7" ht="25.5" customHeight="1">
      <c r="A47" s="100"/>
      <c r="B47" s="93"/>
      <c r="C47" s="93"/>
      <c r="D47" s="94"/>
      <c r="E47" s="165"/>
      <c r="F47" s="94"/>
      <c r="G47" s="94"/>
    </row>
    <row r="48" spans="1:7" ht="25.5" customHeight="1">
      <c r="A48" s="100"/>
      <c r="B48" s="93"/>
      <c r="C48" s="93"/>
      <c r="D48" s="94"/>
      <c r="E48" s="165"/>
      <c r="F48" s="94"/>
      <c r="G48" s="94"/>
    </row>
    <row r="49" spans="1:15" ht="25.5" customHeight="1">
      <c r="A49" s="100"/>
      <c r="B49" s="93"/>
      <c r="C49" s="93"/>
      <c r="D49" s="94"/>
      <c r="E49" s="165"/>
      <c r="F49" s="94"/>
      <c r="G49" s="94"/>
    </row>
    <row r="50" spans="1:15" ht="25.5" customHeight="1">
      <c r="A50" s="100"/>
      <c r="B50" s="93"/>
      <c r="C50" s="93"/>
      <c r="D50" s="94"/>
      <c r="E50" s="165"/>
      <c r="F50" s="94"/>
      <c r="G50" s="94"/>
    </row>
    <row r="51" spans="1:15" ht="25.5" customHeight="1">
      <c r="A51" s="90">
        <f>A19+1</f>
        <v>3</v>
      </c>
      <c r="B51" s="91" t="s">
        <v>616</v>
      </c>
      <c r="C51" s="91"/>
      <c r="D51" s="92"/>
      <c r="E51" s="164"/>
      <c r="F51" s="92"/>
      <c r="G51" s="92"/>
    </row>
    <row r="52" spans="1:15" ht="25.5" customHeight="1">
      <c r="A52" s="172"/>
      <c r="B52" s="173" t="s">
        <v>617</v>
      </c>
      <c r="C52" s="173"/>
      <c r="D52" s="174"/>
      <c r="E52" s="175"/>
      <c r="F52" s="174"/>
      <c r="G52" s="174"/>
    </row>
    <row r="53" spans="1:15" ht="25.5" customHeight="1">
      <c r="A53" s="100"/>
      <c r="B53" s="170" t="s">
        <v>550</v>
      </c>
      <c r="C53" s="93"/>
      <c r="D53" s="94"/>
      <c r="E53" s="165"/>
      <c r="F53" s="94"/>
      <c r="G53" s="94"/>
    </row>
    <row r="54" spans="1:15" ht="25.5" customHeight="1">
      <c r="A54" s="100"/>
      <c r="B54" s="93" t="s">
        <v>547</v>
      </c>
      <c r="C54" s="93" t="s">
        <v>548</v>
      </c>
      <c r="D54" s="94" t="s">
        <v>532</v>
      </c>
      <c r="E54" s="165">
        <f>E56+E57+E58</f>
        <v>207.3734</v>
      </c>
      <c r="F54" s="94" t="s">
        <v>549</v>
      </c>
      <c r="G54" s="94"/>
    </row>
    <row r="55" spans="1:15" ht="25.5" customHeight="1">
      <c r="A55" s="100"/>
      <c r="B55" s="93" t="s">
        <v>529</v>
      </c>
      <c r="C55" s="93" t="s">
        <v>530</v>
      </c>
      <c r="D55" s="94" t="s">
        <v>532</v>
      </c>
      <c r="E55" s="165">
        <f>E54</f>
        <v>207.3734</v>
      </c>
      <c r="F55" s="94" t="s">
        <v>549</v>
      </c>
      <c r="G55" s="94"/>
      <c r="I55" s="67" t="s">
        <v>533</v>
      </c>
    </row>
    <row r="56" spans="1:15" ht="25.5" customHeight="1">
      <c r="A56" s="100"/>
      <c r="B56" s="93" t="s">
        <v>531</v>
      </c>
      <c r="C56" s="93" t="s">
        <v>543</v>
      </c>
      <c r="D56" s="94" t="s">
        <v>532</v>
      </c>
      <c r="E56" s="165">
        <f>(9.835*2.5)+(24.72*2.5)+(5.81*2.5)+(4.83*2.5)-(20.61)</f>
        <v>92.377499999999998</v>
      </c>
      <c r="F56" s="94" t="s">
        <v>540</v>
      </c>
      <c r="G56" s="94"/>
      <c r="I56" s="67" t="s">
        <v>534</v>
      </c>
      <c r="J56" s="67" t="s">
        <v>535</v>
      </c>
      <c r="K56" s="67" t="s">
        <v>536</v>
      </c>
      <c r="L56" s="67" t="s">
        <v>537</v>
      </c>
      <c r="M56" s="67" t="s">
        <v>538</v>
      </c>
      <c r="N56" s="67" t="s">
        <v>539</v>
      </c>
      <c r="O56" s="87" t="s">
        <v>705</v>
      </c>
    </row>
    <row r="57" spans="1:15" ht="25.5" customHeight="1">
      <c r="A57" s="100"/>
      <c r="B57" s="93" t="s">
        <v>541</v>
      </c>
      <c r="C57" s="93" t="s">
        <v>542</v>
      </c>
      <c r="D57" s="94" t="s">
        <v>532</v>
      </c>
      <c r="E57" s="165">
        <f>(26.07*2.5+0.8*0.4)-(1.51*0.91)</f>
        <v>64.120899999999992</v>
      </c>
      <c r="F57" s="94" t="s">
        <v>555</v>
      </c>
      <c r="G57" s="94"/>
      <c r="I57" s="67">
        <f>1.08*2.5*2</f>
        <v>5.4</v>
      </c>
      <c r="J57" s="67">
        <f>0.8*2.1</f>
        <v>1.6800000000000002</v>
      </c>
      <c r="K57" s="67">
        <f>0.9*2.1</f>
        <v>1.8900000000000001</v>
      </c>
      <c r="L57" s="67">
        <f>3.84*1.24</f>
        <v>4.7615999999999996</v>
      </c>
      <c r="M57" s="67">
        <f>0.92*2.1</f>
        <v>1.9320000000000002</v>
      </c>
      <c r="N57" s="67">
        <f>(1.55+2.41)*2.5/2</f>
        <v>4.95</v>
      </c>
      <c r="O57" s="87">
        <f>SUM(I57:N57)</f>
        <v>20.613600000000002</v>
      </c>
    </row>
    <row r="58" spans="1:15" ht="25.5" customHeight="1">
      <c r="A58" s="100"/>
      <c r="B58" s="93" t="s">
        <v>544</v>
      </c>
      <c r="C58" s="93" t="s">
        <v>545</v>
      </c>
      <c r="D58" s="94" t="s">
        <v>532</v>
      </c>
      <c r="E58" s="165">
        <f>(14.9*2.5)+(4.13*2.5)+(1.32*2.5)</f>
        <v>50.875</v>
      </c>
      <c r="F58" s="94" t="s">
        <v>546</v>
      </c>
      <c r="G58" s="94"/>
    </row>
    <row r="59" spans="1:15" ht="25.5" customHeight="1">
      <c r="A59" s="100"/>
      <c r="B59" s="93" t="s">
        <v>580</v>
      </c>
      <c r="C59" s="93" t="s">
        <v>668</v>
      </c>
      <c r="D59" s="94" t="s">
        <v>532</v>
      </c>
      <c r="E59" s="165">
        <f t="shared" ref="E59:E60" si="0">1.2*2.1+10</f>
        <v>12.52</v>
      </c>
      <c r="F59" s="94" t="s">
        <v>710</v>
      </c>
      <c r="G59" s="94"/>
    </row>
    <row r="60" spans="1:15" ht="25.5" customHeight="1">
      <c r="A60" s="100"/>
      <c r="B60" s="93" t="s">
        <v>669</v>
      </c>
      <c r="C60" s="93" t="s">
        <v>1019</v>
      </c>
      <c r="D60" s="94" t="s">
        <v>532</v>
      </c>
      <c r="E60" s="165">
        <f t="shared" si="0"/>
        <v>12.52</v>
      </c>
      <c r="F60" s="94" t="s">
        <v>710</v>
      </c>
      <c r="G60" s="94"/>
    </row>
    <row r="61" spans="1:15" ht="25.5" customHeight="1">
      <c r="A61" s="100"/>
      <c r="B61" s="93"/>
      <c r="C61" s="93"/>
      <c r="D61" s="94"/>
      <c r="E61" s="165"/>
      <c r="F61" s="94"/>
      <c r="G61" s="94"/>
    </row>
    <row r="62" spans="1:15" ht="25.5" customHeight="1">
      <c r="A62" s="100"/>
      <c r="B62" s="170" t="s">
        <v>551</v>
      </c>
      <c r="C62" s="93"/>
      <c r="D62" s="94"/>
      <c r="E62" s="165"/>
      <c r="F62" s="94"/>
      <c r="G62" s="94"/>
    </row>
    <row r="63" spans="1:15" ht="25.5" customHeight="1">
      <c r="A63" s="100"/>
      <c r="B63" s="93" t="s">
        <v>552</v>
      </c>
      <c r="C63" s="93" t="s">
        <v>553</v>
      </c>
      <c r="D63" s="94" t="s">
        <v>532</v>
      </c>
      <c r="E63" s="165">
        <f>7.845*2.5+2.886*2.5</f>
        <v>26.827500000000001</v>
      </c>
      <c r="F63" s="94" t="s">
        <v>557</v>
      </c>
      <c r="G63" s="94"/>
    </row>
    <row r="64" spans="1:15" ht="25.5" customHeight="1">
      <c r="A64" s="100"/>
      <c r="B64" s="93" t="s">
        <v>552</v>
      </c>
      <c r="C64" s="93" t="s">
        <v>554</v>
      </c>
      <c r="D64" s="94" t="s">
        <v>532</v>
      </c>
      <c r="E64" s="165">
        <f>4.513*2.5</f>
        <v>11.282499999999999</v>
      </c>
      <c r="F64" s="94" t="s">
        <v>556</v>
      </c>
      <c r="G64" s="94"/>
    </row>
    <row r="65" spans="1:13" ht="25.5" customHeight="1">
      <c r="A65" s="100"/>
      <c r="B65" s="93"/>
      <c r="C65" s="93"/>
      <c r="D65" s="94"/>
      <c r="E65" s="165"/>
      <c r="F65" s="94"/>
      <c r="G65" s="94"/>
    </row>
    <row r="66" spans="1:13" ht="25.5" customHeight="1">
      <c r="A66" s="100"/>
      <c r="B66" s="170" t="s">
        <v>893</v>
      </c>
      <c r="C66" s="93"/>
      <c r="D66" s="94"/>
      <c r="E66" s="165"/>
      <c r="F66" s="94"/>
      <c r="G66" s="94"/>
    </row>
    <row r="67" spans="1:13" ht="25.5" customHeight="1">
      <c r="A67" s="100"/>
      <c r="B67" s="93" t="s">
        <v>894</v>
      </c>
      <c r="C67" s="93"/>
      <c r="D67" s="94" t="s">
        <v>375</v>
      </c>
      <c r="E67" s="165">
        <f>(1.395+1.5)</f>
        <v>2.895</v>
      </c>
      <c r="F67" s="94" t="s">
        <v>895</v>
      </c>
      <c r="G67" s="94"/>
    </row>
    <row r="68" spans="1:13" ht="25.5" customHeight="1">
      <c r="A68" s="100"/>
      <c r="B68" s="93"/>
      <c r="C68" s="93"/>
      <c r="D68" s="94"/>
      <c r="E68" s="165"/>
      <c r="F68" s="94"/>
      <c r="G68" s="94"/>
    </row>
    <row r="69" spans="1:13" ht="25.5" customHeight="1">
      <c r="A69" s="100"/>
      <c r="B69" s="170" t="s">
        <v>776</v>
      </c>
      <c r="C69" s="93"/>
      <c r="D69" s="94"/>
      <c r="E69" s="165"/>
      <c r="F69" s="94"/>
      <c r="G69" s="94"/>
    </row>
    <row r="70" spans="1:13" ht="25.5" customHeight="1">
      <c r="A70" s="100" t="s">
        <v>454</v>
      </c>
      <c r="B70" s="93" t="s">
        <v>472</v>
      </c>
      <c r="C70" s="191" t="s">
        <v>473</v>
      </c>
      <c r="D70" s="94" t="s">
        <v>438</v>
      </c>
      <c r="E70" s="165">
        <v>2</v>
      </c>
      <c r="F70" s="94" t="s">
        <v>485</v>
      </c>
      <c r="G70" s="169">
        <f>I70/1000*J70/1000</f>
        <v>1.6973999999999998</v>
      </c>
      <c r="H70" s="67" t="s">
        <v>771</v>
      </c>
      <c r="I70" s="67">
        <v>820</v>
      </c>
      <c r="J70" s="67">
        <v>2070</v>
      </c>
      <c r="K70" s="67" t="s">
        <v>490</v>
      </c>
      <c r="L70" s="67" t="s">
        <v>491</v>
      </c>
      <c r="M70" s="186">
        <f t="shared" ref="M70:M73" si="1">I70*J70*0.4</f>
        <v>678960</v>
      </c>
    </row>
    <row r="71" spans="1:13" ht="25.5" customHeight="1">
      <c r="A71" s="100" t="s">
        <v>477</v>
      </c>
      <c r="B71" s="93" t="s">
        <v>474</v>
      </c>
      <c r="C71" s="191" t="s">
        <v>475</v>
      </c>
      <c r="D71" s="94" t="s">
        <v>438</v>
      </c>
      <c r="E71" s="165">
        <v>1</v>
      </c>
      <c r="F71" s="94" t="s">
        <v>485</v>
      </c>
      <c r="G71" s="169">
        <f>I71/1000*J71/1000</f>
        <v>1.23855</v>
      </c>
      <c r="H71" s="67" t="s">
        <v>772</v>
      </c>
      <c r="I71" s="67">
        <v>690</v>
      </c>
      <c r="J71" s="67">
        <v>1795</v>
      </c>
      <c r="K71" s="67" t="s">
        <v>490</v>
      </c>
      <c r="L71" s="67" t="s">
        <v>491</v>
      </c>
      <c r="M71" s="186">
        <f t="shared" si="1"/>
        <v>495420</v>
      </c>
    </row>
    <row r="72" spans="1:13" ht="25.5" customHeight="1">
      <c r="A72" s="100" t="s">
        <v>478</v>
      </c>
      <c r="B72" s="93" t="s">
        <v>474</v>
      </c>
      <c r="C72" s="191" t="s">
        <v>476</v>
      </c>
      <c r="D72" s="94" t="s">
        <v>438</v>
      </c>
      <c r="E72" s="165">
        <v>1</v>
      </c>
      <c r="F72" s="94" t="s">
        <v>485</v>
      </c>
      <c r="G72" s="169">
        <f>I72/1000*J72/1000</f>
        <v>1.2475249999999998</v>
      </c>
      <c r="H72" s="67" t="s">
        <v>773</v>
      </c>
      <c r="I72" s="67">
        <v>695</v>
      </c>
      <c r="J72" s="67">
        <v>1795</v>
      </c>
      <c r="K72" s="67" t="s">
        <v>490</v>
      </c>
      <c r="L72" s="67" t="s">
        <v>491</v>
      </c>
      <c r="M72" s="186">
        <f t="shared" si="1"/>
        <v>499010</v>
      </c>
    </row>
    <row r="73" spans="1:13" ht="25.5" customHeight="1">
      <c r="A73" s="100" t="s">
        <v>479</v>
      </c>
      <c r="B73" s="93" t="s">
        <v>474</v>
      </c>
      <c r="C73" s="191" t="s">
        <v>1021</v>
      </c>
      <c r="D73" s="94" t="s">
        <v>438</v>
      </c>
      <c r="E73" s="165">
        <v>1</v>
      </c>
      <c r="F73" s="94" t="s">
        <v>485</v>
      </c>
      <c r="G73" s="169">
        <f>I73/1000*J73/1000</f>
        <v>0.99399999999999988</v>
      </c>
      <c r="H73" s="67" t="s">
        <v>774</v>
      </c>
      <c r="I73" s="67">
        <v>700</v>
      </c>
      <c r="J73" s="67">
        <v>1420</v>
      </c>
      <c r="K73" s="67" t="s">
        <v>490</v>
      </c>
      <c r="L73" s="67" t="s">
        <v>491</v>
      </c>
      <c r="M73" s="186">
        <f t="shared" si="1"/>
        <v>397600</v>
      </c>
    </row>
    <row r="74" spans="1:13" ht="25.5" customHeight="1">
      <c r="A74" s="100"/>
      <c r="B74" s="93"/>
      <c r="C74" s="191"/>
      <c r="D74" s="94"/>
      <c r="E74" s="165"/>
      <c r="F74" s="94"/>
      <c r="G74" s="169"/>
    </row>
    <row r="75" spans="1:13" ht="25.5" customHeight="1">
      <c r="A75" s="100"/>
      <c r="B75" s="170" t="s">
        <v>778</v>
      </c>
      <c r="C75" s="93"/>
      <c r="D75" s="94"/>
      <c r="E75" s="165"/>
      <c r="F75" s="94"/>
      <c r="G75" s="94"/>
    </row>
    <row r="76" spans="1:13" ht="25.5" customHeight="1">
      <c r="A76" s="100"/>
      <c r="B76" s="93" t="s">
        <v>780</v>
      </c>
      <c r="C76" s="191" t="s">
        <v>781</v>
      </c>
      <c r="D76" s="94" t="s">
        <v>526</v>
      </c>
      <c r="E76" s="165">
        <v>1</v>
      </c>
      <c r="F76" s="94" t="s">
        <v>782</v>
      </c>
      <c r="G76" s="169" t="s">
        <v>873</v>
      </c>
      <c r="H76" s="184" t="s">
        <v>785</v>
      </c>
      <c r="K76" s="202">
        <f>1.5*2</f>
        <v>3</v>
      </c>
      <c r="L76" s="203">
        <f>K76*4.5</f>
        <v>13.5</v>
      </c>
      <c r="M76" s="203">
        <f>L76*2.62</f>
        <v>35.370000000000005</v>
      </c>
    </row>
    <row r="77" spans="1:13" ht="25.5" customHeight="1">
      <c r="A77" s="100"/>
      <c r="B77" s="93" t="s">
        <v>780</v>
      </c>
      <c r="C77" s="191" t="s">
        <v>783</v>
      </c>
      <c r="D77" s="94" t="s">
        <v>526</v>
      </c>
      <c r="E77" s="165">
        <v>1</v>
      </c>
      <c r="F77" s="94" t="s">
        <v>782</v>
      </c>
      <c r="G77" s="169" t="s">
        <v>871</v>
      </c>
      <c r="H77" s="184" t="s">
        <v>785</v>
      </c>
      <c r="K77" s="202">
        <f>6.375*0.535</f>
        <v>3.410625</v>
      </c>
      <c r="L77" s="203">
        <f>K77*4.5</f>
        <v>15.3478125</v>
      </c>
      <c r="M77" s="203">
        <f>L77*2.62</f>
        <v>40.211268750000002</v>
      </c>
    </row>
    <row r="78" spans="1:13" ht="25.5" customHeight="1">
      <c r="A78" s="100"/>
      <c r="B78" s="93" t="s">
        <v>780</v>
      </c>
      <c r="C78" s="191" t="s">
        <v>784</v>
      </c>
      <c r="D78" s="94" t="s">
        <v>526</v>
      </c>
      <c r="E78" s="165">
        <v>2</v>
      </c>
      <c r="F78" s="94" t="s">
        <v>779</v>
      </c>
      <c r="G78" s="169" t="s">
        <v>872</v>
      </c>
      <c r="H78" s="184" t="s">
        <v>785</v>
      </c>
      <c r="K78" s="202">
        <f>1.19*2.3</f>
        <v>2.7369999999999997</v>
      </c>
      <c r="L78" s="203">
        <f>K78*4.5</f>
        <v>12.316499999999998</v>
      </c>
      <c r="M78" s="203">
        <f>L78*2.62</f>
        <v>32.269229999999993</v>
      </c>
    </row>
    <row r="79" spans="1:13" ht="25.5" customHeight="1">
      <c r="A79" s="100"/>
      <c r="B79" s="93"/>
      <c r="C79" s="191"/>
      <c r="D79" s="94"/>
      <c r="E79" s="165"/>
      <c r="F79" s="94"/>
      <c r="G79" s="169"/>
    </row>
    <row r="80" spans="1:13" ht="25.5" customHeight="1">
      <c r="A80" s="100"/>
      <c r="B80" s="170" t="s">
        <v>916</v>
      </c>
      <c r="C80" s="93"/>
      <c r="D80" s="94"/>
      <c r="E80" s="165"/>
      <c r="F80" s="94"/>
      <c r="G80" s="94"/>
    </row>
    <row r="81" spans="1:11" ht="25.5" customHeight="1">
      <c r="A81" s="100"/>
      <c r="B81" s="93" t="s">
        <v>917</v>
      </c>
      <c r="C81" s="93" t="s">
        <v>919</v>
      </c>
      <c r="D81" s="94" t="s">
        <v>914</v>
      </c>
      <c r="E81" s="165">
        <v>1</v>
      </c>
      <c r="F81" s="94" t="s">
        <v>921</v>
      </c>
      <c r="G81" s="94"/>
      <c r="I81" s="202">
        <f>1.75*1.89</f>
        <v>3.3074999999999997</v>
      </c>
      <c r="J81" s="202">
        <f>1*1*2*7.93</f>
        <v>15.86</v>
      </c>
      <c r="K81" s="202">
        <f>I81*J81</f>
        <v>52.456949999999992</v>
      </c>
    </row>
    <row r="82" spans="1:11" ht="25.5" customHeight="1">
      <c r="A82" s="100"/>
      <c r="B82" s="93" t="s">
        <v>918</v>
      </c>
      <c r="C82" s="93" t="s">
        <v>920</v>
      </c>
      <c r="D82" s="94" t="s">
        <v>914</v>
      </c>
      <c r="E82" s="165">
        <v>1</v>
      </c>
      <c r="F82" s="94" t="s">
        <v>922</v>
      </c>
      <c r="G82" s="94"/>
      <c r="I82" s="202">
        <f>2.9*0.6</f>
        <v>1.74</v>
      </c>
      <c r="J82" s="202">
        <f>1*1*2*7.93</f>
        <v>15.86</v>
      </c>
      <c r="K82" s="202">
        <f>I82*J82</f>
        <v>27.596399999999999</v>
      </c>
    </row>
    <row r="83" spans="1:11" ht="25.5" customHeight="1">
      <c r="A83" s="172"/>
      <c r="B83" s="173" t="s">
        <v>618</v>
      </c>
      <c r="C83" s="173"/>
      <c r="D83" s="174"/>
      <c r="E83" s="175"/>
      <c r="F83" s="174"/>
      <c r="G83" s="174"/>
    </row>
    <row r="84" spans="1:11" ht="25.5" customHeight="1">
      <c r="A84" s="100"/>
      <c r="B84" s="93" t="s">
        <v>529</v>
      </c>
      <c r="C84" s="93" t="s">
        <v>581</v>
      </c>
      <c r="D84" s="94" t="s">
        <v>532</v>
      </c>
      <c r="E84" s="165">
        <f>118-52</f>
        <v>66</v>
      </c>
      <c r="F84" s="94" t="s">
        <v>582</v>
      </c>
      <c r="G84" s="94"/>
    </row>
    <row r="85" spans="1:11" ht="25.5" customHeight="1">
      <c r="A85" s="100"/>
      <c r="B85" s="93" t="s">
        <v>541</v>
      </c>
      <c r="C85" s="93" t="s">
        <v>542</v>
      </c>
      <c r="D85" s="94" t="s">
        <v>532</v>
      </c>
      <c r="E85" s="165">
        <f>118-52</f>
        <v>66</v>
      </c>
      <c r="F85" s="94" t="s">
        <v>582</v>
      </c>
      <c r="G85" s="94"/>
    </row>
    <row r="86" spans="1:11" ht="25.5" customHeight="1">
      <c r="A86" s="100"/>
      <c r="B86" s="93" t="s">
        <v>583</v>
      </c>
      <c r="C86" s="93" t="s">
        <v>584</v>
      </c>
      <c r="D86" s="94" t="s">
        <v>532</v>
      </c>
      <c r="E86" s="165">
        <f>52</f>
        <v>52</v>
      </c>
      <c r="F86" s="94" t="s">
        <v>585</v>
      </c>
      <c r="G86" s="94"/>
    </row>
    <row r="87" spans="1:11" ht="25.5" customHeight="1">
      <c r="A87" s="100"/>
      <c r="B87" s="93" t="s">
        <v>586</v>
      </c>
      <c r="C87" s="93" t="s">
        <v>587</v>
      </c>
      <c r="D87" s="94" t="s">
        <v>532</v>
      </c>
      <c r="E87" s="165">
        <f>52</f>
        <v>52</v>
      </c>
      <c r="F87" s="94" t="s">
        <v>585</v>
      </c>
      <c r="G87" s="94"/>
    </row>
    <row r="88" spans="1:11" ht="25.5" customHeight="1">
      <c r="A88" s="100"/>
      <c r="B88" s="93" t="s">
        <v>588</v>
      </c>
      <c r="C88" s="93" t="s">
        <v>589</v>
      </c>
      <c r="D88" s="94" t="s">
        <v>532</v>
      </c>
      <c r="E88" s="165">
        <f>52</f>
        <v>52</v>
      </c>
      <c r="F88" s="94" t="s">
        <v>585</v>
      </c>
      <c r="G88" s="94"/>
    </row>
    <row r="89" spans="1:11" ht="25.5" customHeight="1">
      <c r="A89" s="100"/>
      <c r="B89" s="93" t="s">
        <v>580</v>
      </c>
      <c r="C89" s="93" t="s">
        <v>590</v>
      </c>
      <c r="D89" s="94" t="s">
        <v>532</v>
      </c>
      <c r="E89" s="165">
        <f>52</f>
        <v>52</v>
      </c>
      <c r="F89" s="94" t="s">
        <v>585</v>
      </c>
      <c r="G89" s="94"/>
    </row>
    <row r="90" spans="1:11" ht="25.5" customHeight="1">
      <c r="A90" s="100"/>
      <c r="B90" s="93" t="s">
        <v>591</v>
      </c>
      <c r="C90" s="93" t="s">
        <v>592</v>
      </c>
      <c r="D90" s="94" t="s">
        <v>532</v>
      </c>
      <c r="E90" s="165">
        <f>52</f>
        <v>52</v>
      </c>
      <c r="F90" s="94" t="s">
        <v>585</v>
      </c>
      <c r="G90" s="94"/>
    </row>
    <row r="91" spans="1:11" ht="25.5" customHeight="1">
      <c r="A91" s="100"/>
      <c r="B91" s="93" t="s">
        <v>593</v>
      </c>
      <c r="C91" s="93" t="s">
        <v>594</v>
      </c>
      <c r="D91" s="94" t="s">
        <v>500</v>
      </c>
      <c r="E91" s="165">
        <f>6.335+9.175+5.511+2.713+6.375</f>
        <v>30.109000000000002</v>
      </c>
      <c r="F91" s="94" t="s">
        <v>596</v>
      </c>
      <c r="G91" s="94"/>
      <c r="I91" s="67">
        <f>0.093*0.06</f>
        <v>5.5799999999999999E-3</v>
      </c>
      <c r="J91" s="67">
        <f>0.093*2+0.06*2</f>
        <v>0.30599999999999999</v>
      </c>
    </row>
    <row r="92" spans="1:11" ht="25.5" customHeight="1">
      <c r="A92" s="100"/>
      <c r="B92" s="93" t="s">
        <v>593</v>
      </c>
      <c r="C92" s="93" t="s">
        <v>595</v>
      </c>
      <c r="D92" s="94" t="s">
        <v>500</v>
      </c>
      <c r="E92" s="165">
        <f>6.375*2+9.175+6.38*2+2.665+2.72+1.25</f>
        <v>41.32</v>
      </c>
      <c r="F92" s="94" t="s">
        <v>597</v>
      </c>
      <c r="G92" s="94"/>
      <c r="I92" s="67">
        <f>0.03*0.06</f>
        <v>1.8E-3</v>
      </c>
      <c r="J92" s="67">
        <f>0.03*2+0.06*2</f>
        <v>0.18</v>
      </c>
    </row>
    <row r="93" spans="1:11" ht="25.5" customHeight="1">
      <c r="A93" s="100"/>
      <c r="B93" s="93" t="s">
        <v>598</v>
      </c>
      <c r="C93" s="93" t="s">
        <v>599</v>
      </c>
      <c r="D93" s="94" t="s">
        <v>526</v>
      </c>
      <c r="E93" s="165">
        <v>3</v>
      </c>
      <c r="F93" s="94" t="s">
        <v>743</v>
      </c>
      <c r="G93" s="94"/>
    </row>
    <row r="94" spans="1:11" ht="25.5" customHeight="1">
      <c r="A94" s="100"/>
      <c r="B94" s="93"/>
      <c r="C94" s="93"/>
      <c r="D94" s="94"/>
      <c r="E94" s="165"/>
      <c r="F94" s="94"/>
      <c r="G94" s="94"/>
    </row>
    <row r="95" spans="1:11" ht="25.5" customHeight="1">
      <c r="A95" s="100"/>
      <c r="B95" s="93"/>
      <c r="C95" s="93"/>
      <c r="D95" s="94"/>
      <c r="E95" s="165"/>
      <c r="F95" s="94"/>
      <c r="G95" s="94"/>
    </row>
    <row r="96" spans="1:11" ht="25.5" customHeight="1">
      <c r="A96" s="100"/>
      <c r="B96" s="93"/>
      <c r="C96" s="93"/>
      <c r="D96" s="94"/>
      <c r="E96" s="165"/>
      <c r="F96" s="94"/>
      <c r="G96" s="94"/>
    </row>
    <row r="97" spans="1:14" ht="25.5" customHeight="1">
      <c r="A97" s="100"/>
      <c r="B97" s="93"/>
      <c r="C97" s="93"/>
      <c r="D97" s="94"/>
      <c r="E97" s="165"/>
      <c r="F97" s="94"/>
      <c r="G97" s="94"/>
    </row>
    <row r="98" spans="1:14" ht="25.5" customHeight="1">
      <c r="A98" s="100"/>
      <c r="B98" s="93"/>
      <c r="C98" s="93"/>
      <c r="D98" s="94"/>
      <c r="E98" s="165"/>
      <c r="F98" s="94"/>
      <c r="G98" s="94"/>
    </row>
    <row r="99" spans="1:14" ht="25.5" customHeight="1">
      <c r="A99" s="172"/>
      <c r="B99" s="173" t="s">
        <v>619</v>
      </c>
      <c r="C99" s="173"/>
      <c r="D99" s="174"/>
      <c r="E99" s="175"/>
      <c r="F99" s="174"/>
      <c r="G99" s="174"/>
      <c r="L99" s="67" t="s">
        <v>1022</v>
      </c>
      <c r="M99" s="67" t="s">
        <v>1023</v>
      </c>
      <c r="N99" s="67" t="s">
        <v>1024</v>
      </c>
    </row>
    <row r="100" spans="1:14" ht="25.5" customHeight="1">
      <c r="A100" s="100"/>
      <c r="B100" s="93" t="s">
        <v>525</v>
      </c>
      <c r="C100" s="93" t="s">
        <v>528</v>
      </c>
      <c r="D100" s="94" t="s">
        <v>526</v>
      </c>
      <c r="E100" s="165">
        <v>1</v>
      </c>
      <c r="F100" s="94" t="s">
        <v>527</v>
      </c>
      <c r="G100" s="94"/>
      <c r="I100" s="67">
        <f>20*1.53</f>
        <v>30.6</v>
      </c>
      <c r="J100" s="67">
        <f>2.041*3*2*2</f>
        <v>24.491999999999997</v>
      </c>
      <c r="K100" s="67">
        <f>0.2*10*3</f>
        <v>6</v>
      </c>
      <c r="L100" s="204">
        <f>SUM(I100:K100)</f>
        <v>61.091999999999999</v>
      </c>
      <c r="M100" s="204">
        <f>L100*1.41</f>
        <v>86.139719999999997</v>
      </c>
      <c r="N100" s="67">
        <f>2.314*1.53+0.6*2.314</f>
        <v>4.92882</v>
      </c>
    </row>
    <row r="101" spans="1:14" ht="25.5" customHeight="1">
      <c r="A101" s="100"/>
      <c r="B101" s="93"/>
      <c r="C101" s="93"/>
      <c r="D101" s="94"/>
      <c r="E101" s="165"/>
      <c r="F101" s="94"/>
      <c r="G101" s="94"/>
    </row>
    <row r="102" spans="1:14" ht="25.5" customHeight="1">
      <c r="A102" s="100"/>
      <c r="B102" s="93"/>
      <c r="C102" s="93"/>
      <c r="D102" s="94"/>
      <c r="E102" s="165"/>
      <c r="F102" s="94"/>
      <c r="G102" s="94"/>
    </row>
    <row r="103" spans="1:14" ht="25.5" customHeight="1">
      <c r="A103" s="100"/>
      <c r="B103" s="93"/>
      <c r="C103" s="93"/>
      <c r="D103" s="94"/>
      <c r="E103" s="165"/>
      <c r="F103" s="94"/>
      <c r="G103" s="94"/>
    </row>
    <row r="104" spans="1:14" ht="25.5" customHeight="1">
      <c r="A104" s="100"/>
      <c r="B104" s="93"/>
      <c r="C104" s="93"/>
      <c r="D104" s="94"/>
      <c r="E104" s="165"/>
      <c r="F104" s="94"/>
      <c r="G104" s="94"/>
    </row>
    <row r="105" spans="1:14" ht="25.5" customHeight="1">
      <c r="A105" s="100"/>
      <c r="B105" s="93"/>
      <c r="C105" s="93"/>
      <c r="D105" s="94"/>
      <c r="E105" s="165"/>
      <c r="F105" s="94"/>
      <c r="G105" s="94"/>
    </row>
    <row r="106" spans="1:14" ht="25.5" customHeight="1">
      <c r="A106" s="100"/>
      <c r="B106" s="93"/>
      <c r="C106" s="93"/>
      <c r="D106" s="94"/>
      <c r="E106" s="165"/>
      <c r="F106" s="94"/>
      <c r="G106" s="94"/>
    </row>
    <row r="107" spans="1:14" ht="25.5" customHeight="1">
      <c r="A107" s="100"/>
      <c r="B107" s="93"/>
      <c r="C107" s="93"/>
      <c r="D107" s="94"/>
      <c r="E107" s="165"/>
      <c r="F107" s="94"/>
      <c r="G107" s="94"/>
    </row>
    <row r="108" spans="1:14" ht="25.5" customHeight="1">
      <c r="A108" s="100"/>
      <c r="B108" s="93"/>
      <c r="C108" s="93"/>
      <c r="D108" s="94"/>
      <c r="E108" s="165"/>
      <c r="F108" s="94"/>
      <c r="G108" s="94"/>
    </row>
    <row r="109" spans="1:14" ht="25.5" customHeight="1">
      <c r="A109" s="100"/>
      <c r="B109" s="93"/>
      <c r="C109" s="93"/>
      <c r="D109" s="94"/>
      <c r="E109" s="165"/>
      <c r="F109" s="94"/>
      <c r="G109" s="94"/>
    </row>
    <row r="110" spans="1:14" ht="25.5" customHeight="1">
      <c r="A110" s="100"/>
      <c r="B110" s="93"/>
      <c r="C110" s="93"/>
      <c r="D110" s="94"/>
      <c r="E110" s="165"/>
      <c r="F110" s="94"/>
      <c r="G110" s="94"/>
    </row>
    <row r="111" spans="1:14" ht="25.5" customHeight="1">
      <c r="A111" s="100"/>
      <c r="B111" s="93"/>
      <c r="C111" s="93"/>
      <c r="D111" s="94"/>
      <c r="E111" s="165"/>
      <c r="F111" s="94"/>
      <c r="G111" s="94"/>
    </row>
    <row r="112" spans="1:14" ht="25.5" customHeight="1">
      <c r="A112" s="100"/>
      <c r="B112" s="93"/>
      <c r="C112" s="93"/>
      <c r="D112" s="94"/>
      <c r="E112" s="165"/>
      <c r="F112" s="94"/>
      <c r="G112" s="94"/>
    </row>
    <row r="113" spans="1:7" ht="25.5" customHeight="1">
      <c r="A113" s="100"/>
      <c r="B113" s="93"/>
      <c r="C113" s="93"/>
      <c r="D113" s="94"/>
      <c r="E113" s="165"/>
      <c r="F113" s="94"/>
      <c r="G113" s="94"/>
    </row>
    <row r="114" spans="1:7" ht="25.5" customHeight="1">
      <c r="A114" s="100"/>
      <c r="B114" s="93"/>
      <c r="C114" s="93"/>
      <c r="D114" s="94"/>
      <c r="E114" s="165"/>
      <c r="F114" s="94"/>
      <c r="G114" s="94"/>
    </row>
    <row r="115" spans="1:7" ht="25.5" customHeight="1">
      <c r="A115" s="90">
        <f>A51+1</f>
        <v>4</v>
      </c>
      <c r="B115" s="91" t="s">
        <v>620</v>
      </c>
      <c r="C115" s="91"/>
      <c r="D115" s="92"/>
      <c r="E115" s="164"/>
      <c r="F115" s="92"/>
      <c r="G115" s="92"/>
    </row>
    <row r="116" spans="1:7" ht="25.5" customHeight="1">
      <c r="A116" s="100"/>
      <c r="B116" s="93" t="s">
        <v>601</v>
      </c>
      <c r="C116" s="93" t="s">
        <v>602</v>
      </c>
      <c r="D116" s="94" t="s">
        <v>603</v>
      </c>
      <c r="E116" s="165">
        <v>2</v>
      </c>
      <c r="F116" s="94" t="s">
        <v>604</v>
      </c>
      <c r="G116" s="94"/>
    </row>
    <row r="117" spans="1:7" ht="25.5" customHeight="1">
      <c r="A117" s="192"/>
      <c r="B117" s="176" t="s">
        <v>601</v>
      </c>
      <c r="C117" s="176" t="s">
        <v>606</v>
      </c>
      <c r="D117" s="177" t="s">
        <v>603</v>
      </c>
      <c r="E117" s="165">
        <v>1</v>
      </c>
      <c r="F117" s="177" t="s">
        <v>605</v>
      </c>
      <c r="G117" s="94"/>
    </row>
    <row r="118" spans="1:7" ht="25.5" customHeight="1">
      <c r="A118" s="192"/>
      <c r="B118" s="176" t="s">
        <v>607</v>
      </c>
      <c r="C118" s="176" t="s">
        <v>608</v>
      </c>
      <c r="D118" s="177" t="s">
        <v>603</v>
      </c>
      <c r="E118" s="165">
        <v>1</v>
      </c>
      <c r="F118" s="177" t="s">
        <v>609</v>
      </c>
      <c r="G118" s="171"/>
    </row>
    <row r="119" spans="1:7" ht="25.5" customHeight="1">
      <c r="A119" s="100"/>
      <c r="B119" s="93" t="s">
        <v>1025</v>
      </c>
      <c r="C119" s="93" t="s">
        <v>1026</v>
      </c>
      <c r="D119" s="94" t="s">
        <v>1027</v>
      </c>
      <c r="E119" s="165">
        <v>1</v>
      </c>
      <c r="F119" s="94" t="s">
        <v>1039</v>
      </c>
      <c r="G119" s="94"/>
    </row>
    <row r="120" spans="1:7" ht="25.5" customHeight="1">
      <c r="A120" s="100"/>
      <c r="B120" s="93" t="s">
        <v>1028</v>
      </c>
      <c r="C120" s="93" t="s">
        <v>1029</v>
      </c>
      <c r="D120" s="94" t="s">
        <v>1034</v>
      </c>
      <c r="E120" s="165">
        <f>15*4</f>
        <v>60</v>
      </c>
      <c r="F120" s="94" t="s">
        <v>1039</v>
      </c>
      <c r="G120" s="94"/>
    </row>
    <row r="121" spans="1:7" ht="25.5" customHeight="1">
      <c r="A121" s="100"/>
      <c r="B121" s="93" t="s">
        <v>1031</v>
      </c>
      <c r="C121" s="93" t="s">
        <v>1032</v>
      </c>
      <c r="D121" s="94" t="s">
        <v>1035</v>
      </c>
      <c r="E121" s="165">
        <f>4*4</f>
        <v>16</v>
      </c>
      <c r="F121" s="94" t="s">
        <v>1039</v>
      </c>
      <c r="G121" s="94"/>
    </row>
    <row r="122" spans="1:7" ht="25.5" customHeight="1">
      <c r="A122" s="100"/>
      <c r="B122" s="93" t="s">
        <v>1030</v>
      </c>
      <c r="C122" s="93" t="s">
        <v>1032</v>
      </c>
      <c r="D122" s="94" t="s">
        <v>1035</v>
      </c>
      <c r="E122" s="165">
        <f>4*4</f>
        <v>16</v>
      </c>
      <c r="F122" s="94" t="s">
        <v>1039</v>
      </c>
      <c r="G122" s="94"/>
    </row>
    <row r="123" spans="1:7" ht="25.5" customHeight="1">
      <c r="A123" s="100"/>
      <c r="B123" s="93" t="s">
        <v>1036</v>
      </c>
      <c r="C123" s="93" t="s">
        <v>1037</v>
      </c>
      <c r="D123" s="94" t="s">
        <v>1038</v>
      </c>
      <c r="E123" s="165">
        <f>E120/4</f>
        <v>15</v>
      </c>
      <c r="F123" s="94" t="s">
        <v>1039</v>
      </c>
      <c r="G123" s="94"/>
    </row>
    <row r="124" spans="1:7" ht="25.5" customHeight="1">
      <c r="A124" s="100"/>
      <c r="B124" s="93"/>
      <c r="C124" s="93"/>
      <c r="D124" s="94"/>
      <c r="E124" s="165"/>
      <c r="F124" s="94"/>
      <c r="G124" s="94"/>
    </row>
    <row r="125" spans="1:7" ht="25.5" customHeight="1">
      <c r="A125" s="100"/>
      <c r="B125" s="93"/>
      <c r="C125" s="93"/>
      <c r="D125" s="94"/>
      <c r="E125" s="165"/>
      <c r="F125" s="94"/>
      <c r="G125" s="94"/>
    </row>
    <row r="126" spans="1:7" ht="25.5" customHeight="1">
      <c r="A126" s="100"/>
      <c r="B126" s="93"/>
      <c r="C126" s="93"/>
      <c r="D126" s="94"/>
      <c r="E126" s="165"/>
      <c r="F126" s="94"/>
      <c r="G126" s="94"/>
    </row>
    <row r="127" spans="1:7" ht="25.5" customHeight="1">
      <c r="A127" s="100"/>
      <c r="B127" s="93"/>
      <c r="C127" s="93"/>
      <c r="D127" s="94"/>
      <c r="E127" s="165"/>
      <c r="F127" s="94"/>
      <c r="G127" s="94"/>
    </row>
    <row r="128" spans="1:7" ht="25.5" customHeight="1">
      <c r="A128" s="100"/>
      <c r="B128" s="93"/>
      <c r="C128" s="93"/>
      <c r="D128" s="94"/>
      <c r="E128" s="165"/>
      <c r="F128" s="94"/>
      <c r="G128" s="94"/>
    </row>
    <row r="129" spans="1:7" ht="25.5" customHeight="1">
      <c r="A129" s="100"/>
      <c r="B129" s="93"/>
      <c r="C129" s="93"/>
      <c r="D129" s="94"/>
      <c r="E129" s="165"/>
      <c r="F129" s="94"/>
      <c r="G129" s="94"/>
    </row>
    <row r="130" spans="1:7" ht="25.5" customHeight="1">
      <c r="A130" s="100"/>
      <c r="B130" s="93"/>
      <c r="C130" s="93"/>
      <c r="D130" s="94"/>
      <c r="E130" s="165"/>
      <c r="F130" s="94"/>
      <c r="G130" s="94"/>
    </row>
    <row r="131" spans="1:7" ht="25.5" customHeight="1">
      <c r="A131" s="90">
        <f>A115+1</f>
        <v>5</v>
      </c>
      <c r="B131" s="91" t="s">
        <v>622</v>
      </c>
      <c r="C131" s="91"/>
      <c r="D131" s="92"/>
      <c r="E131" s="164"/>
      <c r="F131" s="92"/>
      <c r="G131" s="92"/>
    </row>
    <row r="132" spans="1:7" ht="25.5" customHeight="1">
      <c r="A132" s="205" t="s">
        <v>1040</v>
      </c>
      <c r="B132" s="93" t="s">
        <v>611</v>
      </c>
      <c r="C132" s="93" t="s">
        <v>612</v>
      </c>
      <c r="D132" s="94" t="s">
        <v>603</v>
      </c>
      <c r="E132" s="165">
        <v>1</v>
      </c>
      <c r="F132" s="94" t="s">
        <v>610</v>
      </c>
      <c r="G132" s="94"/>
    </row>
    <row r="133" spans="1:7" ht="25.5" customHeight="1">
      <c r="A133" s="205" t="s">
        <v>1041</v>
      </c>
      <c r="B133" s="93" t="s">
        <v>611</v>
      </c>
      <c r="C133" s="93" t="s">
        <v>613</v>
      </c>
      <c r="D133" s="94" t="s">
        <v>603</v>
      </c>
      <c r="E133" s="165">
        <v>1</v>
      </c>
      <c r="F133" s="94" t="s">
        <v>614</v>
      </c>
      <c r="G133" s="94"/>
    </row>
    <row r="134" spans="1:7" ht="25.5" customHeight="1">
      <c r="A134" s="205" t="s">
        <v>1042</v>
      </c>
      <c r="B134" s="176" t="s">
        <v>623</v>
      </c>
      <c r="C134" s="176" t="s">
        <v>624</v>
      </c>
      <c r="D134" s="177" t="s">
        <v>500</v>
      </c>
      <c r="E134" s="165">
        <f>12+4+10</f>
        <v>26</v>
      </c>
      <c r="F134" s="177" t="s">
        <v>628</v>
      </c>
      <c r="G134" s="94"/>
    </row>
    <row r="135" spans="1:7" ht="25.5" customHeight="1">
      <c r="A135" s="205" t="s">
        <v>1043</v>
      </c>
      <c r="B135" s="176" t="s">
        <v>625</v>
      </c>
      <c r="C135" s="176" t="s">
        <v>624</v>
      </c>
      <c r="D135" s="177" t="s">
        <v>156</v>
      </c>
      <c r="E135" s="165">
        <v>4</v>
      </c>
      <c r="F135" s="177" t="s">
        <v>632</v>
      </c>
      <c r="G135" s="94"/>
    </row>
    <row r="136" spans="1:7" ht="25.5" customHeight="1">
      <c r="A136" s="205" t="s">
        <v>1044</v>
      </c>
      <c r="B136" s="176" t="s">
        <v>626</v>
      </c>
      <c r="C136" s="176" t="s">
        <v>624</v>
      </c>
      <c r="D136" s="177" t="s">
        <v>156</v>
      </c>
      <c r="E136" s="165">
        <v>2</v>
      </c>
      <c r="F136" s="177" t="s">
        <v>632</v>
      </c>
      <c r="G136" s="171"/>
    </row>
    <row r="137" spans="1:7" ht="25.5" customHeight="1">
      <c r="A137" s="205" t="s">
        <v>1045</v>
      </c>
      <c r="B137" s="93" t="s">
        <v>627</v>
      </c>
      <c r="C137" s="176" t="s">
        <v>624</v>
      </c>
      <c r="D137" s="94" t="s">
        <v>156</v>
      </c>
      <c r="E137" s="165">
        <f>ROUNDUP(E134/4,0)</f>
        <v>7</v>
      </c>
      <c r="F137" s="177" t="s">
        <v>629</v>
      </c>
      <c r="G137" s="94"/>
    </row>
    <row r="138" spans="1:7" ht="25.5" customHeight="1">
      <c r="A138" s="205" t="s">
        <v>1046</v>
      </c>
      <c r="B138" s="93" t="s">
        <v>630</v>
      </c>
      <c r="C138" s="93" t="s">
        <v>631</v>
      </c>
      <c r="D138" s="94" t="s">
        <v>500</v>
      </c>
      <c r="E138" s="165">
        <f>E134</f>
        <v>26</v>
      </c>
      <c r="F138" s="94" t="s">
        <v>633</v>
      </c>
      <c r="G138" s="94"/>
    </row>
    <row r="139" spans="1:7" ht="25.5" customHeight="1">
      <c r="A139" s="205" t="s">
        <v>1047</v>
      </c>
      <c r="B139" s="176" t="s">
        <v>623</v>
      </c>
      <c r="C139" s="176" t="s">
        <v>634</v>
      </c>
      <c r="D139" s="177" t="s">
        <v>500</v>
      </c>
      <c r="E139" s="165">
        <f>7+10+5+10</f>
        <v>32</v>
      </c>
      <c r="F139" s="177" t="s">
        <v>640</v>
      </c>
      <c r="G139" s="94"/>
    </row>
    <row r="140" spans="1:7" ht="25.5" customHeight="1">
      <c r="A140" s="205" t="s">
        <v>1048</v>
      </c>
      <c r="B140" s="176" t="s">
        <v>625</v>
      </c>
      <c r="C140" s="176" t="s">
        <v>634</v>
      </c>
      <c r="D140" s="177" t="s">
        <v>156</v>
      </c>
      <c r="E140" s="165">
        <v>6</v>
      </c>
      <c r="F140" s="177" t="s">
        <v>632</v>
      </c>
      <c r="G140" s="94"/>
    </row>
    <row r="141" spans="1:7" ht="25.5" customHeight="1">
      <c r="A141" s="205" t="s">
        <v>1049</v>
      </c>
      <c r="B141" s="176" t="s">
        <v>626</v>
      </c>
      <c r="C141" s="176" t="s">
        <v>634</v>
      </c>
      <c r="D141" s="177" t="s">
        <v>156</v>
      </c>
      <c r="E141" s="165">
        <v>4</v>
      </c>
      <c r="F141" s="177" t="s">
        <v>632</v>
      </c>
      <c r="G141" s="94"/>
    </row>
    <row r="142" spans="1:7" ht="25.5" customHeight="1">
      <c r="A142" s="205" t="s">
        <v>1050</v>
      </c>
      <c r="B142" s="93" t="s">
        <v>627</v>
      </c>
      <c r="C142" s="176" t="s">
        <v>634</v>
      </c>
      <c r="D142" s="94" t="s">
        <v>156</v>
      </c>
      <c r="E142" s="165">
        <f>ROUNDUP(E139/4,0)</f>
        <v>8</v>
      </c>
      <c r="F142" s="177" t="s">
        <v>629</v>
      </c>
      <c r="G142" s="94"/>
    </row>
    <row r="143" spans="1:7" ht="25.5" customHeight="1">
      <c r="A143" s="205" t="s">
        <v>1051</v>
      </c>
      <c r="B143" s="93" t="s">
        <v>630</v>
      </c>
      <c r="C143" s="93" t="s">
        <v>635</v>
      </c>
      <c r="D143" s="94" t="s">
        <v>500</v>
      </c>
      <c r="E143" s="165">
        <f>E139</f>
        <v>32</v>
      </c>
      <c r="F143" s="94" t="s">
        <v>641</v>
      </c>
      <c r="G143" s="94"/>
    </row>
    <row r="144" spans="1:7" ht="25.5" customHeight="1">
      <c r="A144" s="205" t="s">
        <v>1052</v>
      </c>
      <c r="B144" s="93" t="s">
        <v>636</v>
      </c>
      <c r="C144" s="93" t="s">
        <v>637</v>
      </c>
      <c r="D144" s="94" t="s">
        <v>603</v>
      </c>
      <c r="E144" s="165">
        <v>1</v>
      </c>
      <c r="F144" s="94" t="s">
        <v>639</v>
      </c>
      <c r="G144" s="94"/>
    </row>
    <row r="145" spans="1:7" ht="25.5" customHeight="1">
      <c r="A145" s="205" t="s">
        <v>1053</v>
      </c>
      <c r="B145" s="93" t="s">
        <v>636</v>
      </c>
      <c r="C145" s="93" t="s">
        <v>638</v>
      </c>
      <c r="D145" s="94" t="s">
        <v>603</v>
      </c>
      <c r="E145" s="165">
        <v>1</v>
      </c>
      <c r="F145" s="94" t="s">
        <v>639</v>
      </c>
      <c r="G145" s="94"/>
    </row>
    <row r="146" spans="1:7" ht="25.5" customHeight="1">
      <c r="A146" s="205" t="s">
        <v>1054</v>
      </c>
      <c r="B146" s="93" t="s">
        <v>642</v>
      </c>
      <c r="C146" s="93" t="s">
        <v>643</v>
      </c>
      <c r="D146" s="94" t="s">
        <v>156</v>
      </c>
      <c r="E146" s="165">
        <v>1</v>
      </c>
      <c r="F146" s="94" t="s">
        <v>644</v>
      </c>
      <c r="G146" s="94"/>
    </row>
    <row r="147" spans="1:7" ht="25.5" customHeight="1">
      <c r="A147" s="205" t="s">
        <v>1055</v>
      </c>
      <c r="B147" s="93" t="s">
        <v>645</v>
      </c>
      <c r="C147" s="93" t="s">
        <v>646</v>
      </c>
      <c r="D147" s="94" t="s">
        <v>156</v>
      </c>
      <c r="E147" s="165">
        <v>1</v>
      </c>
      <c r="F147" s="94" t="s">
        <v>644</v>
      </c>
      <c r="G147" s="94"/>
    </row>
    <row r="148" spans="1:7" ht="25.5" customHeight="1">
      <c r="A148" s="205" t="s">
        <v>1056</v>
      </c>
      <c r="B148" s="93" t="s">
        <v>647</v>
      </c>
      <c r="C148" s="93" t="s">
        <v>648</v>
      </c>
      <c r="D148" s="94" t="s">
        <v>156</v>
      </c>
      <c r="E148" s="165">
        <v>1</v>
      </c>
      <c r="F148" s="94" t="s">
        <v>653</v>
      </c>
      <c r="G148" s="94"/>
    </row>
    <row r="149" spans="1:7" ht="25.5" customHeight="1">
      <c r="A149" s="205" t="s">
        <v>1057</v>
      </c>
      <c r="B149" s="93" t="s">
        <v>649</v>
      </c>
      <c r="C149" s="93" t="s">
        <v>650</v>
      </c>
      <c r="D149" s="94" t="s">
        <v>156</v>
      </c>
      <c r="E149" s="165">
        <v>1</v>
      </c>
      <c r="F149" s="94" t="s">
        <v>653</v>
      </c>
      <c r="G149" s="94"/>
    </row>
    <row r="150" spans="1:7" ht="25.5" customHeight="1">
      <c r="A150" s="205" t="s">
        <v>1058</v>
      </c>
      <c r="B150" s="93" t="s">
        <v>647</v>
      </c>
      <c r="C150" s="93" t="s">
        <v>651</v>
      </c>
      <c r="D150" s="94" t="s">
        <v>156</v>
      </c>
      <c r="E150" s="165">
        <v>1</v>
      </c>
      <c r="F150" s="94" t="s">
        <v>610</v>
      </c>
      <c r="G150" s="94"/>
    </row>
    <row r="151" spans="1:7" ht="25.5" customHeight="1">
      <c r="A151" s="205" t="s">
        <v>1059</v>
      </c>
      <c r="B151" s="93" t="s">
        <v>649</v>
      </c>
      <c r="C151" s="93" t="s">
        <v>652</v>
      </c>
      <c r="D151" s="94" t="s">
        <v>156</v>
      </c>
      <c r="E151" s="165">
        <v>1</v>
      </c>
      <c r="F151" s="94" t="s">
        <v>610</v>
      </c>
      <c r="G151" s="94"/>
    </row>
    <row r="152" spans="1:7" ht="25.5" customHeight="1">
      <c r="A152" s="205" t="s">
        <v>1060</v>
      </c>
      <c r="B152" s="93" t="s">
        <v>654</v>
      </c>
      <c r="C152" s="93" t="s">
        <v>655</v>
      </c>
      <c r="D152" s="94" t="s">
        <v>156</v>
      </c>
      <c r="E152" s="165">
        <v>2</v>
      </c>
      <c r="F152" s="94" t="s">
        <v>656</v>
      </c>
      <c r="G152" s="94"/>
    </row>
    <row r="153" spans="1:7" ht="25.5" customHeight="1">
      <c r="A153" s="205" t="s">
        <v>1061</v>
      </c>
      <c r="B153" s="93" t="s">
        <v>657</v>
      </c>
      <c r="C153" s="93" t="s">
        <v>658</v>
      </c>
      <c r="D153" s="94" t="s">
        <v>156</v>
      </c>
      <c r="E153" s="165">
        <v>2</v>
      </c>
      <c r="F153" s="94" t="s">
        <v>659</v>
      </c>
      <c r="G153" s="94"/>
    </row>
    <row r="154" spans="1:7" ht="25.5" customHeight="1">
      <c r="A154" s="205" t="s">
        <v>1062</v>
      </c>
      <c r="B154" s="93" t="s">
        <v>737</v>
      </c>
      <c r="C154" s="93" t="s">
        <v>738</v>
      </c>
      <c r="D154" s="94" t="s">
        <v>156</v>
      </c>
      <c r="E154" s="165">
        <v>2</v>
      </c>
      <c r="F154" s="94" t="s">
        <v>656</v>
      </c>
      <c r="G154" s="94"/>
    </row>
    <row r="155" spans="1:7" ht="25.5" customHeight="1">
      <c r="A155" s="205" t="s">
        <v>1063</v>
      </c>
      <c r="B155" s="93" t="s">
        <v>758</v>
      </c>
      <c r="C155" s="93" t="s">
        <v>648</v>
      </c>
      <c r="D155" s="94" t="s">
        <v>156</v>
      </c>
      <c r="E155" s="165">
        <v>2</v>
      </c>
      <c r="F155" s="94" t="s">
        <v>656</v>
      </c>
      <c r="G155" s="94"/>
    </row>
    <row r="156" spans="1:7" ht="25.5" customHeight="1">
      <c r="A156" s="205" t="s">
        <v>1064</v>
      </c>
      <c r="B156" s="93" t="s">
        <v>764</v>
      </c>
      <c r="C156" s="93" t="s">
        <v>765</v>
      </c>
      <c r="D156" s="94" t="s">
        <v>515</v>
      </c>
      <c r="E156" s="165">
        <v>1</v>
      </c>
      <c r="F156" s="94" t="s">
        <v>766</v>
      </c>
      <c r="G156" s="94"/>
    </row>
    <row r="157" spans="1:7" ht="25.5" customHeight="1">
      <c r="A157" s="205" t="s">
        <v>1065</v>
      </c>
      <c r="B157" s="93" t="s">
        <v>1068</v>
      </c>
      <c r="C157" s="93" t="s">
        <v>1069</v>
      </c>
      <c r="D157" s="94" t="s">
        <v>1070</v>
      </c>
      <c r="E157" s="165">
        <f>0.9*0.745*2+0.9*0.6*2+0.745*0.6*2</f>
        <v>3.3150000000000004</v>
      </c>
      <c r="F157" s="94" t="s">
        <v>1071</v>
      </c>
      <c r="G157" s="94"/>
    </row>
    <row r="158" spans="1:7" ht="25.5" customHeight="1">
      <c r="A158" s="205" t="s">
        <v>1066</v>
      </c>
      <c r="B158" s="93" t="s">
        <v>1073</v>
      </c>
      <c r="C158" s="93" t="s">
        <v>1074</v>
      </c>
      <c r="D158" s="94" t="s">
        <v>1034</v>
      </c>
      <c r="E158" s="165">
        <v>10</v>
      </c>
      <c r="F158" s="94" t="s">
        <v>1075</v>
      </c>
      <c r="G158" s="94"/>
    </row>
    <row r="159" spans="1:7" ht="25.5" customHeight="1">
      <c r="A159" s="100"/>
      <c r="B159" s="93"/>
      <c r="C159" s="93"/>
      <c r="D159" s="94"/>
      <c r="E159" s="165"/>
      <c r="F159" s="94"/>
      <c r="G159" s="94"/>
    </row>
    <row r="160" spans="1:7" ht="25.5" customHeight="1">
      <c r="A160" s="100"/>
      <c r="B160" s="93"/>
      <c r="C160" s="93"/>
      <c r="D160" s="94"/>
      <c r="E160" s="165"/>
      <c r="F160" s="94"/>
      <c r="G160" s="94"/>
    </row>
    <row r="161" spans="1:7" ht="25.5" customHeight="1">
      <c r="A161" s="100"/>
      <c r="B161" s="93"/>
      <c r="C161" s="93"/>
      <c r="D161" s="94"/>
      <c r="E161" s="165"/>
      <c r="F161" s="94"/>
      <c r="G161" s="94"/>
    </row>
    <row r="162" spans="1:7" ht="25.5" customHeight="1">
      <c r="A162" s="100"/>
      <c r="B162" s="93"/>
      <c r="C162" s="93"/>
      <c r="D162" s="94"/>
      <c r="E162" s="165"/>
      <c r="F162" s="94"/>
      <c r="G162" s="94"/>
    </row>
    <row r="163" spans="1:7" ht="25.5" customHeight="1">
      <c r="A163" s="90">
        <f>A131+1</f>
        <v>6</v>
      </c>
      <c r="B163" s="91" t="s">
        <v>621</v>
      </c>
      <c r="C163" s="91"/>
      <c r="D163" s="92"/>
      <c r="E163" s="164"/>
      <c r="F163" s="92"/>
      <c r="G163" s="92"/>
    </row>
    <row r="164" spans="1:7" ht="25.5" customHeight="1">
      <c r="A164" s="100"/>
      <c r="B164" s="93" t="s">
        <v>514</v>
      </c>
      <c r="C164" s="93" t="s">
        <v>524</v>
      </c>
      <c r="D164" s="94" t="s">
        <v>156</v>
      </c>
      <c r="E164" s="165">
        <v>1</v>
      </c>
      <c r="F164" s="94" t="s">
        <v>660</v>
      </c>
      <c r="G164" s="94"/>
    </row>
    <row r="165" spans="1:7" ht="25.5" customHeight="1">
      <c r="A165" s="100"/>
      <c r="B165" s="93" t="s">
        <v>516</v>
      </c>
      <c r="C165" s="93" t="s">
        <v>523</v>
      </c>
      <c r="D165" s="94" t="s">
        <v>156</v>
      </c>
      <c r="E165" s="165">
        <v>1</v>
      </c>
      <c r="F165" s="94" t="s">
        <v>660</v>
      </c>
      <c r="G165" s="94"/>
    </row>
    <row r="166" spans="1:7" ht="25.5" customHeight="1">
      <c r="A166" s="100"/>
      <c r="B166" s="93" t="s">
        <v>517</v>
      </c>
      <c r="C166" s="93" t="s">
        <v>521</v>
      </c>
      <c r="D166" s="94" t="s">
        <v>156</v>
      </c>
      <c r="E166" s="165">
        <v>1</v>
      </c>
      <c r="F166" s="94" t="s">
        <v>660</v>
      </c>
      <c r="G166" s="94"/>
    </row>
    <row r="167" spans="1:7" ht="25.5" customHeight="1">
      <c r="A167" s="100"/>
      <c r="B167" s="93" t="s">
        <v>518</v>
      </c>
      <c r="C167" s="93" t="s">
        <v>522</v>
      </c>
      <c r="D167" s="94" t="s">
        <v>156</v>
      </c>
      <c r="E167" s="165">
        <v>1</v>
      </c>
      <c r="F167" s="94" t="s">
        <v>660</v>
      </c>
      <c r="G167" s="94"/>
    </row>
    <row r="168" spans="1:7" ht="25.5" customHeight="1">
      <c r="A168" s="100"/>
      <c r="B168" s="93" t="s">
        <v>519</v>
      </c>
      <c r="C168" s="93" t="s">
        <v>520</v>
      </c>
      <c r="D168" s="94" t="s">
        <v>156</v>
      </c>
      <c r="E168" s="165">
        <v>1</v>
      </c>
      <c r="F168" s="94" t="s">
        <v>661</v>
      </c>
      <c r="G168" s="94"/>
    </row>
    <row r="169" spans="1:7" ht="25.5" customHeight="1">
      <c r="A169" s="100"/>
      <c r="B169" s="93" t="s">
        <v>662</v>
      </c>
      <c r="C169" s="93" t="s">
        <v>663</v>
      </c>
      <c r="D169" s="94" t="s">
        <v>156</v>
      </c>
      <c r="E169" s="165">
        <v>1</v>
      </c>
      <c r="F169" s="94" t="s">
        <v>664</v>
      </c>
      <c r="G169" s="94"/>
    </row>
    <row r="170" spans="1:7" ht="25.5" customHeight="1">
      <c r="A170" s="100"/>
      <c r="B170" s="93" t="s">
        <v>665</v>
      </c>
      <c r="C170" s="93" t="s">
        <v>666</v>
      </c>
      <c r="D170" s="94" t="s">
        <v>156</v>
      </c>
      <c r="E170" s="165">
        <v>1</v>
      </c>
      <c r="F170" s="94" t="s">
        <v>667</v>
      </c>
      <c r="G170" s="94"/>
    </row>
    <row r="171" spans="1:7" ht="25.5" customHeight="1">
      <c r="A171" s="192"/>
      <c r="B171" s="176" t="s">
        <v>899</v>
      </c>
      <c r="C171" s="176" t="s">
        <v>905</v>
      </c>
      <c r="D171" s="94" t="s">
        <v>156</v>
      </c>
      <c r="E171" s="165">
        <v>1</v>
      </c>
      <c r="F171" s="177" t="s">
        <v>911</v>
      </c>
      <c r="G171" s="177"/>
    </row>
    <row r="172" spans="1:7" ht="25.5" customHeight="1">
      <c r="A172" s="192"/>
      <c r="B172" s="176" t="s">
        <v>900</v>
      </c>
      <c r="C172" s="176" t="s">
        <v>906</v>
      </c>
      <c r="D172" s="94" t="s">
        <v>156</v>
      </c>
      <c r="E172" s="165">
        <v>1</v>
      </c>
      <c r="F172" s="177" t="s">
        <v>911</v>
      </c>
      <c r="G172" s="177"/>
    </row>
    <row r="173" spans="1:7" ht="25.5" customHeight="1">
      <c r="A173" s="192"/>
      <c r="B173" s="176" t="s">
        <v>901</v>
      </c>
      <c r="C173" s="176" t="s">
        <v>907</v>
      </c>
      <c r="D173" s="94" t="s">
        <v>156</v>
      </c>
      <c r="E173" s="165">
        <v>2</v>
      </c>
      <c r="F173" s="177" t="s">
        <v>911</v>
      </c>
      <c r="G173" s="177"/>
    </row>
    <row r="174" spans="1:7" ht="25.5" customHeight="1">
      <c r="A174" s="192"/>
      <c r="B174" s="176" t="s">
        <v>902</v>
      </c>
      <c r="C174" s="176" t="s">
        <v>908</v>
      </c>
      <c r="D174" s="94" t="s">
        <v>156</v>
      </c>
      <c r="E174" s="165">
        <v>1</v>
      </c>
      <c r="F174" s="177" t="s">
        <v>911</v>
      </c>
      <c r="G174" s="177"/>
    </row>
    <row r="175" spans="1:7" ht="25.5" customHeight="1">
      <c r="A175" s="192"/>
      <c r="B175" s="176" t="s">
        <v>903</v>
      </c>
      <c r="C175" s="176" t="s">
        <v>909</v>
      </c>
      <c r="D175" s="94" t="s">
        <v>156</v>
      </c>
      <c r="E175" s="165">
        <v>1</v>
      </c>
      <c r="F175" s="177" t="s">
        <v>911</v>
      </c>
      <c r="G175" s="177"/>
    </row>
    <row r="176" spans="1:7" ht="25.5" customHeight="1">
      <c r="A176" s="192"/>
      <c r="B176" s="176" t="s">
        <v>904</v>
      </c>
      <c r="C176" s="176" t="s">
        <v>910</v>
      </c>
      <c r="D176" s="94" t="s">
        <v>156</v>
      </c>
      <c r="E176" s="165">
        <v>1</v>
      </c>
      <c r="F176" s="177" t="s">
        <v>911</v>
      </c>
      <c r="G176" s="177"/>
    </row>
    <row r="177" spans="1:7" ht="25.5" customHeight="1">
      <c r="A177" s="192"/>
      <c r="B177" s="176" t="s">
        <v>912</v>
      </c>
      <c r="C177" s="176" t="s">
        <v>913</v>
      </c>
      <c r="D177" s="177" t="s">
        <v>914</v>
      </c>
      <c r="E177" s="165">
        <v>2</v>
      </c>
      <c r="F177" s="177" t="s">
        <v>915</v>
      </c>
      <c r="G177" s="177"/>
    </row>
    <row r="178" spans="1:7" ht="25.5" customHeight="1">
      <c r="A178" s="192"/>
      <c r="B178" s="176"/>
      <c r="C178" s="176"/>
      <c r="D178" s="177"/>
      <c r="E178" s="165"/>
      <c r="F178" s="177"/>
      <c r="G178" s="177"/>
    </row>
    <row r="179" spans="1:7" ht="25.5" customHeight="1">
      <c r="A179" s="90">
        <f>A163+1</f>
        <v>7</v>
      </c>
      <c r="B179" s="91" t="s">
        <v>150</v>
      </c>
      <c r="C179" s="91"/>
      <c r="D179" s="92"/>
      <c r="E179" s="164"/>
      <c r="F179" s="92"/>
      <c r="G179" s="92"/>
    </row>
    <row r="180" spans="1:7" ht="25.5" customHeight="1">
      <c r="A180" s="100"/>
      <c r="B180" s="93" t="s">
        <v>158</v>
      </c>
      <c r="C180" s="93" t="s">
        <v>680</v>
      </c>
      <c r="D180" s="94" t="s">
        <v>159</v>
      </c>
      <c r="E180" s="165">
        <f>G186</f>
        <v>11.75254</v>
      </c>
      <c r="F180" s="94" t="s">
        <v>336</v>
      </c>
      <c r="G180" s="94"/>
    </row>
    <row r="181" spans="1:7" ht="25.5" customHeight="1">
      <c r="A181" s="100"/>
      <c r="B181" s="93" t="s">
        <v>158</v>
      </c>
      <c r="C181" s="93" t="s">
        <v>334</v>
      </c>
      <c r="D181" s="94" t="s">
        <v>159</v>
      </c>
      <c r="E181" s="165">
        <f>G187+G188+G189</f>
        <v>1.438375</v>
      </c>
      <c r="F181" s="94" t="s">
        <v>336</v>
      </c>
      <c r="G181" s="94"/>
    </row>
    <row r="182" spans="1:7" ht="25.5" customHeight="1">
      <c r="A182" s="100"/>
      <c r="B182" s="93" t="s">
        <v>150</v>
      </c>
      <c r="C182" s="93" t="s">
        <v>679</v>
      </c>
      <c r="D182" s="94" t="s">
        <v>159</v>
      </c>
      <c r="E182" s="165">
        <f>E180</f>
        <v>11.75254</v>
      </c>
      <c r="F182" s="94" t="s">
        <v>336</v>
      </c>
      <c r="G182" s="94"/>
    </row>
    <row r="183" spans="1:7" ht="25.5" customHeight="1">
      <c r="A183" s="100"/>
      <c r="B183" s="93" t="s">
        <v>150</v>
      </c>
      <c r="C183" s="93" t="s">
        <v>335</v>
      </c>
      <c r="D183" s="94" t="s">
        <v>159</v>
      </c>
      <c r="E183" s="165">
        <f>E181</f>
        <v>1.438375</v>
      </c>
      <c r="F183" s="94" t="s">
        <v>336</v>
      </c>
      <c r="G183" s="94"/>
    </row>
    <row r="184" spans="1:7" ht="25.5" customHeight="1">
      <c r="A184" s="100"/>
      <c r="B184" s="93"/>
      <c r="C184" s="93"/>
      <c r="D184" s="94"/>
      <c r="E184" s="165"/>
      <c r="F184" s="94"/>
      <c r="G184" s="94"/>
    </row>
    <row r="185" spans="1:7" ht="25.5" customHeight="1">
      <c r="A185" s="100"/>
      <c r="B185" s="179" t="s">
        <v>681</v>
      </c>
      <c r="C185" s="179" t="s">
        <v>1</v>
      </c>
      <c r="D185" s="179" t="s">
        <v>3</v>
      </c>
      <c r="E185" s="180" t="s">
        <v>682</v>
      </c>
      <c r="F185" s="179" t="s">
        <v>683</v>
      </c>
      <c r="G185" s="179" t="s">
        <v>684</v>
      </c>
    </row>
    <row r="186" spans="1:7" ht="25.5" customHeight="1">
      <c r="A186" s="100"/>
      <c r="B186" s="93" t="s">
        <v>502</v>
      </c>
      <c r="C186" s="93" t="s">
        <v>504</v>
      </c>
      <c r="D186" s="94" t="s">
        <v>15</v>
      </c>
      <c r="E186" s="165">
        <f>G31</f>
        <v>5.1097999999999999</v>
      </c>
      <c r="F186" s="94">
        <v>2300</v>
      </c>
      <c r="G186" s="181">
        <f>E186*F186/1000</f>
        <v>11.75254</v>
      </c>
    </row>
    <row r="187" spans="1:7" ht="25.5" customHeight="1">
      <c r="A187" s="100"/>
      <c r="B187" s="93" t="s">
        <v>565</v>
      </c>
      <c r="C187" s="93" t="s">
        <v>567</v>
      </c>
      <c r="D187" s="94" t="s">
        <v>9</v>
      </c>
      <c r="E187" s="165">
        <v>20.875</v>
      </c>
      <c r="F187" s="94">
        <f>8*2</f>
        <v>16</v>
      </c>
      <c r="G187" s="181">
        <f t="shared" ref="G187:G189" si="2">E187*F187/1000</f>
        <v>0.33400000000000002</v>
      </c>
    </row>
    <row r="188" spans="1:7" ht="25.5" customHeight="1">
      <c r="A188" s="100"/>
      <c r="B188" s="93" t="s">
        <v>578</v>
      </c>
      <c r="C188" s="93" t="s">
        <v>570</v>
      </c>
      <c r="D188" s="94" t="s">
        <v>9</v>
      </c>
      <c r="E188" s="165">
        <v>10.4375</v>
      </c>
      <c r="F188" s="94">
        <v>10</v>
      </c>
      <c r="G188" s="181">
        <f t="shared" si="2"/>
        <v>0.104375</v>
      </c>
    </row>
    <row r="189" spans="1:7" ht="25.5" customHeight="1">
      <c r="A189" s="100"/>
      <c r="B189" s="93" t="s">
        <v>672</v>
      </c>
      <c r="C189" s="93" t="s">
        <v>685</v>
      </c>
      <c r="D189" s="94" t="s">
        <v>159</v>
      </c>
      <c r="E189" s="165">
        <v>1</v>
      </c>
      <c r="F189" s="94">
        <v>1000</v>
      </c>
      <c r="G189" s="181">
        <f t="shared" si="2"/>
        <v>1</v>
      </c>
    </row>
    <row r="190" spans="1:7" ht="25.5" customHeight="1">
      <c r="A190" s="100"/>
      <c r="B190" s="93"/>
      <c r="C190" s="93"/>
      <c r="D190" s="94"/>
      <c r="E190" s="165"/>
      <c r="F190" s="182" t="s">
        <v>686</v>
      </c>
      <c r="G190" s="183">
        <f>SUM(G186:G189)</f>
        <v>13.190914999999999</v>
      </c>
    </row>
    <row r="191" spans="1:7" ht="25.5" customHeight="1">
      <c r="A191" s="100"/>
      <c r="B191" s="93"/>
      <c r="C191" s="93"/>
      <c r="D191" s="94"/>
      <c r="E191" s="165"/>
      <c r="F191" s="94"/>
      <c r="G191" s="94"/>
    </row>
    <row r="192" spans="1:7" ht="25.5" customHeight="1">
      <c r="A192" s="100"/>
      <c r="B192" s="93"/>
      <c r="C192" s="93"/>
      <c r="D192" s="94"/>
      <c r="E192" s="165"/>
      <c r="F192" s="94"/>
      <c r="G192" s="94"/>
    </row>
    <row r="193" spans="1:7" ht="25.5" customHeight="1">
      <c r="A193" s="100"/>
      <c r="B193" s="93"/>
      <c r="C193" s="93"/>
      <c r="D193" s="94"/>
      <c r="E193" s="165"/>
      <c r="F193" s="94"/>
      <c r="G193" s="94"/>
    </row>
    <row r="194" spans="1:7" ht="25.5" customHeight="1">
      <c r="A194" s="100"/>
      <c r="B194" s="93"/>
      <c r="C194" s="93"/>
      <c r="D194" s="94"/>
      <c r="E194" s="165"/>
      <c r="F194" s="94"/>
      <c r="G194" s="94"/>
    </row>
  </sheetData>
  <autoFilter ref="A2:G194"/>
  <phoneticPr fontId="2" type="noConversion"/>
  <pageMargins left="0.70866141732283472" right="0.54" top="0.74803149606299213" bottom="0.6"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O176"/>
  <sheetViews>
    <sheetView zoomScaleNormal="100" workbookViewId="0">
      <pane ySplit="2" topLeftCell="A158" activePane="bottomLeft" state="frozen"/>
      <selection activeCell="DJ113" sqref="DJ113:FG116"/>
      <selection pane="bottomLeft" activeCell="DJ113" sqref="DJ113:FG116"/>
    </sheetView>
  </sheetViews>
  <sheetFormatPr defaultColWidth="14.5" defaultRowHeight="24.75" customHeight="1"/>
  <cols>
    <col min="1" max="1" width="7.375" style="67" customWidth="1"/>
    <col min="2" max="2" width="24.125" style="67" customWidth="1"/>
    <col min="3" max="3" width="24.875" style="67" customWidth="1"/>
    <col min="4" max="4" width="7.125" style="88" customWidth="1"/>
    <col min="5" max="5" width="9.125" style="162" customWidth="1"/>
    <col min="6" max="6" width="38.5" style="88" customWidth="1"/>
    <col min="7" max="7" width="10.25" style="88" customWidth="1"/>
    <col min="8" max="8" width="14.5" style="67"/>
    <col min="9" max="9" width="8" style="67" bestFit="1" customWidth="1"/>
    <col min="10" max="10" width="11.375" style="67" bestFit="1" customWidth="1"/>
    <col min="11" max="11" width="8" style="67" bestFit="1" customWidth="1"/>
    <col min="12" max="13" width="9.625" style="67" bestFit="1" customWidth="1"/>
    <col min="14" max="14" width="8" style="67" bestFit="1" customWidth="1"/>
    <col min="15" max="15" width="8.5" style="67" bestFit="1" customWidth="1"/>
    <col min="16" max="16384" width="14.5" style="67"/>
  </cols>
  <sheetData>
    <row r="1" spans="1:7" ht="33" customHeight="1">
      <c r="A1" s="87" t="s">
        <v>689</v>
      </c>
      <c r="B1" s="87"/>
      <c r="G1" s="111" t="str">
        <f>갑!B10</f>
        <v>김제시 죽산면 죽산로126(구 새마을 금고)내·외부공사</v>
      </c>
    </row>
    <row r="2" spans="1:7" ht="36" customHeight="1">
      <c r="A2" s="89" t="s">
        <v>17</v>
      </c>
      <c r="B2" s="89" t="s">
        <v>0</v>
      </c>
      <c r="C2" s="89" t="s">
        <v>1</v>
      </c>
      <c r="D2" s="89" t="s">
        <v>3</v>
      </c>
      <c r="E2" s="163" t="s">
        <v>5</v>
      </c>
      <c r="F2" s="89" t="s">
        <v>6</v>
      </c>
      <c r="G2" s="89" t="s">
        <v>8</v>
      </c>
    </row>
    <row r="3" spans="1:7" ht="25.5" customHeight="1">
      <c r="A3" s="90">
        <v>1</v>
      </c>
      <c r="B3" s="91" t="s">
        <v>615</v>
      </c>
      <c r="C3" s="91"/>
      <c r="D3" s="92"/>
      <c r="E3" s="164"/>
      <c r="F3" s="92"/>
      <c r="G3" s="92"/>
    </row>
    <row r="4" spans="1:7" ht="25.5" customHeight="1">
      <c r="A4" s="100"/>
      <c r="B4" s="93" t="s">
        <v>154</v>
      </c>
      <c r="C4" s="93" t="s">
        <v>155</v>
      </c>
      <c r="D4" s="94" t="s">
        <v>9</v>
      </c>
      <c r="E4" s="165">
        <v>85</v>
      </c>
      <c r="F4" s="94" t="s">
        <v>1018</v>
      </c>
      <c r="G4" s="94"/>
    </row>
    <row r="5" spans="1:7" ht="25.5" customHeight="1">
      <c r="A5" s="100"/>
      <c r="B5" s="93" t="s">
        <v>141</v>
      </c>
      <c r="C5" s="93" t="s">
        <v>142</v>
      </c>
      <c r="D5" s="94" t="s">
        <v>9</v>
      </c>
      <c r="E5" s="165">
        <v>85</v>
      </c>
      <c r="F5" s="94" t="s">
        <v>1018</v>
      </c>
      <c r="G5" s="94"/>
    </row>
    <row r="6" spans="1:7" ht="25.5" customHeight="1">
      <c r="A6" s="100"/>
      <c r="B6" s="93" t="s">
        <v>143</v>
      </c>
      <c r="C6" s="93" t="s">
        <v>144</v>
      </c>
      <c r="D6" s="94" t="s">
        <v>9</v>
      </c>
      <c r="E6" s="165">
        <v>85</v>
      </c>
      <c r="F6" s="94" t="s">
        <v>1018</v>
      </c>
      <c r="G6" s="94"/>
    </row>
    <row r="7" spans="1:7" ht="25.5" customHeight="1">
      <c r="A7" s="100"/>
      <c r="B7" s="93" t="s">
        <v>145</v>
      </c>
      <c r="C7" s="93" t="s">
        <v>146</v>
      </c>
      <c r="D7" s="94" t="s">
        <v>9</v>
      </c>
      <c r="E7" s="165">
        <v>85</v>
      </c>
      <c r="F7" s="94" t="s">
        <v>1018</v>
      </c>
      <c r="G7" s="94"/>
    </row>
    <row r="8" spans="1:7" ht="25.5" customHeight="1">
      <c r="A8" s="100"/>
      <c r="B8" s="93" t="s">
        <v>147</v>
      </c>
      <c r="C8" s="93" t="s">
        <v>148</v>
      </c>
      <c r="D8" s="94" t="s">
        <v>149</v>
      </c>
      <c r="E8" s="165">
        <v>1</v>
      </c>
      <c r="F8" s="94" t="s">
        <v>160</v>
      </c>
      <c r="G8" s="94"/>
    </row>
    <row r="9" spans="1:7" ht="25.5" customHeight="1">
      <c r="A9" s="100"/>
      <c r="B9" s="93"/>
      <c r="C9" s="93"/>
      <c r="D9" s="94"/>
      <c r="E9" s="165"/>
      <c r="F9" s="94"/>
      <c r="G9" s="94"/>
    </row>
    <row r="10" spans="1:7" ht="25.5" customHeight="1">
      <c r="A10" s="100"/>
      <c r="B10" s="93"/>
      <c r="C10" s="93"/>
      <c r="D10" s="94"/>
      <c r="E10" s="165"/>
      <c r="F10" s="94"/>
      <c r="G10" s="94"/>
    </row>
    <row r="11" spans="1:7" ht="25.5" customHeight="1">
      <c r="A11" s="100"/>
      <c r="B11" s="93"/>
      <c r="C11" s="93"/>
      <c r="D11" s="94"/>
      <c r="E11" s="165"/>
      <c r="F11" s="94"/>
      <c r="G11" s="94"/>
    </row>
    <row r="12" spans="1:7" ht="25.5" customHeight="1">
      <c r="A12" s="100"/>
      <c r="B12" s="93"/>
      <c r="C12" s="93"/>
      <c r="D12" s="94"/>
      <c r="E12" s="165"/>
      <c r="F12" s="94"/>
      <c r="G12" s="94"/>
    </row>
    <row r="13" spans="1:7" ht="25.5" customHeight="1">
      <c r="A13" s="100"/>
      <c r="B13" s="93"/>
      <c r="C13" s="93"/>
      <c r="D13" s="94"/>
      <c r="E13" s="165"/>
      <c r="F13" s="94"/>
      <c r="G13" s="94"/>
    </row>
    <row r="14" spans="1:7" ht="25.5" customHeight="1">
      <c r="A14" s="100"/>
      <c r="B14" s="93"/>
      <c r="C14" s="93"/>
      <c r="D14" s="94"/>
      <c r="E14" s="165"/>
      <c r="F14" s="94"/>
      <c r="G14" s="94"/>
    </row>
    <row r="15" spans="1:7" ht="25.5" customHeight="1">
      <c r="A15" s="100"/>
      <c r="B15" s="93"/>
      <c r="C15" s="93"/>
      <c r="D15" s="94"/>
      <c r="E15" s="165"/>
      <c r="F15" s="94"/>
      <c r="G15" s="94"/>
    </row>
    <row r="16" spans="1:7" ht="25.5" customHeight="1">
      <c r="A16" s="100"/>
      <c r="B16" s="93"/>
      <c r="C16" s="93"/>
      <c r="D16" s="94"/>
      <c r="E16" s="165"/>
      <c r="F16" s="94"/>
      <c r="G16" s="94"/>
    </row>
    <row r="17" spans="1:7" ht="25.5" customHeight="1">
      <c r="A17" s="100"/>
      <c r="B17" s="93"/>
      <c r="C17" s="93"/>
      <c r="D17" s="94"/>
      <c r="E17" s="165"/>
      <c r="F17" s="94"/>
      <c r="G17" s="94"/>
    </row>
    <row r="18" spans="1:7" ht="25.5" customHeight="1">
      <c r="A18" s="100"/>
      <c r="B18" s="93"/>
      <c r="C18" s="93"/>
      <c r="D18" s="94"/>
      <c r="E18" s="165"/>
      <c r="F18" s="94"/>
      <c r="G18" s="94"/>
    </row>
    <row r="19" spans="1:7" ht="25.5" customHeight="1">
      <c r="A19" s="90">
        <f>A3+1</f>
        <v>2</v>
      </c>
      <c r="B19" s="91" t="s">
        <v>19</v>
      </c>
      <c r="C19" s="91"/>
      <c r="D19" s="92"/>
      <c r="E19" s="164"/>
      <c r="F19" s="92"/>
      <c r="G19" s="92"/>
    </row>
    <row r="20" spans="1:7" ht="25.5" customHeight="1">
      <c r="A20" s="100"/>
      <c r="B20" s="93" t="s">
        <v>498</v>
      </c>
      <c r="C20" s="93" t="s">
        <v>499</v>
      </c>
      <c r="D20" s="94" t="s">
        <v>500</v>
      </c>
      <c r="E20" s="165">
        <f>(1.495*2+2.49*2)</f>
        <v>7.9700000000000006</v>
      </c>
      <c r="F20" s="94" t="s">
        <v>690</v>
      </c>
      <c r="G20" s="94"/>
    </row>
    <row r="21" spans="1:7" ht="25.5" customHeight="1">
      <c r="A21" s="100"/>
      <c r="B21" s="93" t="s">
        <v>498</v>
      </c>
      <c r="C21" s="93" t="s">
        <v>558</v>
      </c>
      <c r="D21" s="94" t="s">
        <v>500</v>
      </c>
      <c r="E21" s="165">
        <f>(1.2*2+2.49*2)</f>
        <v>7.3800000000000008</v>
      </c>
      <c r="F21" s="94" t="s">
        <v>693</v>
      </c>
      <c r="G21" s="94"/>
    </row>
    <row r="22" spans="1:7" ht="25.5" customHeight="1">
      <c r="A22" s="100"/>
      <c r="B22" s="93" t="s">
        <v>498</v>
      </c>
      <c r="C22" s="93" t="s">
        <v>558</v>
      </c>
      <c r="D22" s="94" t="s">
        <v>500</v>
      </c>
      <c r="E22" s="165">
        <f>(3*2+1.075*2)</f>
        <v>8.15</v>
      </c>
      <c r="F22" s="94" t="s">
        <v>694</v>
      </c>
      <c r="G22" s="94"/>
    </row>
    <row r="23" spans="1:7" ht="25.5" customHeight="1">
      <c r="A23" s="100"/>
      <c r="B23" s="93" t="s">
        <v>498</v>
      </c>
      <c r="C23" s="93" t="s">
        <v>558</v>
      </c>
      <c r="D23" s="94" t="s">
        <v>500</v>
      </c>
      <c r="E23" s="165">
        <f>(3*2+1.35*2)</f>
        <v>8.6999999999999993</v>
      </c>
      <c r="F23" s="94" t="s">
        <v>696</v>
      </c>
      <c r="G23" s="94"/>
    </row>
    <row r="24" spans="1:7" ht="25.5" customHeight="1">
      <c r="A24" s="100"/>
      <c r="B24" s="93" t="s">
        <v>498</v>
      </c>
      <c r="C24" s="93" t="s">
        <v>558</v>
      </c>
      <c r="D24" s="94" t="s">
        <v>500</v>
      </c>
      <c r="E24" s="165">
        <f>(2.1*2+1*2)</f>
        <v>6.2</v>
      </c>
      <c r="F24" s="94" t="s">
        <v>698</v>
      </c>
      <c r="G24" s="178">
        <f>SUM(E20:E24)</f>
        <v>38.400000000000006</v>
      </c>
    </row>
    <row r="25" spans="1:7" ht="25.5" customHeight="1">
      <c r="A25" s="100"/>
      <c r="B25" s="93" t="s">
        <v>503</v>
      </c>
      <c r="C25" s="93" t="s">
        <v>505</v>
      </c>
      <c r="D25" s="94" t="s">
        <v>506</v>
      </c>
      <c r="E25" s="165">
        <f>(0.2*2.49*2+1.495*1.2)*0.3</f>
        <v>0.83699999999999997</v>
      </c>
      <c r="F25" s="94" t="s">
        <v>691</v>
      </c>
      <c r="G25" s="94"/>
    </row>
    <row r="26" spans="1:7" ht="25.5" customHeight="1">
      <c r="A26" s="100"/>
      <c r="B26" s="93" t="s">
        <v>503</v>
      </c>
      <c r="C26" s="93" t="s">
        <v>505</v>
      </c>
      <c r="D26" s="94" t="s">
        <v>506</v>
      </c>
      <c r="E26" s="165">
        <f>(0.2*2.49*2+1.2*1.2)*0.3</f>
        <v>0.73080000000000001</v>
      </c>
      <c r="F26" s="94" t="s">
        <v>692</v>
      </c>
      <c r="G26" s="94"/>
    </row>
    <row r="27" spans="1:7" ht="25.5" customHeight="1">
      <c r="A27" s="100"/>
      <c r="B27" s="93" t="s">
        <v>503</v>
      </c>
      <c r="C27" s="93" t="s">
        <v>505</v>
      </c>
      <c r="D27" s="94" t="s">
        <v>506</v>
      </c>
      <c r="E27" s="165">
        <f>(0.2*1.075+0.2+1.075*0.6*0.2)</f>
        <v>0.54400000000000004</v>
      </c>
      <c r="F27" s="94" t="s">
        <v>695</v>
      </c>
      <c r="G27" s="94"/>
    </row>
    <row r="28" spans="1:7" ht="25.5" customHeight="1">
      <c r="A28" s="100"/>
      <c r="B28" s="93" t="s">
        <v>503</v>
      </c>
      <c r="C28" s="93" t="s">
        <v>505</v>
      </c>
      <c r="D28" s="94" t="s">
        <v>506</v>
      </c>
      <c r="E28" s="165">
        <f>(3*1.35*0.15)-(0.9*2.1*0.15)</f>
        <v>0.32400000000000001</v>
      </c>
      <c r="F28" s="94" t="s">
        <v>697</v>
      </c>
      <c r="G28" s="94"/>
    </row>
    <row r="29" spans="1:7" ht="25.5" customHeight="1">
      <c r="A29" s="100"/>
      <c r="B29" s="93" t="s">
        <v>503</v>
      </c>
      <c r="C29" s="93" t="s">
        <v>505</v>
      </c>
      <c r="D29" s="94" t="s">
        <v>506</v>
      </c>
      <c r="E29" s="165">
        <f>1*0.3*0.3</f>
        <v>0.09</v>
      </c>
      <c r="F29" s="94" t="s">
        <v>699</v>
      </c>
      <c r="G29" s="178">
        <f>SUM(E25:E29)</f>
        <v>2.5257999999999998</v>
      </c>
    </row>
    <row r="30" spans="1:7" ht="25.5" customHeight="1">
      <c r="A30" s="100"/>
      <c r="B30" s="93" t="s">
        <v>701</v>
      </c>
      <c r="C30" s="93" t="s">
        <v>703</v>
      </c>
      <c r="D30" s="94" t="s">
        <v>156</v>
      </c>
      <c r="E30" s="165">
        <v>1</v>
      </c>
      <c r="F30" s="94" t="s">
        <v>704</v>
      </c>
      <c r="G30" s="178"/>
    </row>
    <row r="31" spans="1:7" ht="25.5" customHeight="1">
      <c r="A31" s="100"/>
      <c r="B31" s="93" t="s">
        <v>687</v>
      </c>
      <c r="C31" s="93" t="s">
        <v>334</v>
      </c>
      <c r="D31" s="94" t="s">
        <v>159</v>
      </c>
      <c r="E31" s="165">
        <f>G168</f>
        <v>0.20699999999999999</v>
      </c>
      <c r="F31" s="94" t="s">
        <v>688</v>
      </c>
      <c r="G31" s="94"/>
    </row>
    <row r="32" spans="1:7" ht="25.5" customHeight="1">
      <c r="A32" s="100"/>
      <c r="B32" s="93"/>
      <c r="C32" s="93"/>
      <c r="D32" s="94"/>
      <c r="E32" s="165"/>
      <c r="F32" s="94"/>
      <c r="G32" s="94"/>
    </row>
    <row r="33" spans="1:15" ht="25.5" customHeight="1">
      <c r="A33" s="100"/>
      <c r="B33" s="93"/>
      <c r="C33" s="93"/>
      <c r="D33" s="94"/>
      <c r="E33" s="165"/>
      <c r="F33" s="94"/>
      <c r="G33" s="94"/>
    </row>
    <row r="34" spans="1:15" ht="25.5" customHeight="1">
      <c r="A34" s="100"/>
      <c r="B34" s="93"/>
      <c r="C34" s="93"/>
      <c r="D34" s="94"/>
      <c r="E34" s="165"/>
      <c r="F34" s="94"/>
      <c r="G34" s="94"/>
    </row>
    <row r="35" spans="1:15" ht="25.5" customHeight="1">
      <c r="A35" s="90">
        <f>A19+1</f>
        <v>3</v>
      </c>
      <c r="B35" s="91" t="s">
        <v>616</v>
      </c>
      <c r="C35" s="91"/>
      <c r="D35" s="92"/>
      <c r="E35" s="164"/>
      <c r="F35" s="92"/>
      <c r="G35" s="92"/>
    </row>
    <row r="36" spans="1:15" ht="25.5" customHeight="1">
      <c r="A36" s="172"/>
      <c r="B36" s="173" t="s">
        <v>617</v>
      </c>
      <c r="C36" s="173"/>
      <c r="D36" s="174"/>
      <c r="E36" s="175"/>
      <c r="F36" s="174"/>
      <c r="G36" s="174"/>
    </row>
    <row r="37" spans="1:15" ht="25.5" customHeight="1">
      <c r="A37" s="100"/>
      <c r="B37" s="170" t="s">
        <v>550</v>
      </c>
      <c r="C37" s="93"/>
      <c r="D37" s="94"/>
      <c r="E37" s="165"/>
      <c r="F37" s="94"/>
      <c r="G37" s="94"/>
    </row>
    <row r="38" spans="1:15" ht="25.5" customHeight="1">
      <c r="A38" s="100"/>
      <c r="B38" s="93" t="s">
        <v>547</v>
      </c>
      <c r="C38" s="93" t="s">
        <v>548</v>
      </c>
      <c r="D38" s="94" t="s">
        <v>532</v>
      </c>
      <c r="E38" s="165">
        <f>E40+E41+E42</f>
        <v>103.645</v>
      </c>
      <c r="F38" s="94" t="s">
        <v>549</v>
      </c>
      <c r="G38" s="94"/>
    </row>
    <row r="39" spans="1:15" ht="25.5" customHeight="1">
      <c r="A39" s="100"/>
      <c r="B39" s="93" t="s">
        <v>529</v>
      </c>
      <c r="C39" s="93" t="s">
        <v>530</v>
      </c>
      <c r="D39" s="94" t="s">
        <v>532</v>
      </c>
      <c r="E39" s="165">
        <f>E38</f>
        <v>103.645</v>
      </c>
      <c r="F39" s="94" t="s">
        <v>549</v>
      </c>
      <c r="G39" s="94"/>
      <c r="I39" s="184" t="s">
        <v>533</v>
      </c>
      <c r="J39" s="184"/>
      <c r="K39" s="184"/>
      <c r="L39" s="184"/>
      <c r="M39" s="184"/>
      <c r="N39" s="184"/>
      <c r="O39" s="184"/>
    </row>
    <row r="40" spans="1:15" ht="25.5" customHeight="1">
      <c r="A40" s="100"/>
      <c r="B40" s="93" t="s">
        <v>531</v>
      </c>
      <c r="C40" s="93" t="s">
        <v>543</v>
      </c>
      <c r="D40" s="94" t="s">
        <v>532</v>
      </c>
      <c r="E40" s="165">
        <f>(41.865*3)+(0.12*8*3)-(24.83)</f>
        <v>103.645</v>
      </c>
      <c r="F40" s="94" t="s">
        <v>709</v>
      </c>
      <c r="G40" s="94"/>
      <c r="I40" s="184" t="s">
        <v>707</v>
      </c>
      <c r="J40" s="184" t="s">
        <v>706</v>
      </c>
      <c r="K40" s="184" t="s">
        <v>708</v>
      </c>
      <c r="L40" s="184"/>
      <c r="M40" s="184"/>
      <c r="N40" s="184"/>
      <c r="O40" s="185" t="s">
        <v>705</v>
      </c>
    </row>
    <row r="41" spans="1:15" ht="25.5" customHeight="1">
      <c r="A41" s="100"/>
      <c r="B41" s="93"/>
      <c r="C41" s="93"/>
      <c r="D41" s="94"/>
      <c r="E41" s="165"/>
      <c r="F41" s="94"/>
      <c r="G41" s="94"/>
      <c r="I41" s="184">
        <f>1.495*2.45*2</f>
        <v>7.3255000000000008</v>
      </c>
      <c r="J41" s="184">
        <f>1.495*1.98*4</f>
        <v>11.840400000000001</v>
      </c>
      <c r="K41" s="184">
        <f>0.9*2.1*3</f>
        <v>5.67</v>
      </c>
      <c r="L41" s="184"/>
      <c r="M41" s="184"/>
      <c r="N41" s="184"/>
      <c r="O41" s="185">
        <f>SUM(I41:N41)</f>
        <v>24.835900000000002</v>
      </c>
    </row>
    <row r="42" spans="1:15" ht="25.5" customHeight="1">
      <c r="A42" s="100"/>
      <c r="B42" s="170" t="s">
        <v>718</v>
      </c>
      <c r="C42" s="93"/>
      <c r="D42" s="94"/>
      <c r="E42" s="165"/>
      <c r="F42" s="94"/>
      <c r="G42" s="94"/>
    </row>
    <row r="43" spans="1:15" ht="25.5" customHeight="1">
      <c r="A43" s="100"/>
      <c r="B43" s="93" t="s">
        <v>719</v>
      </c>
      <c r="C43" s="93" t="s">
        <v>721</v>
      </c>
      <c r="D43" s="94" t="s">
        <v>156</v>
      </c>
      <c r="E43" s="165">
        <v>4</v>
      </c>
      <c r="F43" s="94" t="s">
        <v>720</v>
      </c>
      <c r="G43" s="94"/>
    </row>
    <row r="44" spans="1:15" ht="25.5" customHeight="1">
      <c r="A44" s="100"/>
      <c r="B44" s="93" t="s">
        <v>728</v>
      </c>
      <c r="C44" s="93" t="s">
        <v>729</v>
      </c>
      <c r="D44" s="94" t="s">
        <v>532</v>
      </c>
      <c r="E44" s="165">
        <f>6*2.4*1</f>
        <v>14.399999999999999</v>
      </c>
      <c r="F44" s="94" t="s">
        <v>730</v>
      </c>
      <c r="G44" s="94">
        <v>6.95</v>
      </c>
      <c r="I44" s="67">
        <f>0.09*0.09*1*4</f>
        <v>3.2399999999999998E-2</v>
      </c>
    </row>
    <row r="45" spans="1:15" ht="25.5" customHeight="1">
      <c r="A45" s="100"/>
      <c r="B45" s="93" t="s">
        <v>731</v>
      </c>
      <c r="C45" s="93" t="s">
        <v>732</v>
      </c>
      <c r="D45" s="94" t="s">
        <v>532</v>
      </c>
      <c r="E45" s="165">
        <f>6*2.4*2*2</f>
        <v>57.599999999999994</v>
      </c>
      <c r="F45" s="94" t="s">
        <v>761</v>
      </c>
      <c r="G45" s="94"/>
    </row>
    <row r="46" spans="1:15" ht="25.5" customHeight="1">
      <c r="A46" s="100"/>
      <c r="B46" s="93" t="s">
        <v>733</v>
      </c>
      <c r="C46" s="93" t="s">
        <v>734</v>
      </c>
      <c r="D46" s="94" t="s">
        <v>500</v>
      </c>
      <c r="E46" s="165">
        <v>6</v>
      </c>
      <c r="F46" s="94" t="s">
        <v>735</v>
      </c>
      <c r="G46" s="94"/>
    </row>
    <row r="47" spans="1:15" ht="25.5" customHeight="1">
      <c r="A47" s="100"/>
      <c r="B47" s="93" t="s">
        <v>724</v>
      </c>
      <c r="C47" s="93" t="s">
        <v>725</v>
      </c>
      <c r="D47" s="94" t="s">
        <v>532</v>
      </c>
      <c r="E47" s="165">
        <f>6*2.4*1</f>
        <v>14.399999999999999</v>
      </c>
      <c r="F47" s="94" t="s">
        <v>730</v>
      </c>
      <c r="G47" s="94"/>
    </row>
    <row r="48" spans="1:15" ht="25.5" customHeight="1">
      <c r="A48" s="100"/>
      <c r="B48" s="93" t="s">
        <v>719</v>
      </c>
      <c r="C48" s="93" t="s">
        <v>722</v>
      </c>
      <c r="D48" s="94" t="s">
        <v>156</v>
      </c>
      <c r="E48" s="165">
        <v>1</v>
      </c>
      <c r="F48" s="94" t="s">
        <v>723</v>
      </c>
      <c r="G48" s="94"/>
    </row>
    <row r="49" spans="1:13" ht="25.5" customHeight="1">
      <c r="A49" s="100"/>
      <c r="B49" s="93"/>
      <c r="C49" s="93"/>
      <c r="D49" s="94"/>
      <c r="E49" s="165"/>
      <c r="F49" s="94"/>
      <c r="G49" s="94"/>
    </row>
    <row r="50" spans="1:13" ht="25.5" customHeight="1">
      <c r="A50" s="100"/>
      <c r="B50" s="170" t="s">
        <v>551</v>
      </c>
      <c r="C50" s="93"/>
      <c r="D50" s="94"/>
      <c r="E50" s="165"/>
      <c r="F50" s="94"/>
      <c r="G50" s="94"/>
    </row>
    <row r="51" spans="1:13" ht="25.5" customHeight="1">
      <c r="A51" s="100"/>
      <c r="B51" s="93" t="s">
        <v>552</v>
      </c>
      <c r="C51" s="93" t="s">
        <v>711</v>
      </c>
      <c r="D51" s="94" t="s">
        <v>532</v>
      </c>
      <c r="E51" s="165">
        <f>7.142*3-0.9*2.1</f>
        <v>19.536000000000001</v>
      </c>
      <c r="F51" s="94" t="s">
        <v>712</v>
      </c>
      <c r="G51" s="94"/>
    </row>
    <row r="52" spans="1:13" ht="25.5" customHeight="1">
      <c r="A52" s="100"/>
      <c r="B52" s="93"/>
      <c r="C52" s="93"/>
      <c r="D52" s="94"/>
      <c r="E52" s="165"/>
      <c r="F52" s="94"/>
      <c r="G52" s="94"/>
    </row>
    <row r="53" spans="1:13" ht="25.5" customHeight="1">
      <c r="A53" s="100"/>
      <c r="B53" s="170" t="s">
        <v>893</v>
      </c>
      <c r="C53" s="93"/>
      <c r="D53" s="94"/>
      <c r="E53" s="165"/>
      <c r="F53" s="94"/>
      <c r="G53" s="94"/>
    </row>
    <row r="54" spans="1:13" ht="25.5" customHeight="1">
      <c r="A54" s="100"/>
      <c r="B54" s="93" t="s">
        <v>894</v>
      </c>
      <c r="C54" s="93"/>
      <c r="D54" s="94" t="s">
        <v>375</v>
      </c>
      <c r="E54" s="165">
        <f>0.95+0.81+0.865+1.2+1.485+1.495+1.495+1.5+1.495</f>
        <v>11.295000000000002</v>
      </c>
      <c r="F54" s="94" t="s">
        <v>896</v>
      </c>
      <c r="G54" s="94"/>
    </row>
    <row r="55" spans="1:13" ht="25.5" customHeight="1">
      <c r="A55" s="100"/>
      <c r="B55" s="93"/>
      <c r="C55" s="93"/>
      <c r="D55" s="94"/>
      <c r="E55" s="165"/>
      <c r="F55" s="94"/>
      <c r="G55" s="94"/>
    </row>
    <row r="56" spans="1:13" ht="25.5" customHeight="1">
      <c r="A56" s="100"/>
      <c r="B56" s="170" t="s">
        <v>776</v>
      </c>
      <c r="C56" s="93"/>
      <c r="D56" s="94"/>
      <c r="E56" s="165"/>
      <c r="F56" s="94"/>
      <c r="G56" s="94"/>
    </row>
    <row r="57" spans="1:13" ht="25.5" customHeight="1">
      <c r="A57" s="100" t="s">
        <v>480</v>
      </c>
      <c r="B57" s="93" t="s">
        <v>474</v>
      </c>
      <c r="C57" s="191" t="s">
        <v>481</v>
      </c>
      <c r="D57" s="94" t="s">
        <v>438</v>
      </c>
      <c r="E57" s="165">
        <v>1</v>
      </c>
      <c r="F57" s="94" t="s">
        <v>485</v>
      </c>
      <c r="G57" s="169">
        <f>I57/1000*J57/1000</f>
        <v>1.2878000000000003</v>
      </c>
      <c r="H57" s="67" t="s">
        <v>775</v>
      </c>
      <c r="I57" s="67">
        <v>685</v>
      </c>
      <c r="J57" s="67">
        <v>1880</v>
      </c>
      <c r="K57" s="67" t="s">
        <v>490</v>
      </c>
      <c r="L57" s="67" t="s">
        <v>491</v>
      </c>
      <c r="M57" s="186">
        <f t="shared" ref="M57" si="0">I57*J57*0.4</f>
        <v>515120</v>
      </c>
    </row>
    <row r="58" spans="1:13" ht="25.5" customHeight="1">
      <c r="A58" s="100"/>
      <c r="B58" s="93" t="s">
        <v>726</v>
      </c>
      <c r="C58" s="93" t="s">
        <v>736</v>
      </c>
      <c r="D58" s="94" t="s">
        <v>156</v>
      </c>
      <c r="E58" s="165">
        <v>1</v>
      </c>
      <c r="F58" s="94" t="s">
        <v>727</v>
      </c>
      <c r="G58" s="94"/>
    </row>
    <row r="59" spans="1:13" ht="25.5" customHeight="1">
      <c r="A59" s="100"/>
      <c r="B59" s="93"/>
      <c r="C59" s="191"/>
      <c r="D59" s="94"/>
      <c r="E59" s="165"/>
      <c r="F59" s="94"/>
      <c r="G59" s="169"/>
    </row>
    <row r="60" spans="1:13" ht="25.5" customHeight="1">
      <c r="A60" s="100"/>
      <c r="B60" s="170"/>
      <c r="C60" s="93"/>
      <c r="D60" s="94"/>
      <c r="E60" s="165"/>
      <c r="F60" s="94"/>
      <c r="G60" s="94"/>
    </row>
    <row r="61" spans="1:13" ht="25.5" customHeight="1">
      <c r="A61" s="100"/>
      <c r="B61" s="93"/>
      <c r="C61" s="191"/>
      <c r="D61" s="94"/>
      <c r="E61" s="165"/>
      <c r="F61" s="94"/>
      <c r="G61" s="169"/>
    </row>
    <row r="62" spans="1:13" ht="25.5" customHeight="1">
      <c r="A62" s="100"/>
      <c r="B62" s="93"/>
      <c r="C62" s="191"/>
      <c r="D62" s="94"/>
      <c r="E62" s="165"/>
      <c r="F62" s="94"/>
      <c r="G62" s="169"/>
    </row>
    <row r="63" spans="1:13" ht="25.5" customHeight="1">
      <c r="A63" s="100"/>
      <c r="B63" s="93"/>
      <c r="C63" s="191"/>
      <c r="D63" s="94"/>
      <c r="E63" s="165"/>
      <c r="F63" s="94"/>
      <c r="G63" s="169"/>
    </row>
    <row r="64" spans="1:13" ht="25.5" customHeight="1">
      <c r="A64" s="100"/>
      <c r="B64" s="93"/>
      <c r="C64" s="191"/>
      <c r="D64" s="94"/>
      <c r="E64" s="165"/>
      <c r="F64" s="94"/>
      <c r="G64" s="169"/>
    </row>
    <row r="65" spans="1:7" ht="25.5" customHeight="1">
      <c r="A65" s="172"/>
      <c r="B65" s="173" t="s">
        <v>618</v>
      </c>
      <c r="C65" s="173"/>
      <c r="D65" s="174"/>
      <c r="E65" s="175"/>
      <c r="F65" s="174"/>
      <c r="G65" s="174"/>
    </row>
    <row r="66" spans="1:7" ht="25.5" customHeight="1">
      <c r="A66" s="100"/>
      <c r="B66" s="93" t="s">
        <v>529</v>
      </c>
      <c r="C66" s="93" t="s">
        <v>581</v>
      </c>
      <c r="D66" s="94" t="s">
        <v>532</v>
      </c>
      <c r="E66" s="165">
        <f>118-67.96</f>
        <v>50.040000000000006</v>
      </c>
      <c r="F66" s="94" t="s">
        <v>739</v>
      </c>
      <c r="G66" s="94"/>
    </row>
    <row r="67" spans="1:7" ht="25.5" customHeight="1">
      <c r="A67" s="100"/>
      <c r="B67" s="93" t="s">
        <v>541</v>
      </c>
      <c r="C67" s="93" t="s">
        <v>542</v>
      </c>
      <c r="D67" s="94" t="s">
        <v>532</v>
      </c>
      <c r="E67" s="165">
        <f>118-67.96</f>
        <v>50.040000000000006</v>
      </c>
      <c r="F67" s="94" t="s">
        <v>739</v>
      </c>
      <c r="G67" s="94"/>
    </row>
    <row r="68" spans="1:7" ht="25.5" customHeight="1">
      <c r="A68" s="100"/>
      <c r="B68" s="93" t="s">
        <v>583</v>
      </c>
      <c r="C68" s="93" t="s">
        <v>1067</v>
      </c>
      <c r="D68" s="94" t="s">
        <v>532</v>
      </c>
      <c r="E68" s="165">
        <f>67.96</f>
        <v>67.959999999999994</v>
      </c>
      <c r="F68" s="94" t="s">
        <v>740</v>
      </c>
      <c r="G68" s="94"/>
    </row>
    <row r="69" spans="1:7" ht="25.5" customHeight="1">
      <c r="A69" s="100"/>
      <c r="B69" s="93" t="s">
        <v>586</v>
      </c>
      <c r="C69" s="93" t="s">
        <v>587</v>
      </c>
      <c r="D69" s="94" t="s">
        <v>532</v>
      </c>
      <c r="E69" s="165">
        <f>67.96</f>
        <v>67.959999999999994</v>
      </c>
      <c r="F69" s="94" t="s">
        <v>740</v>
      </c>
      <c r="G69" s="94"/>
    </row>
    <row r="70" spans="1:7" ht="25.5" customHeight="1">
      <c r="A70" s="100"/>
      <c r="B70" s="93" t="s">
        <v>588</v>
      </c>
      <c r="C70" s="93" t="s">
        <v>589</v>
      </c>
      <c r="D70" s="94" t="s">
        <v>532</v>
      </c>
      <c r="E70" s="165">
        <f>67.96</f>
        <v>67.959999999999994</v>
      </c>
      <c r="F70" s="94" t="s">
        <v>740</v>
      </c>
      <c r="G70" s="94"/>
    </row>
    <row r="71" spans="1:7" ht="25.5" customHeight="1">
      <c r="A71" s="100"/>
      <c r="B71" s="93" t="s">
        <v>580</v>
      </c>
      <c r="C71" s="93" t="s">
        <v>590</v>
      </c>
      <c r="D71" s="94" t="s">
        <v>532</v>
      </c>
      <c r="E71" s="165">
        <f>67.96</f>
        <v>67.959999999999994</v>
      </c>
      <c r="F71" s="94" t="s">
        <v>740</v>
      </c>
      <c r="G71" s="94"/>
    </row>
    <row r="72" spans="1:7" ht="25.5" customHeight="1">
      <c r="A72" s="100"/>
      <c r="B72" s="93" t="s">
        <v>591</v>
      </c>
      <c r="C72" s="93" t="s">
        <v>592</v>
      </c>
      <c r="D72" s="94" t="s">
        <v>532</v>
      </c>
      <c r="E72" s="165">
        <f>67.96</f>
        <v>67.959999999999994</v>
      </c>
      <c r="F72" s="94" t="s">
        <v>740</v>
      </c>
      <c r="G72" s="94"/>
    </row>
    <row r="73" spans="1:7" ht="25.5" customHeight="1">
      <c r="A73" s="100"/>
      <c r="B73" s="93" t="s">
        <v>593</v>
      </c>
      <c r="C73" s="93" t="s">
        <v>594</v>
      </c>
      <c r="D73" s="94" t="s">
        <v>500</v>
      </c>
      <c r="E73" s="165">
        <f>2.8*2+9.19+9.135*3</f>
        <v>42.195</v>
      </c>
      <c r="F73" s="94" t="s">
        <v>741</v>
      </c>
      <c r="G73" s="94"/>
    </row>
    <row r="74" spans="1:7" ht="25.5" customHeight="1">
      <c r="A74" s="100"/>
      <c r="B74" s="93" t="s">
        <v>593</v>
      </c>
      <c r="C74" s="93" t="s">
        <v>595</v>
      </c>
      <c r="D74" s="94" t="s">
        <v>500</v>
      </c>
      <c r="E74" s="165">
        <f>2.8*1+7.68*2+9.135*5</f>
        <v>63.834999999999994</v>
      </c>
      <c r="F74" s="94" t="s">
        <v>742</v>
      </c>
      <c r="G74" s="94"/>
    </row>
    <row r="75" spans="1:7" ht="25.5" customHeight="1">
      <c r="A75" s="100"/>
      <c r="B75" s="93" t="s">
        <v>598</v>
      </c>
      <c r="C75" s="93" t="s">
        <v>599</v>
      </c>
      <c r="D75" s="94" t="s">
        <v>526</v>
      </c>
      <c r="E75" s="165">
        <v>2</v>
      </c>
      <c r="F75" s="94" t="s">
        <v>600</v>
      </c>
      <c r="G75" s="94"/>
    </row>
    <row r="76" spans="1:7" ht="25.5" customHeight="1">
      <c r="A76" s="100"/>
      <c r="B76" s="93" t="s">
        <v>752</v>
      </c>
      <c r="C76" s="93" t="s">
        <v>897</v>
      </c>
      <c r="D76" s="94" t="s">
        <v>603</v>
      </c>
      <c r="E76" s="165">
        <v>1</v>
      </c>
      <c r="F76" s="94" t="s">
        <v>753</v>
      </c>
      <c r="G76" s="94"/>
    </row>
    <row r="77" spans="1:7" ht="25.5" customHeight="1">
      <c r="A77" s="100"/>
      <c r="B77" s="93" t="s">
        <v>754</v>
      </c>
      <c r="C77" s="93" t="s">
        <v>898</v>
      </c>
      <c r="D77" s="94" t="s">
        <v>156</v>
      </c>
      <c r="E77" s="165">
        <v>1</v>
      </c>
      <c r="F77" s="94" t="s">
        <v>755</v>
      </c>
      <c r="G77" s="94"/>
    </row>
    <row r="78" spans="1:7" ht="25.5" customHeight="1">
      <c r="A78" s="100"/>
      <c r="B78" s="93"/>
      <c r="C78" s="93"/>
      <c r="D78" s="94"/>
      <c r="E78" s="165"/>
      <c r="F78" s="94"/>
      <c r="G78" s="94"/>
    </row>
    <row r="79" spans="1:7" ht="25.5" customHeight="1">
      <c r="A79" s="100"/>
      <c r="B79" s="93"/>
      <c r="C79" s="93"/>
      <c r="D79" s="94"/>
      <c r="E79" s="165"/>
      <c r="F79" s="94"/>
      <c r="G79" s="94"/>
    </row>
    <row r="80" spans="1:7" ht="25.5" customHeight="1">
      <c r="A80" s="100"/>
      <c r="B80" s="93"/>
      <c r="C80" s="93"/>
      <c r="D80" s="94"/>
      <c r="E80" s="165"/>
      <c r="F80" s="94"/>
      <c r="G80" s="94"/>
    </row>
    <row r="81" spans="1:7" ht="25.5" customHeight="1">
      <c r="A81" s="172"/>
      <c r="B81" s="173" t="s">
        <v>619</v>
      </c>
      <c r="C81" s="173"/>
      <c r="D81" s="174"/>
      <c r="E81" s="175"/>
      <c r="F81" s="174"/>
      <c r="G81" s="174"/>
    </row>
    <row r="82" spans="1:7" ht="25.5" customHeight="1">
      <c r="A82" s="100"/>
      <c r="B82" s="93" t="s">
        <v>746</v>
      </c>
      <c r="C82" s="93" t="s">
        <v>744</v>
      </c>
      <c r="D82" s="94" t="s">
        <v>532</v>
      </c>
      <c r="E82" s="165">
        <f>2.86*8.735*2+1.915*2.86+1.465*2.86</f>
        <v>59.630999999999993</v>
      </c>
      <c r="F82" s="94" t="s">
        <v>745</v>
      </c>
      <c r="G82" s="94"/>
    </row>
    <row r="83" spans="1:7" ht="25.5" customHeight="1">
      <c r="A83" s="100"/>
      <c r="B83" s="93" t="s">
        <v>747</v>
      </c>
      <c r="C83" s="93" t="s">
        <v>748</v>
      </c>
      <c r="D83" s="94" t="s">
        <v>532</v>
      </c>
      <c r="E83" s="165">
        <f>(2.86*8.735+2.86*0.15*2+8.735*0.15+1.915*0.3)*2</f>
        <v>55.449699999999993</v>
      </c>
      <c r="F83" s="94" t="s">
        <v>749</v>
      </c>
      <c r="G83" s="94"/>
    </row>
    <row r="84" spans="1:7" ht="25.5" customHeight="1">
      <c r="A84" s="100"/>
      <c r="B84" s="93"/>
      <c r="C84" s="93"/>
      <c r="D84" s="94"/>
      <c r="E84" s="165"/>
      <c r="F84" s="94"/>
      <c r="G84" s="94"/>
    </row>
    <row r="85" spans="1:7" ht="25.5" customHeight="1">
      <c r="A85" s="100"/>
      <c r="B85" s="93"/>
      <c r="C85" s="93"/>
      <c r="D85" s="94"/>
      <c r="E85" s="165"/>
      <c r="F85" s="94"/>
      <c r="G85" s="94"/>
    </row>
    <row r="86" spans="1:7" ht="25.5" customHeight="1">
      <c r="A86" s="100"/>
      <c r="B86" s="93"/>
      <c r="C86" s="93"/>
      <c r="D86" s="94"/>
      <c r="E86" s="165"/>
      <c r="F86" s="94"/>
      <c r="G86" s="94"/>
    </row>
    <row r="87" spans="1:7" ht="25.5" customHeight="1">
      <c r="A87" s="100"/>
      <c r="B87" s="93"/>
      <c r="C87" s="93"/>
      <c r="D87" s="94"/>
      <c r="E87" s="165"/>
      <c r="F87" s="94"/>
      <c r="G87" s="94"/>
    </row>
    <row r="88" spans="1:7" ht="25.5" customHeight="1">
      <c r="A88" s="100"/>
      <c r="B88" s="93"/>
      <c r="C88" s="93"/>
      <c r="D88" s="94"/>
      <c r="E88" s="165"/>
      <c r="F88" s="94"/>
      <c r="G88" s="94"/>
    </row>
    <row r="89" spans="1:7" ht="25.5" customHeight="1">
      <c r="A89" s="100"/>
      <c r="B89" s="93"/>
      <c r="C89" s="93"/>
      <c r="D89" s="94"/>
      <c r="E89" s="165"/>
      <c r="F89" s="94"/>
      <c r="G89" s="94"/>
    </row>
    <row r="90" spans="1:7" ht="25.5" customHeight="1">
      <c r="A90" s="100"/>
      <c r="B90" s="93"/>
      <c r="C90" s="93"/>
      <c r="D90" s="94"/>
      <c r="E90" s="165"/>
      <c r="F90" s="94"/>
      <c r="G90" s="94"/>
    </row>
    <row r="91" spans="1:7" ht="25.5" customHeight="1">
      <c r="A91" s="100"/>
      <c r="B91" s="93"/>
      <c r="C91" s="93"/>
      <c r="D91" s="94"/>
      <c r="E91" s="165"/>
      <c r="F91" s="94"/>
      <c r="G91" s="94"/>
    </row>
    <row r="92" spans="1:7" ht="25.5" customHeight="1">
      <c r="A92" s="100"/>
      <c r="B92" s="93"/>
      <c r="C92" s="93"/>
      <c r="D92" s="94"/>
      <c r="E92" s="165"/>
      <c r="F92" s="94"/>
      <c r="G92" s="94"/>
    </row>
    <row r="93" spans="1:7" ht="25.5" customHeight="1">
      <c r="A93" s="100"/>
      <c r="B93" s="93"/>
      <c r="C93" s="93"/>
      <c r="D93" s="94"/>
      <c r="E93" s="165"/>
      <c r="F93" s="94"/>
      <c r="G93" s="94"/>
    </row>
    <row r="94" spans="1:7" ht="25.5" customHeight="1">
      <c r="A94" s="100"/>
      <c r="B94" s="93"/>
      <c r="C94" s="93"/>
      <c r="D94" s="94"/>
      <c r="E94" s="165"/>
      <c r="F94" s="94"/>
      <c r="G94" s="94"/>
    </row>
    <row r="95" spans="1:7" ht="25.5" customHeight="1">
      <c r="A95" s="100"/>
      <c r="B95" s="93"/>
      <c r="C95" s="93"/>
      <c r="D95" s="94"/>
      <c r="E95" s="165"/>
      <c r="F95" s="94"/>
      <c r="G95" s="94"/>
    </row>
    <row r="96" spans="1:7" ht="25.5" customHeight="1">
      <c r="A96" s="100"/>
      <c r="B96" s="93"/>
      <c r="C96" s="93"/>
      <c r="D96" s="94"/>
      <c r="E96" s="165"/>
      <c r="F96" s="94"/>
      <c r="G96" s="94"/>
    </row>
    <row r="97" spans="1:7" ht="25.5" customHeight="1">
      <c r="A97" s="90">
        <f>A35+1</f>
        <v>4</v>
      </c>
      <c r="B97" s="91" t="s">
        <v>620</v>
      </c>
      <c r="C97" s="91"/>
      <c r="D97" s="92"/>
      <c r="E97" s="164"/>
      <c r="F97" s="92"/>
      <c r="G97" s="92"/>
    </row>
    <row r="98" spans="1:7" ht="25.5" customHeight="1">
      <c r="A98" s="100"/>
      <c r="B98" s="93" t="s">
        <v>601</v>
      </c>
      <c r="C98" s="93" t="s">
        <v>750</v>
      </c>
      <c r="D98" s="94" t="s">
        <v>603</v>
      </c>
      <c r="E98" s="165">
        <v>1</v>
      </c>
      <c r="F98" s="94" t="s">
        <v>751</v>
      </c>
      <c r="G98" s="94"/>
    </row>
    <row r="99" spans="1:7" ht="25.5" customHeight="1">
      <c r="A99" s="100"/>
      <c r="B99" s="93" t="s">
        <v>1028</v>
      </c>
      <c r="C99" s="93" t="s">
        <v>1029</v>
      </c>
      <c r="D99" s="94" t="s">
        <v>1034</v>
      </c>
      <c r="E99" s="165">
        <f>15*1</f>
        <v>15</v>
      </c>
      <c r="F99" s="94" t="s">
        <v>1039</v>
      </c>
      <c r="G99" s="94"/>
    </row>
    <row r="100" spans="1:7" ht="25.5" customHeight="1">
      <c r="A100" s="100"/>
      <c r="B100" s="93" t="s">
        <v>1031</v>
      </c>
      <c r="C100" s="93" t="s">
        <v>1032</v>
      </c>
      <c r="D100" s="94" t="s">
        <v>1035</v>
      </c>
      <c r="E100" s="165">
        <f>4*1</f>
        <v>4</v>
      </c>
      <c r="F100" s="94" t="s">
        <v>1039</v>
      </c>
      <c r="G100" s="171"/>
    </row>
    <row r="101" spans="1:7" ht="25.5" customHeight="1">
      <c r="A101" s="100"/>
      <c r="B101" s="93" t="s">
        <v>1030</v>
      </c>
      <c r="C101" s="93" t="s">
        <v>1032</v>
      </c>
      <c r="D101" s="94" t="s">
        <v>1035</v>
      </c>
      <c r="E101" s="165">
        <f>4*1</f>
        <v>4</v>
      </c>
      <c r="F101" s="94" t="s">
        <v>1039</v>
      </c>
      <c r="G101" s="94"/>
    </row>
    <row r="102" spans="1:7" ht="25.5" customHeight="1">
      <c r="A102" s="100"/>
      <c r="B102" s="93" t="s">
        <v>1036</v>
      </c>
      <c r="C102" s="93" t="s">
        <v>1037</v>
      </c>
      <c r="D102" s="94" t="s">
        <v>1038</v>
      </c>
      <c r="E102" s="165">
        <v>4</v>
      </c>
      <c r="F102" s="94" t="s">
        <v>1039</v>
      </c>
      <c r="G102" s="94"/>
    </row>
    <row r="103" spans="1:7" ht="25.5" customHeight="1">
      <c r="A103" s="100"/>
      <c r="B103" s="93"/>
      <c r="C103" s="93"/>
      <c r="D103" s="94"/>
      <c r="E103" s="165"/>
      <c r="F103" s="94"/>
      <c r="G103" s="94"/>
    </row>
    <row r="104" spans="1:7" ht="25.5" customHeight="1">
      <c r="A104" s="100"/>
      <c r="B104" s="93"/>
      <c r="C104" s="93"/>
      <c r="D104" s="94"/>
      <c r="E104" s="165"/>
      <c r="F104" s="94"/>
      <c r="G104" s="94"/>
    </row>
    <row r="105" spans="1:7" ht="25.5" customHeight="1">
      <c r="A105" s="100"/>
      <c r="B105" s="93"/>
      <c r="C105" s="93"/>
      <c r="D105" s="94"/>
      <c r="E105" s="165"/>
      <c r="F105" s="94"/>
      <c r="G105" s="94"/>
    </row>
    <row r="106" spans="1:7" ht="25.5" customHeight="1">
      <c r="A106" s="100"/>
      <c r="B106" s="93"/>
      <c r="C106" s="93"/>
      <c r="D106" s="94"/>
      <c r="E106" s="165"/>
      <c r="F106" s="94"/>
      <c r="G106" s="94"/>
    </row>
    <row r="107" spans="1:7" ht="25.5" customHeight="1">
      <c r="A107" s="100"/>
      <c r="B107" s="93"/>
      <c r="C107" s="93"/>
      <c r="D107" s="94"/>
      <c r="E107" s="165"/>
      <c r="F107" s="94"/>
      <c r="G107" s="94"/>
    </row>
    <row r="108" spans="1:7" ht="25.5" customHeight="1">
      <c r="A108" s="100"/>
      <c r="B108" s="93"/>
      <c r="C108" s="93"/>
      <c r="D108" s="94"/>
      <c r="E108" s="165"/>
      <c r="F108" s="94"/>
      <c r="G108" s="94"/>
    </row>
    <row r="109" spans="1:7" ht="25.5" customHeight="1">
      <c r="A109" s="100"/>
      <c r="B109" s="93"/>
      <c r="C109" s="93"/>
      <c r="D109" s="94"/>
      <c r="E109" s="165"/>
      <c r="F109" s="94"/>
      <c r="G109" s="94"/>
    </row>
    <row r="110" spans="1:7" ht="25.5" customHeight="1">
      <c r="A110" s="100"/>
      <c r="B110" s="93"/>
      <c r="C110" s="93"/>
      <c r="D110" s="94"/>
      <c r="E110" s="165"/>
      <c r="F110" s="94"/>
      <c r="G110" s="94"/>
    </row>
    <row r="111" spans="1:7" ht="25.5" customHeight="1">
      <c r="A111" s="100"/>
      <c r="B111" s="93"/>
      <c r="C111" s="93"/>
      <c r="D111" s="94"/>
      <c r="E111" s="165"/>
      <c r="F111" s="94"/>
      <c r="G111" s="94"/>
    </row>
    <row r="112" spans="1:7" ht="25.5" customHeight="1">
      <c r="A112" s="100"/>
      <c r="B112" s="93"/>
      <c r="C112" s="93"/>
      <c r="D112" s="94"/>
      <c r="E112" s="165"/>
      <c r="F112" s="94"/>
      <c r="G112" s="94"/>
    </row>
    <row r="113" spans="1:7" ht="25.5" customHeight="1">
      <c r="A113" s="90">
        <f>A97+1</f>
        <v>5</v>
      </c>
      <c r="B113" s="91" t="s">
        <v>622</v>
      </c>
      <c r="C113" s="91"/>
      <c r="D113" s="92"/>
      <c r="E113" s="164"/>
      <c r="F113" s="92"/>
      <c r="G113" s="92"/>
    </row>
    <row r="114" spans="1:7" ht="25.5" customHeight="1">
      <c r="A114" s="205" t="s">
        <v>1040</v>
      </c>
      <c r="B114" s="93" t="s">
        <v>611</v>
      </c>
      <c r="C114" s="93" t="s">
        <v>613</v>
      </c>
      <c r="D114" s="94" t="s">
        <v>603</v>
      </c>
      <c r="E114" s="187">
        <v>1</v>
      </c>
      <c r="F114" s="94" t="s">
        <v>756</v>
      </c>
      <c r="G114" s="94"/>
    </row>
    <row r="115" spans="1:7" ht="25.5" customHeight="1">
      <c r="A115" s="205" t="s">
        <v>1041</v>
      </c>
      <c r="B115" s="176" t="s">
        <v>623</v>
      </c>
      <c r="C115" s="176" t="s">
        <v>624</v>
      </c>
      <c r="D115" s="177" t="s">
        <v>500</v>
      </c>
      <c r="E115" s="187">
        <f>5+10</f>
        <v>15</v>
      </c>
      <c r="F115" s="177" t="s">
        <v>760</v>
      </c>
      <c r="G115" s="94"/>
    </row>
    <row r="116" spans="1:7" ht="25.5" customHeight="1">
      <c r="A116" s="205" t="s">
        <v>1042</v>
      </c>
      <c r="B116" s="176" t="s">
        <v>625</v>
      </c>
      <c r="C116" s="176" t="s">
        <v>624</v>
      </c>
      <c r="D116" s="177" t="s">
        <v>156</v>
      </c>
      <c r="E116" s="187">
        <v>2</v>
      </c>
      <c r="F116" s="177" t="s">
        <v>632</v>
      </c>
      <c r="G116" s="94"/>
    </row>
    <row r="117" spans="1:7" ht="25.5" customHeight="1">
      <c r="A117" s="205" t="s">
        <v>1043</v>
      </c>
      <c r="B117" s="176" t="s">
        <v>626</v>
      </c>
      <c r="C117" s="176" t="s">
        <v>624</v>
      </c>
      <c r="D117" s="177" t="s">
        <v>156</v>
      </c>
      <c r="E117" s="187">
        <v>1</v>
      </c>
      <c r="F117" s="177" t="s">
        <v>632</v>
      </c>
      <c r="G117" s="171"/>
    </row>
    <row r="118" spans="1:7" ht="25.5" customHeight="1">
      <c r="A118" s="205" t="s">
        <v>1044</v>
      </c>
      <c r="B118" s="93" t="s">
        <v>627</v>
      </c>
      <c r="C118" s="176" t="s">
        <v>624</v>
      </c>
      <c r="D118" s="94" t="s">
        <v>156</v>
      </c>
      <c r="E118" s="187">
        <v>2</v>
      </c>
      <c r="F118" s="177" t="s">
        <v>629</v>
      </c>
      <c r="G118" s="94"/>
    </row>
    <row r="119" spans="1:7" ht="25.5" customHeight="1">
      <c r="A119" s="205" t="s">
        <v>1045</v>
      </c>
      <c r="B119" s="93" t="s">
        <v>630</v>
      </c>
      <c r="C119" s="93" t="s">
        <v>631</v>
      </c>
      <c r="D119" s="94" t="s">
        <v>500</v>
      </c>
      <c r="E119" s="187">
        <f>E115</f>
        <v>15</v>
      </c>
      <c r="F119" s="94" t="s">
        <v>633</v>
      </c>
      <c r="G119" s="94"/>
    </row>
    <row r="120" spans="1:7" ht="25.5" customHeight="1">
      <c r="A120" s="205" t="s">
        <v>1046</v>
      </c>
      <c r="B120" s="176" t="s">
        <v>623</v>
      </c>
      <c r="C120" s="176" t="s">
        <v>634</v>
      </c>
      <c r="D120" s="177" t="s">
        <v>500</v>
      </c>
      <c r="E120" s="187">
        <f>5+10</f>
        <v>15</v>
      </c>
      <c r="F120" s="177" t="s">
        <v>760</v>
      </c>
      <c r="G120" s="94"/>
    </row>
    <row r="121" spans="1:7" ht="25.5" customHeight="1">
      <c r="A121" s="205" t="s">
        <v>1047</v>
      </c>
      <c r="B121" s="176" t="s">
        <v>625</v>
      </c>
      <c r="C121" s="176" t="s">
        <v>634</v>
      </c>
      <c r="D121" s="177" t="s">
        <v>156</v>
      </c>
      <c r="E121" s="187">
        <v>2</v>
      </c>
      <c r="F121" s="177" t="s">
        <v>632</v>
      </c>
      <c r="G121" s="94"/>
    </row>
    <row r="122" spans="1:7" ht="25.5" customHeight="1">
      <c r="A122" s="205" t="s">
        <v>1048</v>
      </c>
      <c r="B122" s="176" t="s">
        <v>626</v>
      </c>
      <c r="C122" s="176" t="s">
        <v>634</v>
      </c>
      <c r="D122" s="177" t="s">
        <v>156</v>
      </c>
      <c r="E122" s="187">
        <v>1</v>
      </c>
      <c r="F122" s="177" t="s">
        <v>632</v>
      </c>
      <c r="G122" s="94"/>
    </row>
    <row r="123" spans="1:7" ht="25.5" customHeight="1">
      <c r="A123" s="205" t="s">
        <v>1049</v>
      </c>
      <c r="B123" s="93" t="s">
        <v>627</v>
      </c>
      <c r="C123" s="176" t="s">
        <v>634</v>
      </c>
      <c r="D123" s="94" t="s">
        <v>156</v>
      </c>
      <c r="E123" s="187">
        <v>2</v>
      </c>
      <c r="F123" s="177" t="s">
        <v>629</v>
      </c>
      <c r="G123" s="94"/>
    </row>
    <row r="124" spans="1:7" ht="25.5" customHeight="1">
      <c r="A124" s="205" t="s">
        <v>1050</v>
      </c>
      <c r="B124" s="93" t="s">
        <v>630</v>
      </c>
      <c r="C124" s="93" t="s">
        <v>635</v>
      </c>
      <c r="D124" s="94" t="s">
        <v>500</v>
      </c>
      <c r="E124" s="187">
        <f>E120</f>
        <v>15</v>
      </c>
      <c r="F124" s="94" t="s">
        <v>641</v>
      </c>
      <c r="G124" s="94"/>
    </row>
    <row r="125" spans="1:7" ht="25.5" customHeight="1">
      <c r="A125" s="205" t="s">
        <v>1051</v>
      </c>
      <c r="B125" s="93" t="s">
        <v>636</v>
      </c>
      <c r="C125" s="93" t="s">
        <v>637</v>
      </c>
      <c r="D125" s="94" t="s">
        <v>603</v>
      </c>
      <c r="E125" s="187">
        <v>1</v>
      </c>
      <c r="F125" s="94" t="s">
        <v>639</v>
      </c>
      <c r="G125" s="94"/>
    </row>
    <row r="126" spans="1:7" ht="25.5" customHeight="1">
      <c r="A126" s="205" t="s">
        <v>1052</v>
      </c>
      <c r="B126" s="93" t="s">
        <v>647</v>
      </c>
      <c r="C126" s="93" t="s">
        <v>759</v>
      </c>
      <c r="D126" s="94" t="s">
        <v>156</v>
      </c>
      <c r="E126" s="187">
        <v>1</v>
      </c>
      <c r="F126" s="94" t="s">
        <v>610</v>
      </c>
      <c r="G126" s="94"/>
    </row>
    <row r="127" spans="1:7" ht="25.5" customHeight="1">
      <c r="A127" s="205" t="s">
        <v>1053</v>
      </c>
      <c r="B127" s="93" t="s">
        <v>649</v>
      </c>
      <c r="C127" s="93" t="s">
        <v>652</v>
      </c>
      <c r="D127" s="94" t="s">
        <v>156</v>
      </c>
      <c r="E127" s="187">
        <v>1</v>
      </c>
      <c r="F127" s="94" t="s">
        <v>610</v>
      </c>
      <c r="G127" s="94"/>
    </row>
    <row r="128" spans="1:7" ht="25.5" customHeight="1">
      <c r="A128" s="205" t="s">
        <v>1054</v>
      </c>
      <c r="B128" s="93" t="s">
        <v>654</v>
      </c>
      <c r="C128" s="93" t="s">
        <v>655</v>
      </c>
      <c r="D128" s="94" t="s">
        <v>156</v>
      </c>
      <c r="E128" s="187">
        <v>1</v>
      </c>
      <c r="F128" s="94" t="s">
        <v>757</v>
      </c>
      <c r="G128" s="94"/>
    </row>
    <row r="129" spans="1:7" ht="25.5" customHeight="1">
      <c r="A129" s="205" t="s">
        <v>1055</v>
      </c>
      <c r="B129" s="93" t="s">
        <v>657</v>
      </c>
      <c r="C129" s="93" t="s">
        <v>658</v>
      </c>
      <c r="D129" s="94" t="s">
        <v>156</v>
      </c>
      <c r="E129" s="165">
        <v>1</v>
      </c>
      <c r="F129" s="94" t="s">
        <v>757</v>
      </c>
      <c r="G129" s="94"/>
    </row>
    <row r="130" spans="1:7" ht="25.5" customHeight="1">
      <c r="A130" s="205" t="s">
        <v>1056</v>
      </c>
      <c r="B130" s="93" t="s">
        <v>737</v>
      </c>
      <c r="C130" s="93" t="s">
        <v>738</v>
      </c>
      <c r="D130" s="94" t="s">
        <v>156</v>
      </c>
      <c r="E130" s="165">
        <v>1</v>
      </c>
      <c r="F130" s="94" t="s">
        <v>757</v>
      </c>
      <c r="G130" s="94"/>
    </row>
    <row r="131" spans="1:7" ht="25.5" customHeight="1">
      <c r="A131" s="205" t="s">
        <v>1057</v>
      </c>
      <c r="B131" s="93" t="s">
        <v>758</v>
      </c>
      <c r="C131" s="93" t="s">
        <v>648</v>
      </c>
      <c r="D131" s="94" t="s">
        <v>156</v>
      </c>
      <c r="E131" s="165">
        <v>1</v>
      </c>
      <c r="F131" s="94" t="s">
        <v>757</v>
      </c>
      <c r="G131" s="94"/>
    </row>
    <row r="132" spans="1:7" ht="25.5" customHeight="1">
      <c r="A132" s="100"/>
      <c r="B132" s="93"/>
      <c r="C132" s="93"/>
      <c r="D132" s="94"/>
      <c r="E132" s="165"/>
      <c r="F132" s="94"/>
      <c r="G132" s="94"/>
    </row>
    <row r="133" spans="1:7" ht="25.5" customHeight="1">
      <c r="A133" s="100"/>
      <c r="B133" s="93"/>
      <c r="C133" s="93"/>
      <c r="D133" s="94"/>
      <c r="E133" s="165"/>
      <c r="F133" s="94"/>
      <c r="G133" s="94"/>
    </row>
    <row r="134" spans="1:7" ht="25.5" customHeight="1">
      <c r="A134" s="100"/>
      <c r="B134" s="93"/>
      <c r="C134" s="93"/>
      <c r="D134" s="94"/>
      <c r="E134" s="165"/>
      <c r="F134" s="94"/>
      <c r="G134" s="94"/>
    </row>
    <row r="135" spans="1:7" ht="25.5" customHeight="1">
      <c r="A135" s="100"/>
      <c r="B135" s="93"/>
      <c r="C135" s="93"/>
      <c r="D135" s="94"/>
      <c r="E135" s="165"/>
      <c r="F135" s="94"/>
      <c r="G135" s="94"/>
    </row>
    <row r="136" spans="1:7" ht="25.5" customHeight="1">
      <c r="A136" s="100"/>
      <c r="B136" s="93"/>
      <c r="C136" s="93"/>
      <c r="D136" s="94"/>
      <c r="E136" s="165"/>
      <c r="F136" s="94"/>
      <c r="G136" s="94"/>
    </row>
    <row r="137" spans="1:7" ht="25.5" customHeight="1">
      <c r="A137" s="100"/>
      <c r="B137" s="93"/>
      <c r="C137" s="93"/>
      <c r="D137" s="94"/>
      <c r="E137" s="165"/>
      <c r="F137" s="94"/>
      <c r="G137" s="94"/>
    </row>
    <row r="138" spans="1:7" ht="25.5" customHeight="1">
      <c r="A138" s="100"/>
      <c r="B138" s="93"/>
      <c r="C138" s="93"/>
      <c r="D138" s="94"/>
      <c r="E138" s="165"/>
      <c r="F138" s="94"/>
      <c r="G138" s="94"/>
    </row>
    <row r="139" spans="1:7" ht="25.5" customHeight="1">
      <c r="A139" s="100"/>
      <c r="B139" s="93"/>
      <c r="C139" s="93"/>
      <c r="D139" s="94"/>
      <c r="E139" s="165"/>
      <c r="F139" s="94"/>
      <c r="G139" s="94"/>
    </row>
    <row r="140" spans="1:7" ht="25.5" customHeight="1">
      <c r="A140" s="100"/>
      <c r="B140" s="93"/>
      <c r="C140" s="93"/>
      <c r="D140" s="94"/>
      <c r="E140" s="165"/>
      <c r="F140" s="94"/>
      <c r="G140" s="94"/>
    </row>
    <row r="141" spans="1:7" ht="25.5" customHeight="1">
      <c r="A141" s="100"/>
      <c r="B141" s="93"/>
      <c r="C141" s="93"/>
      <c r="D141" s="94"/>
      <c r="E141" s="165"/>
      <c r="F141" s="94"/>
      <c r="G141" s="94"/>
    </row>
    <row r="142" spans="1:7" ht="25.5" customHeight="1">
      <c r="A142" s="100"/>
      <c r="B142" s="93"/>
      <c r="C142" s="93"/>
      <c r="D142" s="94"/>
      <c r="E142" s="165"/>
      <c r="F142" s="94"/>
      <c r="G142" s="94"/>
    </row>
    <row r="143" spans="1:7" ht="25.5" customHeight="1">
      <c r="A143" s="100"/>
      <c r="B143" s="93"/>
      <c r="C143" s="93"/>
      <c r="D143" s="94"/>
      <c r="E143" s="165"/>
      <c r="F143" s="94"/>
      <c r="G143" s="94"/>
    </row>
    <row r="144" spans="1:7" ht="25.5" customHeight="1">
      <c r="A144" s="100"/>
      <c r="B144" s="93"/>
      <c r="C144" s="93"/>
      <c r="D144" s="94"/>
      <c r="E144" s="165"/>
      <c r="F144" s="94"/>
      <c r="G144" s="94"/>
    </row>
    <row r="145" spans="1:10" ht="25.5" customHeight="1">
      <c r="A145" s="90">
        <f>A113+1</f>
        <v>6</v>
      </c>
      <c r="B145" s="91" t="s">
        <v>621</v>
      </c>
      <c r="C145" s="91"/>
      <c r="D145" s="92"/>
      <c r="E145" s="164"/>
      <c r="F145" s="92"/>
      <c r="G145" s="92"/>
      <c r="J145" s="186"/>
    </row>
    <row r="146" spans="1:10" ht="25.5" customHeight="1">
      <c r="A146" s="100"/>
      <c r="B146" s="93" t="s">
        <v>714</v>
      </c>
      <c r="C146" s="93" t="s">
        <v>713</v>
      </c>
      <c r="D146" s="94" t="s">
        <v>156</v>
      </c>
      <c r="E146" s="165">
        <v>1</v>
      </c>
      <c r="F146" s="94" t="s">
        <v>715</v>
      </c>
      <c r="G146" s="94"/>
      <c r="J146" s="186"/>
    </row>
    <row r="147" spans="1:10" ht="25.5" customHeight="1">
      <c r="A147" s="100"/>
      <c r="B147" s="93" t="s">
        <v>662</v>
      </c>
      <c r="C147" s="93" t="s">
        <v>762</v>
      </c>
      <c r="D147" s="94" t="s">
        <v>156</v>
      </c>
      <c r="E147" s="165">
        <v>1</v>
      </c>
      <c r="F147" s="94" t="s">
        <v>716</v>
      </c>
      <c r="G147" s="94"/>
      <c r="J147" s="186"/>
    </row>
    <row r="148" spans="1:10" ht="25.5" customHeight="1">
      <c r="A148" s="100"/>
      <c r="B148" s="93" t="s">
        <v>665</v>
      </c>
      <c r="C148" s="93" t="s">
        <v>763</v>
      </c>
      <c r="D148" s="94" t="s">
        <v>156</v>
      </c>
      <c r="E148" s="165">
        <v>1</v>
      </c>
      <c r="F148" s="94" t="s">
        <v>717</v>
      </c>
      <c r="G148" s="94"/>
      <c r="J148" s="186"/>
    </row>
    <row r="149" spans="1:10" ht="25.5" customHeight="1">
      <c r="A149" s="100"/>
      <c r="B149" s="93"/>
      <c r="C149" s="93"/>
      <c r="D149" s="94"/>
      <c r="E149" s="165"/>
      <c r="F149" s="94"/>
      <c r="G149" s="94"/>
      <c r="J149" s="186"/>
    </row>
    <row r="150" spans="1:10" ht="25.5" customHeight="1">
      <c r="A150" s="100"/>
      <c r="B150" s="93"/>
      <c r="C150" s="93"/>
      <c r="D150" s="94"/>
      <c r="E150" s="165"/>
      <c r="F150" s="94"/>
      <c r="G150" s="94"/>
    </row>
    <row r="151" spans="1:10" ht="25.5" customHeight="1">
      <c r="A151" s="100"/>
      <c r="B151" s="93"/>
      <c r="C151" s="93"/>
      <c r="D151" s="94"/>
      <c r="E151" s="165"/>
      <c r="F151" s="94"/>
      <c r="G151" s="94"/>
    </row>
    <row r="152" spans="1:10" ht="25.5" customHeight="1">
      <c r="A152" s="100"/>
      <c r="B152" s="93"/>
      <c r="C152" s="93"/>
      <c r="D152" s="94"/>
      <c r="E152" s="165"/>
      <c r="F152" s="94"/>
      <c r="G152" s="94"/>
    </row>
    <row r="153" spans="1:10" ht="25.5" customHeight="1">
      <c r="A153" s="100"/>
      <c r="B153" s="93"/>
      <c r="C153" s="93"/>
      <c r="D153" s="94"/>
      <c r="E153" s="165"/>
      <c r="F153" s="94"/>
      <c r="G153" s="94"/>
    </row>
    <row r="154" spans="1:10" ht="25.5" customHeight="1">
      <c r="A154" s="100"/>
      <c r="B154" s="170"/>
      <c r="C154" s="93"/>
      <c r="D154" s="94"/>
      <c r="E154" s="165"/>
      <c r="F154" s="94"/>
      <c r="G154" s="94"/>
    </row>
    <row r="155" spans="1:10" ht="25.5" customHeight="1">
      <c r="A155" s="100"/>
      <c r="B155" s="93"/>
      <c r="C155" s="93"/>
      <c r="D155" s="94"/>
      <c r="E155" s="165"/>
      <c r="F155" s="94"/>
      <c r="G155" s="94"/>
    </row>
    <row r="156" spans="1:10" ht="25.5" customHeight="1">
      <c r="A156" s="100"/>
      <c r="B156" s="93"/>
      <c r="C156" s="93"/>
      <c r="D156" s="94"/>
      <c r="E156" s="165"/>
      <c r="F156" s="94"/>
      <c r="G156" s="94"/>
    </row>
    <row r="157" spans="1:10" ht="25.5" customHeight="1">
      <c r="A157" s="100"/>
      <c r="B157" s="93"/>
      <c r="C157" s="93"/>
      <c r="D157" s="94"/>
      <c r="E157" s="165"/>
      <c r="F157" s="94"/>
      <c r="G157" s="94"/>
    </row>
    <row r="158" spans="1:10" ht="25.5" customHeight="1">
      <c r="A158" s="100"/>
      <c r="B158" s="93"/>
      <c r="C158" s="93"/>
      <c r="D158" s="94"/>
      <c r="E158" s="165"/>
      <c r="F158" s="94"/>
      <c r="G158" s="94"/>
    </row>
    <row r="159" spans="1:10" ht="25.5" customHeight="1">
      <c r="A159" s="100"/>
      <c r="B159" s="93"/>
      <c r="C159" s="93"/>
      <c r="D159" s="94"/>
      <c r="E159" s="165"/>
      <c r="F159" s="94"/>
      <c r="G159" s="94"/>
    </row>
    <row r="160" spans="1:10" ht="25.5" customHeight="1">
      <c r="A160" s="100"/>
      <c r="B160" s="93"/>
      <c r="C160" s="93"/>
      <c r="D160" s="94"/>
      <c r="E160" s="165"/>
      <c r="F160" s="94"/>
      <c r="G160" s="94"/>
    </row>
    <row r="161" spans="1:7" ht="25.5" customHeight="1">
      <c r="A161" s="90">
        <f>A145+1</f>
        <v>7</v>
      </c>
      <c r="B161" s="91" t="s">
        <v>150</v>
      </c>
      <c r="C161" s="91"/>
      <c r="D161" s="92"/>
      <c r="E161" s="164"/>
      <c r="F161" s="92"/>
      <c r="G161" s="92"/>
    </row>
    <row r="162" spans="1:7" ht="25.5" customHeight="1">
      <c r="A162" s="100"/>
      <c r="B162" s="93" t="s">
        <v>158</v>
      </c>
      <c r="C162" s="93" t="s">
        <v>680</v>
      </c>
      <c r="D162" s="94" t="s">
        <v>159</v>
      </c>
      <c r="E162" s="165">
        <f>G168</f>
        <v>0.20699999999999999</v>
      </c>
      <c r="F162" s="94" t="s">
        <v>336</v>
      </c>
      <c r="G162" s="94"/>
    </row>
    <row r="163" spans="1:7" ht="25.5" customHeight="1">
      <c r="A163" s="100"/>
      <c r="B163" s="93" t="s">
        <v>158</v>
      </c>
      <c r="C163" s="93" t="s">
        <v>334</v>
      </c>
      <c r="D163" s="94" t="s">
        <v>159</v>
      </c>
      <c r="E163" s="165">
        <f>G169</f>
        <v>0.02</v>
      </c>
      <c r="F163" s="94" t="s">
        <v>336</v>
      </c>
      <c r="G163" s="94"/>
    </row>
    <row r="164" spans="1:7" ht="25.5" customHeight="1">
      <c r="A164" s="100"/>
      <c r="B164" s="93" t="s">
        <v>150</v>
      </c>
      <c r="C164" s="93" t="s">
        <v>679</v>
      </c>
      <c r="D164" s="94" t="s">
        <v>159</v>
      </c>
      <c r="E164" s="165">
        <f>E162</f>
        <v>0.20699999999999999</v>
      </c>
      <c r="F164" s="94" t="s">
        <v>336</v>
      </c>
      <c r="G164" s="94"/>
    </row>
    <row r="165" spans="1:7" ht="25.5" customHeight="1">
      <c r="A165" s="100"/>
      <c r="B165" s="93" t="s">
        <v>150</v>
      </c>
      <c r="C165" s="93" t="s">
        <v>335</v>
      </c>
      <c r="D165" s="94" t="s">
        <v>159</v>
      </c>
      <c r="E165" s="165">
        <f>E163</f>
        <v>0.02</v>
      </c>
      <c r="F165" s="94" t="s">
        <v>336</v>
      </c>
      <c r="G165" s="94"/>
    </row>
    <row r="166" spans="1:7" ht="25.5" customHeight="1">
      <c r="A166" s="100"/>
      <c r="B166" s="93"/>
      <c r="C166" s="93"/>
      <c r="D166" s="94"/>
      <c r="E166" s="165"/>
      <c r="F166" s="94"/>
      <c r="G166" s="94"/>
    </row>
    <row r="167" spans="1:7" ht="25.5" customHeight="1">
      <c r="A167" s="100"/>
      <c r="B167" s="179" t="s">
        <v>681</v>
      </c>
      <c r="C167" s="179" t="s">
        <v>1</v>
      </c>
      <c r="D167" s="179" t="s">
        <v>3</v>
      </c>
      <c r="E167" s="180" t="s">
        <v>682</v>
      </c>
      <c r="F167" s="179" t="s">
        <v>683</v>
      </c>
      <c r="G167" s="179" t="s">
        <v>684</v>
      </c>
    </row>
    <row r="168" spans="1:7" ht="25.5" customHeight="1">
      <c r="A168" s="100"/>
      <c r="B168" s="93" t="s">
        <v>502</v>
      </c>
      <c r="C168" s="93" t="s">
        <v>504</v>
      </c>
      <c r="D168" s="94" t="s">
        <v>15</v>
      </c>
      <c r="E168" s="165">
        <v>0.09</v>
      </c>
      <c r="F168" s="94">
        <v>2300</v>
      </c>
      <c r="G168" s="181">
        <f>E168*F168/1000</f>
        <v>0.20699999999999999</v>
      </c>
    </row>
    <row r="169" spans="1:7" ht="25.5" customHeight="1">
      <c r="A169" s="100"/>
      <c r="B169" s="93" t="s">
        <v>700</v>
      </c>
      <c r="C169" s="93" t="s">
        <v>702</v>
      </c>
      <c r="D169" s="94" t="s">
        <v>437</v>
      </c>
      <c r="E169" s="165">
        <v>1</v>
      </c>
      <c r="F169" s="94">
        <v>20</v>
      </c>
      <c r="G169" s="181">
        <f t="shared" ref="G169" si="1">E169*F169/1000</f>
        <v>0.02</v>
      </c>
    </row>
    <row r="170" spans="1:7" ht="25.5" customHeight="1">
      <c r="A170" s="100"/>
      <c r="B170" s="93"/>
      <c r="C170" s="93"/>
      <c r="D170" s="94"/>
      <c r="E170" s="165"/>
      <c r="F170" s="182" t="s">
        <v>686</v>
      </c>
      <c r="G170" s="183">
        <f>SUM(G168:G169)</f>
        <v>0.22699999999999998</v>
      </c>
    </row>
    <row r="171" spans="1:7" ht="25.5" customHeight="1">
      <c r="A171" s="100"/>
      <c r="B171" s="93"/>
      <c r="C171" s="93"/>
      <c r="D171" s="94"/>
      <c r="E171" s="165"/>
      <c r="F171" s="94"/>
      <c r="G171" s="94"/>
    </row>
    <row r="172" spans="1:7" ht="25.5" customHeight="1">
      <c r="A172" s="100"/>
      <c r="B172" s="93"/>
      <c r="C172" s="93"/>
      <c r="D172" s="94"/>
      <c r="E172" s="165"/>
      <c r="F172" s="94"/>
      <c r="G172" s="94"/>
    </row>
    <row r="173" spans="1:7" ht="25.5" customHeight="1">
      <c r="A173" s="100"/>
      <c r="B173" s="93"/>
      <c r="C173" s="93"/>
      <c r="D173" s="94"/>
      <c r="E173" s="165"/>
      <c r="F173" s="94"/>
      <c r="G173" s="94"/>
    </row>
    <row r="174" spans="1:7" ht="25.5" customHeight="1">
      <c r="A174" s="100"/>
      <c r="B174" s="93"/>
      <c r="C174" s="93"/>
      <c r="D174" s="94"/>
      <c r="E174" s="165"/>
      <c r="F174" s="94"/>
      <c r="G174" s="94"/>
    </row>
    <row r="175" spans="1:7" ht="25.5" customHeight="1">
      <c r="A175" s="100"/>
      <c r="B175" s="93"/>
      <c r="C175" s="93"/>
      <c r="D175" s="94"/>
      <c r="E175" s="165"/>
      <c r="F175" s="94"/>
      <c r="G175" s="94"/>
    </row>
    <row r="176" spans="1:7" ht="25.5" customHeight="1">
      <c r="A176" s="100"/>
      <c r="B176" s="93"/>
      <c r="C176" s="93"/>
      <c r="D176" s="94"/>
      <c r="E176" s="165"/>
      <c r="F176" s="94"/>
      <c r="G176" s="94"/>
    </row>
  </sheetData>
  <autoFilter ref="A2:G176"/>
  <phoneticPr fontId="2" type="noConversion"/>
  <pageMargins left="0.70866141732283472" right="0.54" top="0.74803149606299213" bottom="0.6" header="0.31496062992125984" footer="0.31496062992125984"/>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55"/>
  <sheetViews>
    <sheetView zoomScaleNormal="100" workbookViewId="0">
      <pane ySplit="2" topLeftCell="A3" activePane="bottomLeft" state="frozen"/>
      <selection activeCell="DJ113" sqref="DJ113:FG116"/>
      <selection pane="bottomLeft" activeCell="DJ113" sqref="DJ113:FG116"/>
    </sheetView>
  </sheetViews>
  <sheetFormatPr defaultColWidth="14.5" defaultRowHeight="24.75" customHeight="1"/>
  <cols>
    <col min="1" max="1" width="7.375" style="67" customWidth="1"/>
    <col min="2" max="2" width="24.125" style="67" customWidth="1"/>
    <col min="3" max="3" width="24.875" style="188" customWidth="1"/>
    <col min="4" max="4" width="7.125" style="88" customWidth="1"/>
    <col min="5" max="5" width="9.125" style="162" customWidth="1"/>
    <col min="6" max="6" width="38.5" style="88" customWidth="1"/>
    <col min="7" max="7" width="10.25" style="88" customWidth="1"/>
    <col min="8" max="16384" width="14.5" style="67"/>
  </cols>
  <sheetData>
    <row r="1" spans="1:7" ht="33" customHeight="1">
      <c r="A1" s="87" t="s">
        <v>786</v>
      </c>
      <c r="B1" s="87"/>
      <c r="G1" s="111" t="str">
        <f>갑!B10</f>
        <v>김제시 죽산면 죽산로126(구 새마을 금고)내·외부공사</v>
      </c>
    </row>
    <row r="2" spans="1:7" ht="36" customHeight="1">
      <c r="A2" s="89" t="s">
        <v>17</v>
      </c>
      <c r="B2" s="89" t="s">
        <v>0</v>
      </c>
      <c r="C2" s="189" t="s">
        <v>1</v>
      </c>
      <c r="D2" s="89" t="s">
        <v>3</v>
      </c>
      <c r="E2" s="163" t="s">
        <v>5</v>
      </c>
      <c r="F2" s="89" t="s">
        <v>6</v>
      </c>
      <c r="G2" s="89" t="s">
        <v>8</v>
      </c>
    </row>
    <row r="3" spans="1:7" ht="25.5" customHeight="1">
      <c r="A3" s="90">
        <v>1</v>
      </c>
      <c r="B3" s="91" t="s">
        <v>869</v>
      </c>
      <c r="C3" s="190"/>
      <c r="D3" s="92"/>
      <c r="E3" s="164"/>
      <c r="F3" s="92"/>
      <c r="G3" s="92"/>
    </row>
    <row r="4" spans="1:7" ht="25.5" customHeight="1">
      <c r="A4" s="100" t="s">
        <v>796</v>
      </c>
      <c r="B4" s="93" t="s">
        <v>787</v>
      </c>
      <c r="C4" s="191" t="s">
        <v>790</v>
      </c>
      <c r="D4" s="94" t="s">
        <v>156</v>
      </c>
      <c r="E4" s="165">
        <v>1</v>
      </c>
      <c r="F4" s="94" t="s">
        <v>639</v>
      </c>
      <c r="G4" s="94"/>
    </row>
    <row r="5" spans="1:7" ht="25.5" customHeight="1">
      <c r="A5" s="100" t="s">
        <v>797</v>
      </c>
      <c r="B5" s="93" t="s">
        <v>787</v>
      </c>
      <c r="C5" s="191" t="s">
        <v>791</v>
      </c>
      <c r="D5" s="94" t="s">
        <v>156</v>
      </c>
      <c r="E5" s="165">
        <v>1</v>
      </c>
      <c r="F5" s="94" t="s">
        <v>639</v>
      </c>
      <c r="G5" s="94"/>
    </row>
    <row r="6" spans="1:7" ht="25.5" customHeight="1">
      <c r="A6" s="100" t="s">
        <v>798</v>
      </c>
      <c r="B6" s="93" t="s">
        <v>787</v>
      </c>
      <c r="C6" s="191" t="s">
        <v>792</v>
      </c>
      <c r="D6" s="94" t="s">
        <v>156</v>
      </c>
      <c r="E6" s="165">
        <v>1</v>
      </c>
      <c r="F6" s="94" t="s">
        <v>639</v>
      </c>
      <c r="G6" s="94"/>
    </row>
    <row r="7" spans="1:7" ht="25.5" customHeight="1">
      <c r="A7" s="100" t="s">
        <v>799</v>
      </c>
      <c r="B7" s="93" t="s">
        <v>787</v>
      </c>
      <c r="C7" s="191" t="s">
        <v>793</v>
      </c>
      <c r="D7" s="94" t="s">
        <v>156</v>
      </c>
      <c r="E7" s="165">
        <v>1</v>
      </c>
      <c r="F7" s="94" t="s">
        <v>639</v>
      </c>
      <c r="G7" s="94"/>
    </row>
    <row r="8" spans="1:7" ht="25.5" customHeight="1">
      <c r="A8" s="100" t="s">
        <v>800</v>
      </c>
      <c r="B8" s="93" t="s">
        <v>788</v>
      </c>
      <c r="C8" s="191" t="s">
        <v>794</v>
      </c>
      <c r="D8" s="94" t="s">
        <v>156</v>
      </c>
      <c r="E8" s="165">
        <v>2</v>
      </c>
      <c r="F8" s="94" t="s">
        <v>639</v>
      </c>
      <c r="G8" s="94"/>
    </row>
    <row r="9" spans="1:7" ht="25.5" customHeight="1">
      <c r="A9" s="100" t="s">
        <v>801</v>
      </c>
      <c r="B9" s="93" t="s">
        <v>789</v>
      </c>
      <c r="C9" s="191" t="s">
        <v>795</v>
      </c>
      <c r="D9" s="94" t="s">
        <v>156</v>
      </c>
      <c r="E9" s="165">
        <v>2</v>
      </c>
      <c r="F9" s="94" t="s">
        <v>639</v>
      </c>
      <c r="G9" s="94"/>
    </row>
    <row r="10" spans="1:7" ht="25.5" customHeight="1">
      <c r="A10" s="100"/>
      <c r="B10" s="93"/>
      <c r="C10" s="191"/>
      <c r="D10" s="94"/>
      <c r="E10" s="165"/>
      <c r="F10" s="94"/>
      <c r="G10" s="94"/>
    </row>
    <row r="11" spans="1:7" ht="25.5" customHeight="1">
      <c r="A11" s="100"/>
      <c r="B11" s="93"/>
      <c r="C11" s="191"/>
      <c r="D11" s="94"/>
      <c r="E11" s="165"/>
      <c r="F11" s="94"/>
      <c r="G11" s="94"/>
    </row>
    <row r="12" spans="1:7" ht="25.5" customHeight="1">
      <c r="A12" s="100"/>
      <c r="B12" s="93"/>
      <c r="C12" s="191"/>
      <c r="D12" s="94"/>
      <c r="E12" s="165"/>
      <c r="F12" s="94"/>
      <c r="G12" s="94"/>
    </row>
    <row r="13" spans="1:7" ht="25.5" customHeight="1">
      <c r="A13" s="100"/>
      <c r="B13" s="93"/>
      <c r="C13" s="191"/>
      <c r="D13" s="94"/>
      <c r="E13" s="165"/>
      <c r="F13" s="94"/>
      <c r="G13" s="94"/>
    </row>
    <row r="14" spans="1:7" ht="25.5" customHeight="1">
      <c r="A14" s="100"/>
      <c r="B14" s="93"/>
      <c r="C14" s="191"/>
      <c r="D14" s="94"/>
      <c r="E14" s="165"/>
      <c r="F14" s="94"/>
      <c r="G14" s="94"/>
    </row>
    <row r="15" spans="1:7" ht="25.5" customHeight="1">
      <c r="A15" s="100"/>
      <c r="B15" s="93"/>
      <c r="C15" s="191"/>
      <c r="D15" s="94"/>
      <c r="E15" s="165"/>
      <c r="F15" s="94"/>
      <c r="G15" s="94"/>
    </row>
    <row r="16" spans="1:7" ht="25.5" customHeight="1">
      <c r="A16" s="100"/>
      <c r="B16" s="93"/>
      <c r="C16" s="191"/>
      <c r="D16" s="94"/>
      <c r="E16" s="165"/>
      <c r="F16" s="94"/>
      <c r="G16" s="94"/>
    </row>
    <row r="17" spans="1:7" ht="25.5" customHeight="1">
      <c r="A17" s="100"/>
      <c r="B17" s="93"/>
      <c r="C17" s="191"/>
      <c r="D17" s="94"/>
      <c r="E17" s="165"/>
      <c r="F17" s="94"/>
      <c r="G17" s="94"/>
    </row>
    <row r="18" spans="1:7" ht="25.5" customHeight="1">
      <c r="A18" s="100"/>
      <c r="B18" s="93"/>
      <c r="C18" s="191"/>
      <c r="D18" s="94"/>
      <c r="E18" s="165"/>
      <c r="F18" s="94"/>
      <c r="G18" s="94"/>
    </row>
    <row r="19" spans="1:7" ht="25.5" customHeight="1">
      <c r="A19" s="90">
        <v>2</v>
      </c>
      <c r="B19" s="91" t="s">
        <v>868</v>
      </c>
      <c r="C19" s="190"/>
      <c r="D19" s="92"/>
      <c r="E19" s="164"/>
      <c r="F19" s="92"/>
      <c r="G19" s="92"/>
    </row>
    <row r="20" spans="1:7" ht="25.5" customHeight="1">
      <c r="A20" s="100" t="s">
        <v>832</v>
      </c>
      <c r="B20" s="93" t="s">
        <v>802</v>
      </c>
      <c r="C20" s="191" t="s">
        <v>817</v>
      </c>
      <c r="D20" s="94" t="s">
        <v>156</v>
      </c>
      <c r="E20" s="165">
        <v>2</v>
      </c>
      <c r="F20" s="94" t="s">
        <v>639</v>
      </c>
      <c r="G20" s="167"/>
    </row>
    <row r="21" spans="1:7" ht="25.5" customHeight="1">
      <c r="A21" s="100" t="s">
        <v>833</v>
      </c>
      <c r="B21" s="93" t="s">
        <v>803</v>
      </c>
      <c r="C21" s="191" t="s">
        <v>818</v>
      </c>
      <c r="D21" s="94" t="s">
        <v>156</v>
      </c>
      <c r="E21" s="165">
        <v>3</v>
      </c>
      <c r="F21" s="94" t="s">
        <v>639</v>
      </c>
      <c r="G21" s="167"/>
    </row>
    <row r="22" spans="1:7" ht="25.5" customHeight="1">
      <c r="A22" s="100" t="s">
        <v>834</v>
      </c>
      <c r="B22" s="93" t="s">
        <v>804</v>
      </c>
      <c r="C22" s="191" t="s">
        <v>819</v>
      </c>
      <c r="D22" s="94" t="s">
        <v>156</v>
      </c>
      <c r="E22" s="165">
        <v>1</v>
      </c>
      <c r="F22" s="94" t="s">
        <v>639</v>
      </c>
      <c r="G22" s="167"/>
    </row>
    <row r="23" spans="1:7" ht="25.5" customHeight="1">
      <c r="A23" s="100" t="s">
        <v>835</v>
      </c>
      <c r="B23" s="93" t="s">
        <v>805</v>
      </c>
      <c r="C23" s="191" t="s">
        <v>820</v>
      </c>
      <c r="D23" s="94" t="s">
        <v>156</v>
      </c>
      <c r="E23" s="165">
        <v>1</v>
      </c>
      <c r="F23" s="94" t="s">
        <v>639</v>
      </c>
      <c r="G23" s="167"/>
    </row>
    <row r="24" spans="1:7" ht="25.5" customHeight="1">
      <c r="A24" s="100" t="s">
        <v>836</v>
      </c>
      <c r="B24" s="93" t="s">
        <v>806</v>
      </c>
      <c r="C24" s="191" t="s">
        <v>821</v>
      </c>
      <c r="D24" s="94" t="s">
        <v>156</v>
      </c>
      <c r="E24" s="165">
        <v>1</v>
      </c>
      <c r="F24" s="94" t="s">
        <v>639</v>
      </c>
      <c r="G24" s="167"/>
    </row>
    <row r="25" spans="1:7" ht="25.5" customHeight="1">
      <c r="A25" s="100" t="s">
        <v>837</v>
      </c>
      <c r="B25" s="93" t="s">
        <v>807</v>
      </c>
      <c r="C25" s="191" t="s">
        <v>822</v>
      </c>
      <c r="D25" s="94" t="s">
        <v>156</v>
      </c>
      <c r="E25" s="165">
        <v>1</v>
      </c>
      <c r="F25" s="94" t="s">
        <v>639</v>
      </c>
      <c r="G25" s="167"/>
    </row>
    <row r="26" spans="1:7" ht="25.5" customHeight="1">
      <c r="A26" s="100" t="s">
        <v>838</v>
      </c>
      <c r="B26" s="93" t="s">
        <v>808</v>
      </c>
      <c r="C26" s="191" t="s">
        <v>823</v>
      </c>
      <c r="D26" s="94" t="s">
        <v>156</v>
      </c>
      <c r="E26" s="165">
        <v>3</v>
      </c>
      <c r="F26" s="94" t="s">
        <v>639</v>
      </c>
      <c r="G26" s="167"/>
    </row>
    <row r="27" spans="1:7" ht="25.5" customHeight="1">
      <c r="A27" s="100" t="s">
        <v>839</v>
      </c>
      <c r="B27" s="93" t="s">
        <v>809</v>
      </c>
      <c r="C27" s="191" t="s">
        <v>824</v>
      </c>
      <c r="D27" s="94" t="s">
        <v>156</v>
      </c>
      <c r="E27" s="165">
        <v>2</v>
      </c>
      <c r="F27" s="94" t="s">
        <v>639</v>
      </c>
      <c r="G27" s="167"/>
    </row>
    <row r="28" spans="1:7" ht="25.5" customHeight="1">
      <c r="A28" s="100" t="s">
        <v>840</v>
      </c>
      <c r="B28" s="93" t="s">
        <v>810</v>
      </c>
      <c r="C28" s="191" t="s">
        <v>825</v>
      </c>
      <c r="D28" s="94" t="s">
        <v>156</v>
      </c>
      <c r="E28" s="165">
        <v>1</v>
      </c>
      <c r="F28" s="94" t="s">
        <v>639</v>
      </c>
      <c r="G28" s="167"/>
    </row>
    <row r="29" spans="1:7" ht="25.5" customHeight="1">
      <c r="A29" s="100" t="s">
        <v>841</v>
      </c>
      <c r="B29" s="93" t="s">
        <v>811</v>
      </c>
      <c r="C29" s="191" t="s">
        <v>826</v>
      </c>
      <c r="D29" s="94" t="s">
        <v>156</v>
      </c>
      <c r="E29" s="165">
        <v>1</v>
      </c>
      <c r="F29" s="94" t="s">
        <v>639</v>
      </c>
      <c r="G29" s="167"/>
    </row>
    <row r="30" spans="1:7" ht="25.5" customHeight="1">
      <c r="A30" s="100" t="s">
        <v>842</v>
      </c>
      <c r="B30" s="93" t="s">
        <v>812</v>
      </c>
      <c r="C30" s="191" t="s">
        <v>827</v>
      </c>
      <c r="D30" s="94" t="s">
        <v>156</v>
      </c>
      <c r="E30" s="165">
        <v>1</v>
      </c>
      <c r="F30" s="94" t="s">
        <v>639</v>
      </c>
      <c r="G30" s="167"/>
    </row>
    <row r="31" spans="1:7" ht="25.5" customHeight="1">
      <c r="A31" s="100" t="s">
        <v>843</v>
      </c>
      <c r="B31" s="93" t="s">
        <v>813</v>
      </c>
      <c r="C31" s="191" t="s">
        <v>828</v>
      </c>
      <c r="D31" s="94" t="s">
        <v>156</v>
      </c>
      <c r="E31" s="165">
        <v>1</v>
      </c>
      <c r="F31" s="94" t="s">
        <v>639</v>
      </c>
      <c r="G31" s="167"/>
    </row>
    <row r="32" spans="1:7" ht="25.5" customHeight="1">
      <c r="A32" s="100" t="s">
        <v>844</v>
      </c>
      <c r="B32" s="93" t="s">
        <v>814</v>
      </c>
      <c r="C32" s="191" t="s">
        <v>829</v>
      </c>
      <c r="D32" s="94" t="s">
        <v>156</v>
      </c>
      <c r="E32" s="165">
        <v>1</v>
      </c>
      <c r="F32" s="166" t="s">
        <v>639</v>
      </c>
      <c r="G32" s="167"/>
    </row>
    <row r="33" spans="1:7" ht="25.5" customHeight="1">
      <c r="A33" s="100" t="s">
        <v>845</v>
      </c>
      <c r="B33" s="93" t="s">
        <v>815</v>
      </c>
      <c r="C33" s="191" t="s">
        <v>830</v>
      </c>
      <c r="D33" s="94" t="s">
        <v>156</v>
      </c>
      <c r="E33" s="165">
        <v>1</v>
      </c>
      <c r="F33" s="94" t="s">
        <v>639</v>
      </c>
      <c r="G33" s="167"/>
    </row>
    <row r="34" spans="1:7" ht="25.5" customHeight="1">
      <c r="A34" s="100" t="s">
        <v>846</v>
      </c>
      <c r="B34" s="93" t="s">
        <v>816</v>
      </c>
      <c r="C34" s="191" t="s">
        <v>831</v>
      </c>
      <c r="D34" s="94" t="s">
        <v>156</v>
      </c>
      <c r="E34" s="165">
        <v>1</v>
      </c>
      <c r="F34" s="94" t="s">
        <v>639</v>
      </c>
      <c r="G34" s="167"/>
    </row>
    <row r="35" spans="1:7" ht="25.5" customHeight="1">
      <c r="A35" s="90">
        <v>3</v>
      </c>
      <c r="B35" s="91" t="s">
        <v>870</v>
      </c>
      <c r="C35" s="190"/>
      <c r="D35" s="92"/>
      <c r="E35" s="164"/>
      <c r="F35" s="92"/>
      <c r="G35" s="92"/>
    </row>
    <row r="36" spans="1:7" ht="25.5" customHeight="1">
      <c r="A36" s="100" t="s">
        <v>854</v>
      </c>
      <c r="B36" s="93" t="s">
        <v>847</v>
      </c>
      <c r="C36" s="191" t="s">
        <v>861</v>
      </c>
      <c r="D36" s="94" t="s">
        <v>156</v>
      </c>
      <c r="E36" s="165">
        <v>2</v>
      </c>
      <c r="F36" s="94" t="s">
        <v>639</v>
      </c>
      <c r="G36" s="94"/>
    </row>
    <row r="37" spans="1:7" ht="25.5" customHeight="1">
      <c r="A37" s="100" t="s">
        <v>855</v>
      </c>
      <c r="B37" s="93" t="s">
        <v>848</v>
      </c>
      <c r="C37" s="191" t="s">
        <v>862</v>
      </c>
      <c r="D37" s="94" t="s">
        <v>156</v>
      </c>
      <c r="E37" s="165">
        <v>2</v>
      </c>
      <c r="F37" s="94" t="s">
        <v>639</v>
      </c>
      <c r="G37" s="94"/>
    </row>
    <row r="38" spans="1:7" ht="25.5" customHeight="1">
      <c r="A38" s="100" t="s">
        <v>856</v>
      </c>
      <c r="B38" s="93" t="s">
        <v>849</v>
      </c>
      <c r="C38" s="191" t="s">
        <v>863</v>
      </c>
      <c r="D38" s="94" t="s">
        <v>156</v>
      </c>
      <c r="E38" s="165">
        <v>2</v>
      </c>
      <c r="F38" s="94" t="s">
        <v>639</v>
      </c>
      <c r="G38" s="94"/>
    </row>
    <row r="39" spans="1:7" ht="25.5" customHeight="1">
      <c r="A39" s="100" t="s">
        <v>857</v>
      </c>
      <c r="B39" s="93" t="s">
        <v>850</v>
      </c>
      <c r="C39" s="191" t="s">
        <v>864</v>
      </c>
      <c r="D39" s="94" t="s">
        <v>156</v>
      </c>
      <c r="E39" s="165">
        <v>2</v>
      </c>
      <c r="F39" s="94" t="s">
        <v>639</v>
      </c>
      <c r="G39" s="94"/>
    </row>
    <row r="40" spans="1:7" ht="25.5" customHeight="1">
      <c r="A40" s="100" t="s">
        <v>858</v>
      </c>
      <c r="B40" s="93" t="s">
        <v>851</v>
      </c>
      <c r="C40" s="191" t="s">
        <v>865</v>
      </c>
      <c r="D40" s="94" t="s">
        <v>156</v>
      </c>
      <c r="E40" s="165">
        <v>2</v>
      </c>
      <c r="F40" s="94" t="s">
        <v>639</v>
      </c>
      <c r="G40" s="94"/>
    </row>
    <row r="41" spans="1:7" ht="25.5" customHeight="1">
      <c r="A41" s="100" t="s">
        <v>859</v>
      </c>
      <c r="B41" s="93" t="s">
        <v>852</v>
      </c>
      <c r="C41" s="191" t="s">
        <v>866</v>
      </c>
      <c r="D41" s="94" t="s">
        <v>156</v>
      </c>
      <c r="E41" s="165">
        <v>4</v>
      </c>
      <c r="F41" s="94" t="s">
        <v>639</v>
      </c>
      <c r="G41" s="94"/>
    </row>
    <row r="42" spans="1:7" ht="25.5" customHeight="1">
      <c r="A42" s="100" t="s">
        <v>860</v>
      </c>
      <c r="B42" s="93" t="s">
        <v>853</v>
      </c>
      <c r="C42" s="191" t="s">
        <v>867</v>
      </c>
      <c r="D42" s="94" t="s">
        <v>156</v>
      </c>
      <c r="E42" s="165">
        <v>1</v>
      </c>
      <c r="F42" s="94" t="s">
        <v>639</v>
      </c>
      <c r="G42" s="94"/>
    </row>
    <row r="43" spans="1:7" ht="25.5" customHeight="1">
      <c r="A43" s="100"/>
      <c r="B43" s="93"/>
      <c r="C43" s="191"/>
      <c r="D43" s="94"/>
      <c r="E43" s="165"/>
      <c r="F43" s="94"/>
      <c r="G43" s="94"/>
    </row>
    <row r="44" spans="1:7" ht="25.5" customHeight="1">
      <c r="A44" s="100"/>
      <c r="B44" s="93"/>
      <c r="C44" s="191"/>
      <c r="D44" s="94"/>
      <c r="E44" s="165"/>
      <c r="F44" s="94"/>
      <c r="G44" s="94"/>
    </row>
    <row r="45" spans="1:7" ht="25.5" customHeight="1">
      <c r="A45" s="100"/>
      <c r="B45" s="93"/>
      <c r="C45" s="191"/>
      <c r="D45" s="94"/>
      <c r="E45" s="165"/>
      <c r="F45" s="94"/>
      <c r="G45" s="94"/>
    </row>
    <row r="46" spans="1:7" ht="25.5" customHeight="1">
      <c r="A46" s="100"/>
      <c r="B46" s="93"/>
      <c r="C46" s="191"/>
      <c r="D46" s="94"/>
      <c r="E46" s="165"/>
      <c r="F46" s="94"/>
      <c r="G46" s="94"/>
    </row>
    <row r="47" spans="1:7" ht="25.5" customHeight="1">
      <c r="A47" s="100"/>
      <c r="B47" s="93"/>
      <c r="C47" s="191"/>
      <c r="D47" s="94"/>
      <c r="E47" s="165"/>
      <c r="F47" s="94"/>
      <c r="G47" s="94"/>
    </row>
    <row r="48" spans="1:7" ht="25.5" customHeight="1">
      <c r="A48" s="100"/>
      <c r="B48" s="93"/>
      <c r="C48" s="191"/>
      <c r="D48" s="94"/>
      <c r="E48" s="165"/>
      <c r="F48" s="94"/>
      <c r="G48" s="94"/>
    </row>
    <row r="49" spans="1:7" ht="25.5" customHeight="1">
      <c r="A49" s="100"/>
      <c r="B49" s="93"/>
      <c r="C49" s="191"/>
      <c r="D49" s="94"/>
      <c r="E49" s="165"/>
      <c r="F49" s="94"/>
      <c r="G49" s="94"/>
    </row>
    <row r="50" spans="1:7" ht="25.5" customHeight="1">
      <c r="A50" s="100"/>
      <c r="B50" s="93"/>
      <c r="C50" s="191"/>
      <c r="D50" s="94"/>
      <c r="E50" s="165"/>
      <c r="F50" s="94"/>
      <c r="G50" s="94"/>
    </row>
    <row r="51" spans="1:7" ht="25.5" customHeight="1"/>
    <row r="52" spans="1:7" ht="25.5" customHeight="1"/>
    <row r="53" spans="1:7" ht="25.5" customHeight="1"/>
    <row r="54" spans="1:7" ht="25.5" customHeight="1"/>
    <row r="55" spans="1:7" ht="25.5" customHeight="1"/>
  </sheetData>
  <autoFilter ref="A2:G50"/>
  <phoneticPr fontId="2" type="noConversion"/>
  <pageMargins left="0.70866141732283472" right="0.54" top="0.74803149606299213" bottom="0.6" header="0.31496062992125984" footer="0.31496062992125984"/>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5"/>
  <sheetViews>
    <sheetView workbookViewId="0">
      <pane ySplit="2" topLeftCell="A3" activePane="bottomLeft" state="frozen"/>
      <selection activeCell="DJ113" sqref="DJ113:FG116"/>
      <selection pane="bottomLeft" activeCell="DJ113" sqref="DJ113:FG116"/>
    </sheetView>
  </sheetViews>
  <sheetFormatPr defaultColWidth="9" defaultRowHeight="24" customHeight="1"/>
  <cols>
    <col min="1" max="1" width="8.5" style="67" customWidth="1"/>
    <col min="2" max="3" width="19.625" style="67" customWidth="1"/>
    <col min="4" max="4" width="40.625" style="67" customWidth="1"/>
    <col min="5" max="5" width="8.375" style="67" customWidth="1"/>
    <col min="6" max="6" width="10.625" style="67" customWidth="1"/>
    <col min="7" max="7" width="10.625" style="88" customWidth="1"/>
    <col min="8" max="10" width="9" style="67"/>
    <col min="11" max="11" width="10.125" style="67" bestFit="1" customWidth="1"/>
    <col min="12" max="16384" width="9" style="67"/>
  </cols>
  <sheetData>
    <row r="1" spans="1:9" ht="24" customHeight="1">
      <c r="A1" s="68" t="s">
        <v>10</v>
      </c>
      <c r="B1" s="69" t="str">
        <f>갑!B10</f>
        <v>김제시 죽산면 죽산로126(구 새마을 금고)내·외부공사</v>
      </c>
      <c r="C1" s="69"/>
      <c r="D1" s="70"/>
      <c r="E1" s="71"/>
      <c r="F1" s="72"/>
      <c r="G1" s="72"/>
    </row>
    <row r="2" spans="1:9" ht="24" customHeight="1">
      <c r="A2" s="73" t="s">
        <v>11</v>
      </c>
      <c r="B2" s="73" t="s">
        <v>12</v>
      </c>
      <c r="C2" s="73" t="s">
        <v>13</v>
      </c>
      <c r="D2" s="73" t="s">
        <v>14</v>
      </c>
      <c r="E2" s="74" t="s">
        <v>2</v>
      </c>
      <c r="F2" s="75" t="s">
        <v>4</v>
      </c>
      <c r="G2" s="75" t="s">
        <v>7</v>
      </c>
    </row>
    <row r="3" spans="1:9" ht="24" customHeight="1">
      <c r="A3" s="109">
        <v>1</v>
      </c>
      <c r="B3" s="116" t="str">
        <f>'수량(구조보강)'!B4</f>
        <v>보 탄소섬유 보강</v>
      </c>
      <c r="C3" s="116" t="str">
        <f>'수량(구조보강)'!C4</f>
        <v>Type1 - G1 300*500 (측면,하부2P All)</v>
      </c>
      <c r="D3" s="112"/>
      <c r="E3" s="113" t="str">
        <f>'수량(구조보강)'!D4</f>
        <v>M</v>
      </c>
      <c r="F3" s="115">
        <v>1</v>
      </c>
      <c r="G3" s="114"/>
    </row>
    <row r="4" spans="1:9" ht="24" customHeight="1">
      <c r="A4" s="110"/>
      <c r="B4" s="80"/>
      <c r="C4" s="79"/>
      <c r="D4" s="76"/>
      <c r="E4" s="77"/>
      <c r="F4" s="78"/>
      <c r="G4" s="106"/>
    </row>
    <row r="5" spans="1:9" ht="24" customHeight="1">
      <c r="A5" s="79">
        <v>1</v>
      </c>
      <c r="B5" s="80" t="s">
        <v>926</v>
      </c>
      <c r="C5" s="79" t="s">
        <v>927</v>
      </c>
      <c r="D5" s="76" t="s">
        <v>928</v>
      </c>
      <c r="E5" s="77" t="s">
        <v>929</v>
      </c>
      <c r="F5" s="81">
        <f>D6</f>
        <v>2.6</v>
      </c>
      <c r="G5" s="107"/>
    </row>
    <row r="6" spans="1:9" ht="24" customHeight="1">
      <c r="A6" s="79"/>
      <c r="B6" s="80"/>
      <c r="C6" s="79"/>
      <c r="D6" s="76">
        <f>(0.5*2+0.3)*2</f>
        <v>2.6</v>
      </c>
      <c r="E6" s="77"/>
      <c r="F6" s="81"/>
      <c r="G6" s="107"/>
    </row>
    <row r="7" spans="1:9" ht="24" customHeight="1">
      <c r="A7" s="82"/>
      <c r="B7" s="83"/>
      <c r="C7" s="82"/>
      <c r="D7" s="84"/>
      <c r="E7" s="85"/>
      <c r="F7" s="86"/>
      <c r="G7" s="108"/>
    </row>
    <row r="8" spans="1:9" ht="24" customHeight="1">
      <c r="A8" s="109">
        <f>A3+1</f>
        <v>2</v>
      </c>
      <c r="B8" s="116" t="str">
        <f>'수량(구조보강)'!B5</f>
        <v>보 철판 보강</v>
      </c>
      <c r="C8" s="116" t="str">
        <f>'수량(구조보강)'!C5</f>
        <v>Type2 - G2 300*500 (T9.0 측면,하부 All)</v>
      </c>
      <c r="D8" s="112"/>
      <c r="E8" s="113" t="str">
        <f>'수량(구조보강)'!D5</f>
        <v>M</v>
      </c>
      <c r="F8" s="115">
        <v>1</v>
      </c>
      <c r="G8" s="114"/>
    </row>
    <row r="9" spans="1:9" ht="24" customHeight="1">
      <c r="A9" s="110"/>
      <c r="B9" s="80"/>
      <c r="C9" s="79"/>
      <c r="D9" s="76"/>
      <c r="E9" s="77"/>
      <c r="F9" s="78"/>
      <c r="G9" s="106"/>
    </row>
    <row r="10" spans="1:9" ht="24" customHeight="1">
      <c r="A10" s="79">
        <v>1</v>
      </c>
      <c r="B10" s="80" t="s">
        <v>949</v>
      </c>
      <c r="C10" s="79"/>
      <c r="D10" s="76" t="s">
        <v>950</v>
      </c>
      <c r="E10" s="77" t="s">
        <v>929</v>
      </c>
      <c r="F10" s="81">
        <f>D11</f>
        <v>1.3</v>
      </c>
      <c r="G10" s="106"/>
    </row>
    <row r="11" spans="1:9" ht="24" customHeight="1">
      <c r="A11" s="110"/>
      <c r="B11" s="80"/>
      <c r="C11" s="79"/>
      <c r="D11" s="76">
        <f>0.5*2+0.3</f>
        <v>1.3</v>
      </c>
      <c r="E11" s="77"/>
      <c r="F11" s="78"/>
      <c r="G11" s="106"/>
    </row>
    <row r="12" spans="1:9" ht="24" customHeight="1">
      <c r="A12" s="79">
        <f>A10+1</f>
        <v>2</v>
      </c>
      <c r="B12" s="80" t="s">
        <v>930</v>
      </c>
      <c r="C12" s="79" t="s">
        <v>931</v>
      </c>
      <c r="D12" s="76" t="s">
        <v>928</v>
      </c>
      <c r="E12" s="77" t="s">
        <v>934</v>
      </c>
      <c r="F12" s="81">
        <f>D17/1000</f>
        <v>0.20205900000000002</v>
      </c>
      <c r="G12" s="107">
        <f>1*1*9*7.85</f>
        <v>70.649999999999991</v>
      </c>
      <c r="I12" s="67">
        <f>1*1*1*7.85</f>
        <v>7.85</v>
      </c>
    </row>
    <row r="13" spans="1:9" ht="24" customHeight="1">
      <c r="A13" s="110"/>
      <c r="B13" s="80"/>
      <c r="C13" s="79"/>
      <c r="D13" s="76">
        <f>(0.5*2+0.3)*2</f>
        <v>2.6</v>
      </c>
      <c r="E13" s="77"/>
      <c r="F13" s="81"/>
      <c r="G13" s="106"/>
    </row>
    <row r="14" spans="1:9" ht="24" customHeight="1">
      <c r="A14" s="110"/>
      <c r="B14" s="80"/>
      <c r="C14" s="79"/>
      <c r="D14" s="76" t="s">
        <v>932</v>
      </c>
      <c r="E14" s="77"/>
      <c r="F14" s="81"/>
      <c r="G14" s="106"/>
    </row>
    <row r="15" spans="1:9" ht="24" customHeight="1">
      <c r="A15" s="110"/>
      <c r="B15" s="80"/>
      <c r="C15" s="79"/>
      <c r="D15" s="76">
        <f>D13*1.1</f>
        <v>2.8600000000000003</v>
      </c>
      <c r="E15" s="77"/>
      <c r="F15" s="81"/>
      <c r="G15" s="106"/>
    </row>
    <row r="16" spans="1:9" ht="24" customHeight="1">
      <c r="A16" s="110"/>
      <c r="B16" s="80"/>
      <c r="C16" s="79"/>
      <c r="D16" s="76" t="s">
        <v>933</v>
      </c>
      <c r="E16" s="77"/>
      <c r="F16" s="81"/>
      <c r="G16" s="106"/>
    </row>
    <row r="17" spans="1:7" ht="24" customHeight="1">
      <c r="A17" s="110"/>
      <c r="B17" s="80"/>
      <c r="C17" s="79"/>
      <c r="D17" s="76">
        <f>D15*70.65</f>
        <v>202.05900000000003</v>
      </c>
      <c r="E17" s="77"/>
      <c r="F17" s="81"/>
      <c r="G17" s="106"/>
    </row>
    <row r="18" spans="1:7" ht="24" customHeight="1">
      <c r="A18" s="79">
        <f>A12+1</f>
        <v>3</v>
      </c>
      <c r="B18" s="80" t="s">
        <v>935</v>
      </c>
      <c r="C18" s="79" t="s">
        <v>936</v>
      </c>
      <c r="D18" s="76" t="s">
        <v>948</v>
      </c>
      <c r="E18" s="77" t="s">
        <v>937</v>
      </c>
      <c r="F18" s="81">
        <f>D19</f>
        <v>5</v>
      </c>
      <c r="G18" s="107"/>
    </row>
    <row r="19" spans="1:7" ht="24" customHeight="1">
      <c r="A19" s="79"/>
      <c r="B19" s="80"/>
      <c r="C19" s="79"/>
      <c r="D19" s="76">
        <f>5</f>
        <v>5</v>
      </c>
      <c r="E19" s="77"/>
      <c r="F19" s="81"/>
      <c r="G19" s="107"/>
    </row>
    <row r="20" spans="1:7" ht="24" customHeight="1">
      <c r="A20" s="193">
        <f>A18+1</f>
        <v>4</v>
      </c>
      <c r="B20" s="194" t="s">
        <v>945</v>
      </c>
      <c r="C20" s="193" t="s">
        <v>946</v>
      </c>
      <c r="D20" s="195" t="s">
        <v>947</v>
      </c>
      <c r="E20" s="196" t="s">
        <v>934</v>
      </c>
      <c r="F20" s="197">
        <f>D21/1000</f>
        <v>0.18368999999999999</v>
      </c>
      <c r="G20" s="198"/>
    </row>
    <row r="21" spans="1:7" ht="24" customHeight="1">
      <c r="A21" s="193"/>
      <c r="B21" s="194"/>
      <c r="C21" s="193"/>
      <c r="D21" s="195">
        <f>D17/1.1</f>
        <v>183.69</v>
      </c>
      <c r="E21" s="196"/>
      <c r="F21" s="197"/>
      <c r="G21" s="198"/>
    </row>
    <row r="22" spans="1:7" ht="24" customHeight="1">
      <c r="A22" s="193">
        <f>A20+1</f>
        <v>5</v>
      </c>
      <c r="B22" s="194" t="s">
        <v>938</v>
      </c>
      <c r="C22" s="193" t="s">
        <v>939</v>
      </c>
      <c r="D22" s="195" t="s">
        <v>948</v>
      </c>
      <c r="E22" s="196" t="s">
        <v>914</v>
      </c>
      <c r="F22" s="197">
        <f>D23</f>
        <v>5</v>
      </c>
      <c r="G22" s="198"/>
    </row>
    <row r="23" spans="1:7" ht="24" customHeight="1">
      <c r="A23" s="193"/>
      <c r="B23" s="194"/>
      <c r="C23" s="193"/>
      <c r="D23" s="76">
        <f>5</f>
        <v>5</v>
      </c>
      <c r="E23" s="196"/>
      <c r="F23" s="197"/>
      <c r="G23" s="198"/>
    </row>
    <row r="24" spans="1:7" ht="24" customHeight="1">
      <c r="A24" s="193">
        <f>A22+1</f>
        <v>6</v>
      </c>
      <c r="B24" s="194" t="s">
        <v>940</v>
      </c>
      <c r="C24" s="193" t="s">
        <v>941</v>
      </c>
      <c r="D24" s="76" t="s">
        <v>948</v>
      </c>
      <c r="E24" s="77" t="s">
        <v>937</v>
      </c>
      <c r="F24" s="81">
        <f>D25</f>
        <v>5</v>
      </c>
      <c r="G24" s="198"/>
    </row>
    <row r="25" spans="1:7" ht="24" customHeight="1">
      <c r="A25" s="193"/>
      <c r="B25" s="194"/>
      <c r="C25" s="193"/>
      <c r="D25" s="76">
        <f>5</f>
        <v>5</v>
      </c>
      <c r="E25" s="77"/>
      <c r="F25" s="81"/>
      <c r="G25" s="198"/>
    </row>
    <row r="26" spans="1:7" ht="24" customHeight="1">
      <c r="A26" s="193">
        <f>A24+1</f>
        <v>7</v>
      </c>
      <c r="B26" s="194" t="s">
        <v>942</v>
      </c>
      <c r="C26" s="193"/>
      <c r="D26" s="195" t="s">
        <v>943</v>
      </c>
      <c r="E26" s="196" t="s">
        <v>944</v>
      </c>
      <c r="F26" s="197">
        <f>D27</f>
        <v>4</v>
      </c>
      <c r="G26" s="198"/>
    </row>
    <row r="27" spans="1:7" ht="24" customHeight="1">
      <c r="A27" s="193"/>
      <c r="B27" s="194"/>
      <c r="C27" s="193"/>
      <c r="D27" s="195">
        <v>4</v>
      </c>
      <c r="E27" s="196"/>
      <c r="F27" s="197"/>
      <c r="G27" s="198"/>
    </row>
    <row r="28" spans="1:7" ht="24" customHeight="1">
      <c r="A28" s="82"/>
      <c r="B28" s="83"/>
      <c r="C28" s="82"/>
      <c r="D28" s="84"/>
      <c r="E28" s="85"/>
      <c r="F28" s="86"/>
      <c r="G28" s="108"/>
    </row>
    <row r="29" spans="1:7" ht="24" customHeight="1">
      <c r="A29" s="109">
        <f>A8+1</f>
        <v>3</v>
      </c>
      <c r="B29" s="116" t="str">
        <f>'수량(구조보강)'!B6</f>
        <v>보 탄소섬유 보강</v>
      </c>
      <c r="C29" s="116" t="str">
        <f>'수량(구조보강)'!C6</f>
        <v>Type3 - G1 300*500 (하부2P All)</v>
      </c>
      <c r="D29" s="112"/>
      <c r="E29" s="113" t="str">
        <f>'수량(구조보강)'!D6</f>
        <v>M</v>
      </c>
      <c r="F29" s="115">
        <v>1</v>
      </c>
      <c r="G29" s="114"/>
    </row>
    <row r="30" spans="1:7" ht="24" customHeight="1">
      <c r="A30" s="110"/>
      <c r="B30" s="80"/>
      <c r="C30" s="79"/>
      <c r="D30" s="76"/>
      <c r="E30" s="77"/>
      <c r="F30" s="78"/>
      <c r="G30" s="106"/>
    </row>
    <row r="31" spans="1:7" ht="24" customHeight="1">
      <c r="A31" s="79">
        <v>1</v>
      </c>
      <c r="B31" s="80" t="s">
        <v>926</v>
      </c>
      <c r="C31" s="79" t="s">
        <v>927</v>
      </c>
      <c r="D31" s="76" t="s">
        <v>951</v>
      </c>
      <c r="E31" s="77" t="s">
        <v>929</v>
      </c>
      <c r="F31" s="81">
        <f>D32</f>
        <v>0.6</v>
      </c>
      <c r="G31" s="107"/>
    </row>
    <row r="32" spans="1:7" ht="24" customHeight="1">
      <c r="A32" s="79"/>
      <c r="B32" s="80"/>
      <c r="C32" s="79"/>
      <c r="D32" s="76">
        <f>(0.3)*2</f>
        <v>0.6</v>
      </c>
      <c r="E32" s="77"/>
      <c r="F32" s="81"/>
      <c r="G32" s="107"/>
    </row>
    <row r="33" spans="1:11" ht="24" customHeight="1">
      <c r="A33" s="82"/>
      <c r="B33" s="83"/>
      <c r="C33" s="82"/>
      <c r="D33" s="84"/>
      <c r="E33" s="85"/>
      <c r="F33" s="86"/>
      <c r="G33" s="108"/>
    </row>
    <row r="34" spans="1:11" ht="24" customHeight="1">
      <c r="A34" s="109">
        <f>A29+1</f>
        <v>4</v>
      </c>
      <c r="B34" s="116" t="str">
        <f>'수량(구조보강)'!B7</f>
        <v>보 탄소섬유 보강</v>
      </c>
      <c r="C34" s="116" t="str">
        <f>'수량(구조보강)'!C7</f>
        <v>Type4 - B1 300*500 (단면복원 및 탄소섬유보강 2P All)</v>
      </c>
      <c r="D34" s="112"/>
      <c r="E34" s="113" t="str">
        <f>'수량(구조보강)'!D7</f>
        <v>M</v>
      </c>
      <c r="F34" s="115">
        <v>1</v>
      </c>
      <c r="G34" s="114"/>
    </row>
    <row r="35" spans="1:11" ht="24" customHeight="1">
      <c r="A35" s="110"/>
      <c r="B35" s="80"/>
      <c r="C35" s="79"/>
      <c r="D35" s="76"/>
      <c r="E35" s="77"/>
      <c r="F35" s="78"/>
      <c r="G35" s="106"/>
    </row>
    <row r="36" spans="1:11" ht="24" customHeight="1">
      <c r="A36" s="79">
        <v>1</v>
      </c>
      <c r="B36" s="80" t="s">
        <v>926</v>
      </c>
      <c r="C36" s="79" t="s">
        <v>927</v>
      </c>
      <c r="D36" s="76" t="s">
        <v>928</v>
      </c>
      <c r="E36" s="77" t="s">
        <v>391</v>
      </c>
      <c r="F36" s="81">
        <f>D37</f>
        <v>2.6</v>
      </c>
      <c r="G36" s="107"/>
    </row>
    <row r="37" spans="1:11" ht="24" customHeight="1">
      <c r="A37" s="79"/>
      <c r="B37" s="80"/>
      <c r="C37" s="79"/>
      <c r="D37" s="76">
        <f>(0.5*2+0.3)*2</f>
        <v>2.6</v>
      </c>
      <c r="E37" s="77"/>
      <c r="F37" s="81"/>
      <c r="G37" s="107"/>
    </row>
    <row r="38" spans="1:11" ht="24" customHeight="1">
      <c r="A38" s="82"/>
      <c r="B38" s="83"/>
      <c r="C38" s="82"/>
      <c r="D38" s="84"/>
      <c r="E38" s="85"/>
      <c r="F38" s="86"/>
      <c r="G38" s="108"/>
    </row>
    <row r="39" spans="1:11" ht="24" customHeight="1">
      <c r="A39" s="109">
        <f>A34+1</f>
        <v>5</v>
      </c>
      <c r="B39" s="116" t="str">
        <f>'수량(외부)'!B53</f>
        <v>시스템 고정창호</v>
      </c>
      <c r="C39" s="116" t="str">
        <f>'수량(외부)'!C53</f>
        <v>1395*1395 AL, T24 로이투명</v>
      </c>
      <c r="D39" s="112"/>
      <c r="E39" s="113" t="str">
        <f>'수량(외부)'!D53</f>
        <v>EA</v>
      </c>
      <c r="F39" s="115">
        <v>1</v>
      </c>
      <c r="G39" s="199">
        <f>'수량(외부)'!G53</f>
        <v>1.9460250000000001</v>
      </c>
    </row>
    <row r="40" spans="1:11" ht="24" customHeight="1">
      <c r="A40" s="110"/>
      <c r="B40" s="80"/>
      <c r="C40" s="79"/>
      <c r="D40" s="76"/>
      <c r="E40" s="77"/>
      <c r="F40" s="78"/>
      <c r="G40" s="106"/>
    </row>
    <row r="41" spans="1:11" ht="24" customHeight="1">
      <c r="A41" s="79">
        <v>1</v>
      </c>
      <c r="B41" s="80" t="str">
        <f>B39</f>
        <v>시스템 고정창호</v>
      </c>
      <c r="C41" s="79" t="str">
        <f>C39</f>
        <v>1395*1395 AL, T24 로이투명</v>
      </c>
      <c r="D41" s="76" t="s">
        <v>952</v>
      </c>
      <c r="E41" s="77" t="s">
        <v>156</v>
      </c>
      <c r="F41" s="81">
        <f>D42</f>
        <v>1</v>
      </c>
      <c r="G41" s="107"/>
    </row>
    <row r="42" spans="1:11" ht="24" customHeight="1">
      <c r="A42" s="79"/>
      <c r="B42" s="80"/>
      <c r="C42" s="79"/>
      <c r="D42" s="76">
        <v>1</v>
      </c>
      <c r="E42" s="77"/>
      <c r="F42" s="81"/>
      <c r="G42" s="107"/>
    </row>
    <row r="43" spans="1:11" ht="24" customHeight="1">
      <c r="A43" s="193">
        <v>2</v>
      </c>
      <c r="B43" s="194" t="s">
        <v>953</v>
      </c>
      <c r="C43" s="196" t="s">
        <v>970</v>
      </c>
      <c r="D43" s="195" t="s">
        <v>955</v>
      </c>
      <c r="E43" s="196" t="s">
        <v>956</v>
      </c>
      <c r="F43" s="197">
        <f>D44</f>
        <v>1.9460250000000001</v>
      </c>
      <c r="G43" s="198"/>
    </row>
    <row r="44" spans="1:11" ht="24" customHeight="1">
      <c r="A44" s="193"/>
      <c r="B44" s="194"/>
      <c r="C44" s="193"/>
      <c r="D44" s="195">
        <f>G39</f>
        <v>1.9460250000000001</v>
      </c>
      <c r="E44" s="196"/>
      <c r="F44" s="197"/>
      <c r="G44" s="198"/>
    </row>
    <row r="45" spans="1:11" ht="24" customHeight="1">
      <c r="A45" s="193">
        <v>3</v>
      </c>
      <c r="B45" s="194" t="s">
        <v>957</v>
      </c>
      <c r="C45" s="193" t="s">
        <v>958</v>
      </c>
      <c r="D45" s="195" t="s">
        <v>955</v>
      </c>
      <c r="E45" s="196" t="s">
        <v>956</v>
      </c>
      <c r="F45" s="197">
        <f>D46</f>
        <v>1.9460250000000001</v>
      </c>
      <c r="G45" s="198"/>
    </row>
    <row r="46" spans="1:11" ht="24" customHeight="1">
      <c r="A46" s="193"/>
      <c r="B46" s="194"/>
      <c r="C46" s="193"/>
      <c r="D46" s="195">
        <f>D44</f>
        <v>1.9460250000000001</v>
      </c>
      <c r="E46" s="196"/>
      <c r="F46" s="197"/>
      <c r="G46" s="198"/>
    </row>
    <row r="47" spans="1:11" ht="24" customHeight="1">
      <c r="A47" s="193">
        <v>4</v>
      </c>
      <c r="B47" s="194" t="s">
        <v>961</v>
      </c>
      <c r="C47" s="193" t="s">
        <v>962</v>
      </c>
      <c r="D47" s="195" t="s">
        <v>959</v>
      </c>
      <c r="E47" s="196" t="s">
        <v>960</v>
      </c>
      <c r="F47" s="197">
        <f>D48</f>
        <v>1</v>
      </c>
      <c r="G47" s="198"/>
    </row>
    <row r="48" spans="1:11" ht="24" customHeight="1">
      <c r="A48" s="193"/>
      <c r="B48" s="194"/>
      <c r="C48" s="193"/>
      <c r="D48" s="195">
        <v>1</v>
      </c>
      <c r="E48" s="196"/>
      <c r="F48" s="197"/>
      <c r="G48" s="198"/>
      <c r="K48" s="186"/>
    </row>
    <row r="49" spans="1:7" ht="24" customHeight="1">
      <c r="A49" s="193">
        <v>5</v>
      </c>
      <c r="B49" s="194" t="s">
        <v>963</v>
      </c>
      <c r="C49" s="193" t="s">
        <v>964</v>
      </c>
      <c r="D49" s="195" t="s">
        <v>966</v>
      </c>
      <c r="E49" s="196" t="s">
        <v>965</v>
      </c>
      <c r="F49" s="197">
        <f>D50</f>
        <v>11.16</v>
      </c>
      <c r="G49" s="198"/>
    </row>
    <row r="50" spans="1:7" ht="24" customHeight="1">
      <c r="A50" s="193"/>
      <c r="B50" s="194"/>
      <c r="C50" s="193"/>
      <c r="D50" s="195">
        <f>'수량(외부)'!$H$53*2</f>
        <v>11.16</v>
      </c>
      <c r="E50" s="196"/>
      <c r="F50" s="197"/>
      <c r="G50" s="198"/>
    </row>
    <row r="51" spans="1:7" ht="24" customHeight="1">
      <c r="A51" s="193">
        <f>A49+1</f>
        <v>6</v>
      </c>
      <c r="B51" s="194" t="s">
        <v>972</v>
      </c>
      <c r="C51" s="193"/>
      <c r="D51" s="195" t="s">
        <v>966</v>
      </c>
      <c r="E51" s="196" t="s">
        <v>965</v>
      </c>
      <c r="F51" s="197">
        <f>D52</f>
        <v>11.16</v>
      </c>
      <c r="G51" s="198"/>
    </row>
    <row r="52" spans="1:7" ht="24" customHeight="1">
      <c r="A52" s="193"/>
      <c r="B52" s="194"/>
      <c r="C52" s="193"/>
      <c r="D52" s="195">
        <f>D50</f>
        <v>11.16</v>
      </c>
      <c r="E52" s="196"/>
      <c r="F52" s="197"/>
      <c r="G52" s="198"/>
    </row>
    <row r="53" spans="1:7" ht="24" customHeight="1">
      <c r="A53" s="82"/>
      <c r="B53" s="83"/>
      <c r="C53" s="82"/>
      <c r="D53" s="84"/>
      <c r="E53" s="85"/>
      <c r="F53" s="86"/>
      <c r="G53" s="108"/>
    </row>
    <row r="54" spans="1:7" ht="24" customHeight="1">
      <c r="A54" s="109">
        <f>A39+1</f>
        <v>6</v>
      </c>
      <c r="B54" s="116" t="str">
        <f>'수량(외부)'!B54</f>
        <v>시스템 고정창호</v>
      </c>
      <c r="C54" s="116" t="str">
        <f>'수량(외부)'!C54</f>
        <v>1495*2490 AL, T24 로이투명</v>
      </c>
      <c r="D54" s="112"/>
      <c r="E54" s="113" t="str">
        <f>'수량(외부)'!D54</f>
        <v>EA</v>
      </c>
      <c r="F54" s="115">
        <v>1</v>
      </c>
      <c r="G54" s="199">
        <f>'수량(외부)'!G54</f>
        <v>3.72255</v>
      </c>
    </row>
    <row r="55" spans="1:7" ht="24" customHeight="1">
      <c r="A55" s="110"/>
      <c r="B55" s="80"/>
      <c r="C55" s="79"/>
      <c r="D55" s="76"/>
      <c r="E55" s="77"/>
      <c r="F55" s="78"/>
      <c r="G55" s="106"/>
    </row>
    <row r="56" spans="1:7" ht="24" customHeight="1">
      <c r="A56" s="79">
        <v>1</v>
      </c>
      <c r="B56" s="80" t="str">
        <f>B54</f>
        <v>시스템 고정창호</v>
      </c>
      <c r="C56" s="79" t="str">
        <f>C54</f>
        <v>1495*2490 AL, T24 로이투명</v>
      </c>
      <c r="D56" s="76" t="s">
        <v>952</v>
      </c>
      <c r="E56" s="77" t="s">
        <v>156</v>
      </c>
      <c r="F56" s="81">
        <f>D57</f>
        <v>1</v>
      </c>
      <c r="G56" s="107"/>
    </row>
    <row r="57" spans="1:7" ht="24" customHeight="1">
      <c r="A57" s="79"/>
      <c r="B57" s="80"/>
      <c r="C57" s="79"/>
      <c r="D57" s="76">
        <v>1</v>
      </c>
      <c r="E57" s="77"/>
      <c r="F57" s="81"/>
      <c r="G57" s="107"/>
    </row>
    <row r="58" spans="1:7" ht="24" customHeight="1">
      <c r="A58" s="193">
        <v>2</v>
      </c>
      <c r="B58" s="194" t="s">
        <v>953</v>
      </c>
      <c r="C58" s="196" t="s">
        <v>970</v>
      </c>
      <c r="D58" s="195" t="s">
        <v>955</v>
      </c>
      <c r="E58" s="196" t="s">
        <v>956</v>
      </c>
      <c r="F58" s="197">
        <f>D59</f>
        <v>3.72255</v>
      </c>
      <c r="G58" s="198"/>
    </row>
    <row r="59" spans="1:7" ht="24" customHeight="1">
      <c r="A59" s="193"/>
      <c r="B59" s="194"/>
      <c r="C59" s="193"/>
      <c r="D59" s="195">
        <f>G54</f>
        <v>3.72255</v>
      </c>
      <c r="E59" s="196"/>
      <c r="F59" s="197"/>
      <c r="G59" s="198"/>
    </row>
    <row r="60" spans="1:7" ht="24" customHeight="1">
      <c r="A60" s="193">
        <v>3</v>
      </c>
      <c r="B60" s="194" t="s">
        <v>957</v>
      </c>
      <c r="C60" s="193" t="s">
        <v>958</v>
      </c>
      <c r="D60" s="195" t="s">
        <v>955</v>
      </c>
      <c r="E60" s="196" t="s">
        <v>956</v>
      </c>
      <c r="F60" s="197">
        <f>D61</f>
        <v>3.72255</v>
      </c>
      <c r="G60" s="198"/>
    </row>
    <row r="61" spans="1:7" ht="24" customHeight="1">
      <c r="A61" s="193"/>
      <c r="B61" s="194"/>
      <c r="C61" s="193"/>
      <c r="D61" s="195">
        <f>D59</f>
        <v>3.72255</v>
      </c>
      <c r="E61" s="196"/>
      <c r="F61" s="197"/>
      <c r="G61" s="198"/>
    </row>
    <row r="62" spans="1:7" ht="24" customHeight="1">
      <c r="A62" s="193">
        <v>4</v>
      </c>
      <c r="B62" s="194" t="s">
        <v>961</v>
      </c>
      <c r="C62" s="193" t="s">
        <v>967</v>
      </c>
      <c r="D62" s="195" t="s">
        <v>959</v>
      </c>
      <c r="E62" s="196" t="s">
        <v>960</v>
      </c>
      <c r="F62" s="197">
        <f>D63</f>
        <v>1</v>
      </c>
      <c r="G62" s="198"/>
    </row>
    <row r="63" spans="1:7" ht="24" customHeight="1">
      <c r="A63" s="193"/>
      <c r="B63" s="194"/>
      <c r="C63" s="193"/>
      <c r="D63" s="195">
        <v>1</v>
      </c>
      <c r="E63" s="196"/>
      <c r="F63" s="197"/>
      <c r="G63" s="198"/>
    </row>
    <row r="64" spans="1:7" ht="24" customHeight="1">
      <c r="A64" s="193">
        <v>5</v>
      </c>
      <c r="B64" s="194" t="s">
        <v>963</v>
      </c>
      <c r="C64" s="193" t="s">
        <v>964</v>
      </c>
      <c r="D64" s="195" t="s">
        <v>966</v>
      </c>
      <c r="E64" s="196" t="s">
        <v>965</v>
      </c>
      <c r="F64" s="197">
        <f>D65</f>
        <v>15.940000000000001</v>
      </c>
      <c r="G64" s="198"/>
    </row>
    <row r="65" spans="1:7" ht="24" customHeight="1">
      <c r="A65" s="193"/>
      <c r="B65" s="194"/>
      <c r="C65" s="193"/>
      <c r="D65" s="195">
        <f>'수량(외부)'!$H$54*2</f>
        <v>15.940000000000001</v>
      </c>
      <c r="E65" s="196"/>
      <c r="F65" s="197"/>
      <c r="G65" s="198"/>
    </row>
    <row r="66" spans="1:7" ht="24" customHeight="1">
      <c r="A66" s="193">
        <f>A64+1</f>
        <v>6</v>
      </c>
      <c r="B66" s="194" t="s">
        <v>972</v>
      </c>
      <c r="C66" s="193"/>
      <c r="D66" s="195" t="s">
        <v>966</v>
      </c>
      <c r="E66" s="196" t="s">
        <v>965</v>
      </c>
      <c r="F66" s="197">
        <f>D67</f>
        <v>15.940000000000001</v>
      </c>
      <c r="G66" s="198"/>
    </row>
    <row r="67" spans="1:7" ht="24" customHeight="1">
      <c r="A67" s="193"/>
      <c r="B67" s="194"/>
      <c r="C67" s="193"/>
      <c r="D67" s="195">
        <f>D65</f>
        <v>15.940000000000001</v>
      </c>
      <c r="E67" s="196"/>
      <c r="F67" s="197"/>
      <c r="G67" s="198"/>
    </row>
    <row r="68" spans="1:7" ht="24" customHeight="1">
      <c r="A68" s="82"/>
      <c r="B68" s="83"/>
      <c r="C68" s="82"/>
      <c r="D68" s="84"/>
      <c r="E68" s="85"/>
      <c r="F68" s="86"/>
      <c r="G68" s="108"/>
    </row>
    <row r="69" spans="1:7" ht="24" customHeight="1">
      <c r="A69" s="109">
        <f>A54+1</f>
        <v>7</v>
      </c>
      <c r="B69" s="116" t="str">
        <f>'수량(외부)'!B55</f>
        <v>시스템 미서기창호</v>
      </c>
      <c r="C69" s="116" t="str">
        <f>'수량(외부)'!C55</f>
        <v>1500*2085 AL, T24 로이투명</v>
      </c>
      <c r="D69" s="112"/>
      <c r="E69" s="113" t="str">
        <f>'수량(외부)'!D55</f>
        <v>EA</v>
      </c>
      <c r="F69" s="115">
        <v>1</v>
      </c>
      <c r="G69" s="199">
        <f>'수량(외부)'!G55</f>
        <v>3.1274999999999999</v>
      </c>
    </row>
    <row r="70" spans="1:7" ht="24" customHeight="1">
      <c r="A70" s="110"/>
      <c r="B70" s="80"/>
      <c r="C70" s="79"/>
      <c r="D70" s="76"/>
      <c r="E70" s="77"/>
      <c r="F70" s="78"/>
      <c r="G70" s="106"/>
    </row>
    <row r="71" spans="1:7" ht="24" customHeight="1">
      <c r="A71" s="79">
        <v>1</v>
      </c>
      <c r="B71" s="80" t="str">
        <f>B69</f>
        <v>시스템 미서기창호</v>
      </c>
      <c r="C71" s="79" t="str">
        <f>C69</f>
        <v>1500*2085 AL, T24 로이투명</v>
      </c>
      <c r="D71" s="76" t="s">
        <v>952</v>
      </c>
      <c r="E71" s="77" t="s">
        <v>156</v>
      </c>
      <c r="F71" s="81">
        <f>D72</f>
        <v>1</v>
      </c>
      <c r="G71" s="107"/>
    </row>
    <row r="72" spans="1:7" ht="24" customHeight="1">
      <c r="A72" s="79"/>
      <c r="B72" s="80"/>
      <c r="C72" s="79"/>
      <c r="D72" s="76">
        <v>1</v>
      </c>
      <c r="E72" s="77"/>
      <c r="F72" s="81"/>
      <c r="G72" s="107"/>
    </row>
    <row r="73" spans="1:7" ht="24" customHeight="1">
      <c r="A73" s="193">
        <v>2</v>
      </c>
      <c r="B73" s="194" t="s">
        <v>953</v>
      </c>
      <c r="C73" s="196" t="s">
        <v>970</v>
      </c>
      <c r="D73" s="195" t="s">
        <v>955</v>
      </c>
      <c r="E73" s="196" t="s">
        <v>956</v>
      </c>
      <c r="F73" s="197">
        <f>D74</f>
        <v>3.1274999999999999</v>
      </c>
      <c r="G73" s="198"/>
    </row>
    <row r="74" spans="1:7" ht="24" customHeight="1">
      <c r="A74" s="193"/>
      <c r="B74" s="194"/>
      <c r="C74" s="193"/>
      <c r="D74" s="195">
        <f>G69</f>
        <v>3.1274999999999999</v>
      </c>
      <c r="E74" s="196"/>
      <c r="F74" s="197"/>
      <c r="G74" s="198"/>
    </row>
    <row r="75" spans="1:7" ht="24" customHeight="1">
      <c r="A75" s="193">
        <v>3</v>
      </c>
      <c r="B75" s="194" t="s">
        <v>957</v>
      </c>
      <c r="C75" s="193" t="s">
        <v>958</v>
      </c>
      <c r="D75" s="195" t="s">
        <v>955</v>
      </c>
      <c r="E75" s="196" t="s">
        <v>956</v>
      </c>
      <c r="F75" s="197">
        <f>D76</f>
        <v>3.1274999999999999</v>
      </c>
      <c r="G75" s="198"/>
    </row>
    <row r="76" spans="1:7" ht="24" customHeight="1">
      <c r="A76" s="193"/>
      <c r="B76" s="194"/>
      <c r="C76" s="193"/>
      <c r="D76" s="195">
        <f>D74</f>
        <v>3.1274999999999999</v>
      </c>
      <c r="E76" s="196"/>
      <c r="F76" s="197"/>
      <c r="G76" s="198"/>
    </row>
    <row r="77" spans="1:7" ht="24" customHeight="1">
      <c r="A77" s="193">
        <v>4</v>
      </c>
      <c r="B77" s="194" t="s">
        <v>961</v>
      </c>
      <c r="C77" s="193" t="s">
        <v>967</v>
      </c>
      <c r="D77" s="195" t="s">
        <v>959</v>
      </c>
      <c r="E77" s="196" t="s">
        <v>960</v>
      </c>
      <c r="F77" s="197">
        <f>D78</f>
        <v>1</v>
      </c>
      <c r="G77" s="198"/>
    </row>
    <row r="78" spans="1:7" ht="24" customHeight="1">
      <c r="A78" s="193"/>
      <c r="B78" s="194"/>
      <c r="C78" s="193"/>
      <c r="D78" s="195">
        <v>1</v>
      </c>
      <c r="E78" s="196"/>
      <c r="F78" s="197"/>
      <c r="G78" s="198"/>
    </row>
    <row r="79" spans="1:7" ht="24" customHeight="1">
      <c r="A79" s="193">
        <v>5</v>
      </c>
      <c r="B79" s="194" t="s">
        <v>963</v>
      </c>
      <c r="C79" s="193" t="s">
        <v>964</v>
      </c>
      <c r="D79" s="195" t="s">
        <v>966</v>
      </c>
      <c r="E79" s="196" t="s">
        <v>965</v>
      </c>
      <c r="F79" s="197">
        <f>D80</f>
        <v>14.34</v>
      </c>
      <c r="G79" s="198"/>
    </row>
    <row r="80" spans="1:7" ht="24" customHeight="1">
      <c r="A80" s="193"/>
      <c r="B80" s="194"/>
      <c r="C80" s="193"/>
      <c r="D80" s="195">
        <f>'수량(외부)'!$H$55*2</f>
        <v>14.34</v>
      </c>
      <c r="E80" s="196"/>
      <c r="F80" s="197"/>
      <c r="G80" s="198"/>
    </row>
    <row r="81" spans="1:7" ht="24" customHeight="1">
      <c r="A81" s="193">
        <f>A79+1</f>
        <v>6</v>
      </c>
      <c r="B81" s="194" t="s">
        <v>972</v>
      </c>
      <c r="C81" s="193"/>
      <c r="D81" s="195" t="s">
        <v>966</v>
      </c>
      <c r="E81" s="196" t="s">
        <v>965</v>
      </c>
      <c r="F81" s="197">
        <f>D82</f>
        <v>14.34</v>
      </c>
      <c r="G81" s="198"/>
    </row>
    <row r="82" spans="1:7" ht="24" customHeight="1">
      <c r="A82" s="193"/>
      <c r="B82" s="194"/>
      <c r="C82" s="193"/>
      <c r="D82" s="195">
        <f>D80</f>
        <v>14.34</v>
      </c>
      <c r="E82" s="196"/>
      <c r="F82" s="197"/>
      <c r="G82" s="198"/>
    </row>
    <row r="83" spans="1:7" ht="24" customHeight="1">
      <c r="A83" s="82"/>
      <c r="B83" s="83"/>
      <c r="C83" s="82"/>
      <c r="D83" s="84"/>
      <c r="E83" s="85"/>
      <c r="F83" s="86"/>
      <c r="G83" s="108"/>
    </row>
    <row r="84" spans="1:7" ht="24" customHeight="1">
      <c r="A84" s="109">
        <f>A69+1</f>
        <v>8</v>
      </c>
      <c r="B84" s="116" t="str">
        <f>'수량(외부)'!B56</f>
        <v>시스템 미서기창호</v>
      </c>
      <c r="C84" s="116" t="str">
        <f>'수량(외부)'!C56</f>
        <v>1495*2085 AL, T24 로이투명</v>
      </c>
      <c r="D84" s="112"/>
      <c r="E84" s="113" t="str">
        <f>'수량(외부)'!D56</f>
        <v>EA</v>
      </c>
      <c r="F84" s="115">
        <v>1</v>
      </c>
      <c r="G84" s="199">
        <f>'수량(외부)'!G56</f>
        <v>3.1170750000000003</v>
      </c>
    </row>
    <row r="85" spans="1:7" ht="24" customHeight="1">
      <c r="A85" s="110"/>
      <c r="B85" s="80"/>
      <c r="C85" s="79"/>
      <c r="D85" s="76"/>
      <c r="E85" s="77"/>
      <c r="F85" s="78"/>
      <c r="G85" s="106"/>
    </row>
    <row r="86" spans="1:7" ht="24" customHeight="1">
      <c r="A86" s="79">
        <v>1</v>
      </c>
      <c r="B86" s="80" t="str">
        <f>B84</f>
        <v>시스템 미서기창호</v>
      </c>
      <c r="C86" s="79" t="str">
        <f>C84</f>
        <v>1495*2085 AL, T24 로이투명</v>
      </c>
      <c r="D86" s="76" t="s">
        <v>952</v>
      </c>
      <c r="E86" s="77" t="s">
        <v>156</v>
      </c>
      <c r="F86" s="81">
        <f>D87</f>
        <v>1</v>
      </c>
      <c r="G86" s="107"/>
    </row>
    <row r="87" spans="1:7" ht="24" customHeight="1">
      <c r="A87" s="79"/>
      <c r="B87" s="80"/>
      <c r="C87" s="79"/>
      <c r="D87" s="76">
        <v>1</v>
      </c>
      <c r="E87" s="77"/>
      <c r="F87" s="81"/>
      <c r="G87" s="107"/>
    </row>
    <row r="88" spans="1:7" ht="24" customHeight="1">
      <c r="A88" s="193">
        <v>2</v>
      </c>
      <c r="B88" s="194" t="s">
        <v>953</v>
      </c>
      <c r="C88" s="196" t="s">
        <v>970</v>
      </c>
      <c r="D88" s="195" t="s">
        <v>955</v>
      </c>
      <c r="E88" s="196" t="s">
        <v>956</v>
      </c>
      <c r="F88" s="197">
        <f>D89</f>
        <v>3.1170750000000003</v>
      </c>
      <c r="G88" s="198"/>
    </row>
    <row r="89" spans="1:7" ht="24" customHeight="1">
      <c r="A89" s="193"/>
      <c r="B89" s="194"/>
      <c r="C89" s="193"/>
      <c r="D89" s="195">
        <f>G84</f>
        <v>3.1170750000000003</v>
      </c>
      <c r="E89" s="196"/>
      <c r="F89" s="197"/>
      <c r="G89" s="198"/>
    </row>
    <row r="90" spans="1:7" ht="24" customHeight="1">
      <c r="A90" s="193">
        <v>3</v>
      </c>
      <c r="B90" s="194" t="s">
        <v>957</v>
      </c>
      <c r="C90" s="193" t="s">
        <v>958</v>
      </c>
      <c r="D90" s="195" t="s">
        <v>955</v>
      </c>
      <c r="E90" s="196" t="s">
        <v>956</v>
      </c>
      <c r="F90" s="197">
        <f>D91</f>
        <v>3.1170750000000003</v>
      </c>
      <c r="G90" s="198"/>
    </row>
    <row r="91" spans="1:7" ht="24" customHeight="1">
      <c r="A91" s="193"/>
      <c r="B91" s="194"/>
      <c r="C91" s="193"/>
      <c r="D91" s="195">
        <f>D89</f>
        <v>3.1170750000000003</v>
      </c>
      <c r="E91" s="196"/>
      <c r="F91" s="197"/>
      <c r="G91" s="198"/>
    </row>
    <row r="92" spans="1:7" ht="24" customHeight="1">
      <c r="A92" s="193">
        <v>4</v>
      </c>
      <c r="B92" s="194" t="s">
        <v>961</v>
      </c>
      <c r="C92" s="193" t="s">
        <v>967</v>
      </c>
      <c r="D92" s="195" t="s">
        <v>959</v>
      </c>
      <c r="E92" s="196" t="s">
        <v>960</v>
      </c>
      <c r="F92" s="197">
        <f>D93</f>
        <v>1</v>
      </c>
      <c r="G92" s="198"/>
    </row>
    <row r="93" spans="1:7" ht="24" customHeight="1">
      <c r="A93" s="193"/>
      <c r="B93" s="194"/>
      <c r="C93" s="193"/>
      <c r="D93" s="195">
        <v>1</v>
      </c>
      <c r="E93" s="196"/>
      <c r="F93" s="197"/>
      <c r="G93" s="198"/>
    </row>
    <row r="94" spans="1:7" ht="24" customHeight="1">
      <c r="A94" s="193">
        <v>5</v>
      </c>
      <c r="B94" s="194" t="s">
        <v>963</v>
      </c>
      <c r="C94" s="193" t="s">
        <v>964</v>
      </c>
      <c r="D94" s="195" t="s">
        <v>966</v>
      </c>
      <c r="E94" s="196" t="s">
        <v>965</v>
      </c>
      <c r="F94" s="197">
        <f>D95</f>
        <v>14.32</v>
      </c>
      <c r="G94" s="198"/>
    </row>
    <row r="95" spans="1:7" ht="24" customHeight="1">
      <c r="A95" s="193"/>
      <c r="B95" s="194"/>
      <c r="C95" s="193"/>
      <c r="D95" s="195">
        <f>'수량(외부)'!$H$56*2</f>
        <v>14.32</v>
      </c>
      <c r="E95" s="196"/>
      <c r="F95" s="197"/>
      <c r="G95" s="198"/>
    </row>
    <row r="96" spans="1:7" ht="24" customHeight="1">
      <c r="A96" s="193">
        <f>A94+1</f>
        <v>6</v>
      </c>
      <c r="B96" s="194" t="s">
        <v>972</v>
      </c>
      <c r="C96" s="193"/>
      <c r="D96" s="195" t="s">
        <v>966</v>
      </c>
      <c r="E96" s="196" t="s">
        <v>965</v>
      </c>
      <c r="F96" s="197">
        <f>D97</f>
        <v>14.32</v>
      </c>
      <c r="G96" s="198"/>
    </row>
    <row r="97" spans="1:7" ht="24" customHeight="1">
      <c r="A97" s="193"/>
      <c r="B97" s="194"/>
      <c r="C97" s="193"/>
      <c r="D97" s="195">
        <f>D95</f>
        <v>14.32</v>
      </c>
      <c r="E97" s="196"/>
      <c r="F97" s="197"/>
      <c r="G97" s="198"/>
    </row>
    <row r="98" spans="1:7" ht="24" customHeight="1">
      <c r="A98" s="82"/>
      <c r="B98" s="83"/>
      <c r="C98" s="82"/>
      <c r="D98" s="84"/>
      <c r="E98" s="85"/>
      <c r="F98" s="86"/>
      <c r="G98" s="108"/>
    </row>
    <row r="99" spans="1:7" ht="24" customHeight="1">
      <c r="A99" s="109">
        <f>A84+1</f>
        <v>9</v>
      </c>
      <c r="B99" s="116" t="str">
        <f>'수량(외부)'!B57</f>
        <v>시스템 미서기창호</v>
      </c>
      <c r="C99" s="116" t="str">
        <f>'수량(외부)'!C57</f>
        <v>1485*2085 AL, T24 로이투명</v>
      </c>
      <c r="D99" s="112"/>
      <c r="E99" s="113" t="str">
        <f>'수량(외부)'!D57</f>
        <v>EA</v>
      </c>
      <c r="F99" s="115">
        <v>1</v>
      </c>
      <c r="G99" s="199">
        <f>'수량(외부)'!G57</f>
        <v>3.0962250000000004</v>
      </c>
    </row>
    <row r="100" spans="1:7" ht="24" customHeight="1">
      <c r="A100" s="110"/>
      <c r="B100" s="80"/>
      <c r="C100" s="79"/>
      <c r="D100" s="76"/>
      <c r="E100" s="77"/>
      <c r="F100" s="78"/>
      <c r="G100" s="106"/>
    </row>
    <row r="101" spans="1:7" ht="24" customHeight="1">
      <c r="A101" s="79">
        <v>1</v>
      </c>
      <c r="B101" s="80" t="str">
        <f>B99</f>
        <v>시스템 미서기창호</v>
      </c>
      <c r="C101" s="79" t="str">
        <f>C99</f>
        <v>1485*2085 AL, T24 로이투명</v>
      </c>
      <c r="D101" s="76" t="s">
        <v>952</v>
      </c>
      <c r="E101" s="77" t="s">
        <v>156</v>
      </c>
      <c r="F101" s="81">
        <f>D102</f>
        <v>1</v>
      </c>
      <c r="G101" s="107"/>
    </row>
    <row r="102" spans="1:7" ht="24" customHeight="1">
      <c r="A102" s="79"/>
      <c r="B102" s="80"/>
      <c r="C102" s="79"/>
      <c r="D102" s="76">
        <v>1</v>
      </c>
      <c r="E102" s="77"/>
      <c r="F102" s="81"/>
      <c r="G102" s="107"/>
    </row>
    <row r="103" spans="1:7" ht="24" customHeight="1">
      <c r="A103" s="193">
        <v>2</v>
      </c>
      <c r="B103" s="194" t="s">
        <v>953</v>
      </c>
      <c r="C103" s="196" t="s">
        <v>970</v>
      </c>
      <c r="D103" s="195" t="s">
        <v>955</v>
      </c>
      <c r="E103" s="196" t="s">
        <v>956</v>
      </c>
      <c r="F103" s="197">
        <f>D104</f>
        <v>3.0962250000000004</v>
      </c>
      <c r="G103" s="198"/>
    </row>
    <row r="104" spans="1:7" ht="24" customHeight="1">
      <c r="A104" s="193"/>
      <c r="B104" s="194"/>
      <c r="C104" s="193"/>
      <c r="D104" s="195">
        <f>G99</f>
        <v>3.0962250000000004</v>
      </c>
      <c r="E104" s="196"/>
      <c r="F104" s="197"/>
      <c r="G104" s="198"/>
    </row>
    <row r="105" spans="1:7" ht="24" customHeight="1">
      <c r="A105" s="193">
        <v>3</v>
      </c>
      <c r="B105" s="194" t="s">
        <v>957</v>
      </c>
      <c r="C105" s="193" t="s">
        <v>958</v>
      </c>
      <c r="D105" s="195" t="s">
        <v>955</v>
      </c>
      <c r="E105" s="196" t="s">
        <v>956</v>
      </c>
      <c r="F105" s="197">
        <f>D106</f>
        <v>3.0962250000000004</v>
      </c>
      <c r="G105" s="198"/>
    </row>
    <row r="106" spans="1:7" ht="24" customHeight="1">
      <c r="A106" s="193"/>
      <c r="B106" s="194"/>
      <c r="C106" s="193"/>
      <c r="D106" s="195">
        <f>D104</f>
        <v>3.0962250000000004</v>
      </c>
      <c r="E106" s="196"/>
      <c r="F106" s="197"/>
      <c r="G106" s="198"/>
    </row>
    <row r="107" spans="1:7" ht="24" customHeight="1">
      <c r="A107" s="193">
        <v>4</v>
      </c>
      <c r="B107" s="194" t="s">
        <v>961</v>
      </c>
      <c r="C107" s="193" t="s">
        <v>967</v>
      </c>
      <c r="D107" s="195" t="s">
        <v>959</v>
      </c>
      <c r="E107" s="196" t="s">
        <v>960</v>
      </c>
      <c r="F107" s="197">
        <f>D108</f>
        <v>1</v>
      </c>
      <c r="G107" s="198"/>
    </row>
    <row r="108" spans="1:7" ht="24" customHeight="1">
      <c r="A108" s="193"/>
      <c r="B108" s="194"/>
      <c r="C108" s="193"/>
      <c r="D108" s="195">
        <v>1</v>
      </c>
      <c r="E108" s="196"/>
      <c r="F108" s="197"/>
      <c r="G108" s="198"/>
    </row>
    <row r="109" spans="1:7" ht="24" customHeight="1">
      <c r="A109" s="193">
        <v>5</v>
      </c>
      <c r="B109" s="194" t="s">
        <v>963</v>
      </c>
      <c r="C109" s="193" t="s">
        <v>964</v>
      </c>
      <c r="D109" s="195" t="s">
        <v>966</v>
      </c>
      <c r="E109" s="196" t="s">
        <v>965</v>
      </c>
      <c r="F109" s="197">
        <f>D110</f>
        <v>14.280000000000001</v>
      </c>
      <c r="G109" s="198"/>
    </row>
    <row r="110" spans="1:7" ht="24" customHeight="1">
      <c r="A110" s="193"/>
      <c r="B110" s="194"/>
      <c r="C110" s="193"/>
      <c r="D110" s="195">
        <f>'수량(외부)'!$H$57*2</f>
        <v>14.280000000000001</v>
      </c>
      <c r="E110" s="196"/>
      <c r="F110" s="197"/>
      <c r="G110" s="198"/>
    </row>
    <row r="111" spans="1:7" ht="24" customHeight="1">
      <c r="A111" s="193">
        <f>A109+1</f>
        <v>6</v>
      </c>
      <c r="B111" s="194" t="s">
        <v>972</v>
      </c>
      <c r="C111" s="193"/>
      <c r="D111" s="195" t="s">
        <v>966</v>
      </c>
      <c r="E111" s="196" t="s">
        <v>965</v>
      </c>
      <c r="F111" s="197">
        <f>D112</f>
        <v>14.280000000000001</v>
      </c>
      <c r="G111" s="198"/>
    </row>
    <row r="112" spans="1:7" ht="24" customHeight="1">
      <c r="A112" s="193"/>
      <c r="B112" s="194"/>
      <c r="C112" s="193"/>
      <c r="D112" s="195">
        <f>D110</f>
        <v>14.280000000000001</v>
      </c>
      <c r="E112" s="196"/>
      <c r="F112" s="197"/>
      <c r="G112" s="198"/>
    </row>
    <row r="113" spans="1:7" ht="24" customHeight="1">
      <c r="A113" s="82"/>
      <c r="B113" s="83"/>
      <c r="C113" s="82"/>
      <c r="D113" s="84"/>
      <c r="E113" s="85"/>
      <c r="F113" s="86"/>
      <c r="G113" s="108"/>
    </row>
    <row r="114" spans="1:7" ht="24" customHeight="1">
      <c r="A114" s="109">
        <f>A99+1</f>
        <v>10</v>
      </c>
      <c r="B114" s="116" t="str">
        <f>'수량(외부)'!B58</f>
        <v>시스템 고정창호</v>
      </c>
      <c r="C114" s="116" t="str">
        <f>'수량(외부)'!C58</f>
        <v>1200*2490 AL, T24 로이투명</v>
      </c>
      <c r="D114" s="112"/>
      <c r="E114" s="113" t="str">
        <f>'수량(외부)'!D58</f>
        <v>EA</v>
      </c>
      <c r="F114" s="115">
        <v>1</v>
      </c>
      <c r="G114" s="199">
        <f>'수량(외부)'!G58</f>
        <v>2.988</v>
      </c>
    </row>
    <row r="115" spans="1:7" ht="24" customHeight="1">
      <c r="A115" s="110"/>
      <c r="B115" s="80"/>
      <c r="C115" s="79"/>
      <c r="D115" s="76"/>
      <c r="E115" s="77"/>
      <c r="F115" s="78"/>
      <c r="G115" s="106"/>
    </row>
    <row r="116" spans="1:7" ht="24" customHeight="1">
      <c r="A116" s="79">
        <v>1</v>
      </c>
      <c r="B116" s="80" t="str">
        <f>B114</f>
        <v>시스템 고정창호</v>
      </c>
      <c r="C116" s="79" t="str">
        <f>C114</f>
        <v>1200*2490 AL, T24 로이투명</v>
      </c>
      <c r="D116" s="76" t="s">
        <v>952</v>
      </c>
      <c r="E116" s="77" t="s">
        <v>156</v>
      </c>
      <c r="F116" s="81">
        <f>D117</f>
        <v>1</v>
      </c>
      <c r="G116" s="107"/>
    </row>
    <row r="117" spans="1:7" ht="24" customHeight="1">
      <c r="A117" s="79"/>
      <c r="B117" s="80"/>
      <c r="C117" s="79"/>
      <c r="D117" s="76">
        <v>1</v>
      </c>
      <c r="E117" s="77"/>
      <c r="F117" s="81"/>
      <c r="G117" s="107"/>
    </row>
    <row r="118" spans="1:7" ht="24" customHeight="1">
      <c r="A118" s="193">
        <v>2</v>
      </c>
      <c r="B118" s="194" t="s">
        <v>953</v>
      </c>
      <c r="C118" s="196" t="s">
        <v>970</v>
      </c>
      <c r="D118" s="195" t="s">
        <v>955</v>
      </c>
      <c r="E118" s="196" t="s">
        <v>956</v>
      </c>
      <c r="F118" s="197">
        <f>D119</f>
        <v>2.988</v>
      </c>
      <c r="G118" s="198"/>
    </row>
    <row r="119" spans="1:7" ht="24" customHeight="1">
      <c r="A119" s="193"/>
      <c r="B119" s="194"/>
      <c r="C119" s="193"/>
      <c r="D119" s="195">
        <f>G114</f>
        <v>2.988</v>
      </c>
      <c r="E119" s="196"/>
      <c r="F119" s="197"/>
      <c r="G119" s="198"/>
    </row>
    <row r="120" spans="1:7" ht="24" customHeight="1">
      <c r="A120" s="193">
        <v>3</v>
      </c>
      <c r="B120" s="194" t="s">
        <v>957</v>
      </c>
      <c r="C120" s="193" t="s">
        <v>958</v>
      </c>
      <c r="D120" s="195" t="s">
        <v>955</v>
      </c>
      <c r="E120" s="196" t="s">
        <v>956</v>
      </c>
      <c r="F120" s="197">
        <f>D121</f>
        <v>2.988</v>
      </c>
      <c r="G120" s="198"/>
    </row>
    <row r="121" spans="1:7" ht="24" customHeight="1">
      <c r="A121" s="193"/>
      <c r="B121" s="194"/>
      <c r="C121" s="193"/>
      <c r="D121" s="195">
        <f>D119</f>
        <v>2.988</v>
      </c>
      <c r="E121" s="196"/>
      <c r="F121" s="197"/>
      <c r="G121" s="198"/>
    </row>
    <row r="122" spans="1:7" ht="24" customHeight="1">
      <c r="A122" s="193">
        <v>4</v>
      </c>
      <c r="B122" s="194" t="s">
        <v>961</v>
      </c>
      <c r="C122" s="193" t="s">
        <v>968</v>
      </c>
      <c r="D122" s="195" t="s">
        <v>959</v>
      </c>
      <c r="E122" s="196" t="s">
        <v>960</v>
      </c>
      <c r="F122" s="197">
        <f>D123</f>
        <v>1</v>
      </c>
      <c r="G122" s="198"/>
    </row>
    <row r="123" spans="1:7" ht="24" customHeight="1">
      <c r="A123" s="193"/>
      <c r="B123" s="194"/>
      <c r="C123" s="193"/>
      <c r="D123" s="195">
        <v>1</v>
      </c>
      <c r="E123" s="196"/>
      <c r="F123" s="197"/>
      <c r="G123" s="198"/>
    </row>
    <row r="124" spans="1:7" ht="24" customHeight="1">
      <c r="A124" s="193">
        <v>5</v>
      </c>
      <c r="B124" s="194" t="s">
        <v>963</v>
      </c>
      <c r="C124" s="193" t="s">
        <v>964</v>
      </c>
      <c r="D124" s="195" t="s">
        <v>966</v>
      </c>
      <c r="E124" s="196" t="s">
        <v>965</v>
      </c>
      <c r="F124" s="197">
        <f>D125</f>
        <v>14.760000000000002</v>
      </c>
      <c r="G124" s="198"/>
    </row>
    <row r="125" spans="1:7" ht="24" customHeight="1">
      <c r="A125" s="193"/>
      <c r="B125" s="194"/>
      <c r="C125" s="193"/>
      <c r="D125" s="195">
        <f>'수량(외부)'!$H$58*2</f>
        <v>14.760000000000002</v>
      </c>
      <c r="E125" s="196"/>
      <c r="F125" s="197"/>
      <c r="G125" s="198"/>
    </row>
    <row r="126" spans="1:7" ht="24" customHeight="1">
      <c r="A126" s="193">
        <f>A124+1</f>
        <v>6</v>
      </c>
      <c r="B126" s="194" t="s">
        <v>972</v>
      </c>
      <c r="C126" s="193"/>
      <c r="D126" s="195" t="s">
        <v>966</v>
      </c>
      <c r="E126" s="196" t="s">
        <v>965</v>
      </c>
      <c r="F126" s="197">
        <f>D127</f>
        <v>14.760000000000002</v>
      </c>
      <c r="G126" s="198"/>
    </row>
    <row r="127" spans="1:7" ht="24" customHeight="1">
      <c r="A127" s="193"/>
      <c r="B127" s="194"/>
      <c r="C127" s="193"/>
      <c r="D127" s="195">
        <f>D125</f>
        <v>14.760000000000002</v>
      </c>
      <c r="E127" s="196"/>
      <c r="F127" s="197"/>
      <c r="G127" s="198"/>
    </row>
    <row r="128" spans="1:7" ht="24" customHeight="1">
      <c r="A128" s="82"/>
      <c r="B128" s="83"/>
      <c r="C128" s="82"/>
      <c r="D128" s="84"/>
      <c r="E128" s="85"/>
      <c r="F128" s="86"/>
      <c r="G128" s="108"/>
    </row>
    <row r="129" spans="1:7" ht="24" customHeight="1">
      <c r="A129" s="109">
        <f>A114+1</f>
        <v>11</v>
      </c>
      <c r="B129" s="116" t="str">
        <f>'수량(외부)'!B59</f>
        <v>시스템 여닫이 도어</v>
      </c>
      <c r="C129" s="116" t="str">
        <f>'수량(외부)'!C59</f>
        <v>950*2150 AL, T24 로이투명</v>
      </c>
      <c r="D129" s="112"/>
      <c r="E129" s="113" t="str">
        <f>'수량(외부)'!D59</f>
        <v>EA</v>
      </c>
      <c r="F129" s="115">
        <v>1</v>
      </c>
      <c r="G129" s="199">
        <f>'수량(외부)'!G59</f>
        <v>2.0425</v>
      </c>
    </row>
    <row r="130" spans="1:7" ht="24" customHeight="1">
      <c r="A130" s="110"/>
      <c r="B130" s="80"/>
      <c r="C130" s="79"/>
      <c r="D130" s="76"/>
      <c r="E130" s="77"/>
      <c r="F130" s="78"/>
      <c r="G130" s="106"/>
    </row>
    <row r="131" spans="1:7" ht="24" customHeight="1">
      <c r="A131" s="79">
        <v>1</v>
      </c>
      <c r="B131" s="80" t="str">
        <f>B129</f>
        <v>시스템 여닫이 도어</v>
      </c>
      <c r="C131" s="79" t="str">
        <f>C129</f>
        <v>950*2150 AL, T24 로이투명</v>
      </c>
      <c r="D131" s="76" t="s">
        <v>952</v>
      </c>
      <c r="E131" s="77" t="s">
        <v>156</v>
      </c>
      <c r="F131" s="81">
        <f>D132</f>
        <v>1</v>
      </c>
      <c r="G131" s="107"/>
    </row>
    <row r="132" spans="1:7" ht="24" customHeight="1">
      <c r="A132" s="79"/>
      <c r="B132" s="80"/>
      <c r="C132" s="79"/>
      <c r="D132" s="76">
        <v>1</v>
      </c>
      <c r="E132" s="77"/>
      <c r="F132" s="81"/>
      <c r="G132" s="107"/>
    </row>
    <row r="133" spans="1:7" ht="24" customHeight="1">
      <c r="A133" s="193">
        <v>2</v>
      </c>
      <c r="B133" s="194" t="s">
        <v>953</v>
      </c>
      <c r="C133" s="193" t="s">
        <v>969</v>
      </c>
      <c r="D133" s="195" t="s">
        <v>955</v>
      </c>
      <c r="E133" s="196" t="s">
        <v>956</v>
      </c>
      <c r="F133" s="197">
        <f>D134</f>
        <v>2.0425</v>
      </c>
      <c r="G133" s="198"/>
    </row>
    <row r="134" spans="1:7" ht="24" customHeight="1">
      <c r="A134" s="193"/>
      <c r="B134" s="194"/>
      <c r="C134" s="193"/>
      <c r="D134" s="195">
        <f>G129</f>
        <v>2.0425</v>
      </c>
      <c r="E134" s="196"/>
      <c r="F134" s="197"/>
      <c r="G134" s="198"/>
    </row>
    <row r="135" spans="1:7" ht="24" customHeight="1">
      <c r="A135" s="193">
        <v>3</v>
      </c>
      <c r="B135" s="194" t="s">
        <v>957</v>
      </c>
      <c r="C135" s="193" t="s">
        <v>958</v>
      </c>
      <c r="D135" s="195" t="s">
        <v>955</v>
      </c>
      <c r="E135" s="196" t="s">
        <v>956</v>
      </c>
      <c r="F135" s="197">
        <f>D136</f>
        <v>2.0425</v>
      </c>
      <c r="G135" s="198"/>
    </row>
    <row r="136" spans="1:7" ht="24" customHeight="1">
      <c r="A136" s="193"/>
      <c r="B136" s="194"/>
      <c r="C136" s="193"/>
      <c r="D136" s="195">
        <f>D134</f>
        <v>2.0425</v>
      </c>
      <c r="E136" s="196"/>
      <c r="F136" s="197"/>
      <c r="G136" s="198"/>
    </row>
    <row r="137" spans="1:7" ht="24" customHeight="1">
      <c r="A137" s="193">
        <v>4</v>
      </c>
      <c r="B137" s="194" t="s">
        <v>971</v>
      </c>
      <c r="C137" s="193" t="s">
        <v>968</v>
      </c>
      <c r="D137" s="195" t="s">
        <v>959</v>
      </c>
      <c r="E137" s="196" t="s">
        <v>960</v>
      </c>
      <c r="F137" s="197">
        <f>D138</f>
        <v>1</v>
      </c>
      <c r="G137" s="198"/>
    </row>
    <row r="138" spans="1:7" ht="24" customHeight="1">
      <c r="A138" s="193"/>
      <c r="B138" s="194"/>
      <c r="C138" s="193"/>
      <c r="D138" s="195">
        <v>1</v>
      </c>
      <c r="E138" s="196"/>
      <c r="F138" s="197"/>
      <c r="G138" s="198"/>
    </row>
    <row r="139" spans="1:7" ht="24" customHeight="1">
      <c r="A139" s="193">
        <v>5</v>
      </c>
      <c r="B139" s="194" t="s">
        <v>963</v>
      </c>
      <c r="C139" s="193" t="s">
        <v>964</v>
      </c>
      <c r="D139" s="195" t="s">
        <v>966</v>
      </c>
      <c r="E139" s="196" t="s">
        <v>965</v>
      </c>
      <c r="F139" s="197">
        <f>D140</f>
        <v>12.399999999999999</v>
      </c>
      <c r="G139" s="198"/>
    </row>
    <row r="140" spans="1:7" ht="24" customHeight="1">
      <c r="A140" s="193"/>
      <c r="B140" s="194"/>
      <c r="C140" s="193"/>
      <c r="D140" s="195">
        <f>'수량(외부)'!$H$59*2</f>
        <v>12.399999999999999</v>
      </c>
      <c r="E140" s="196"/>
      <c r="F140" s="197"/>
      <c r="G140" s="198"/>
    </row>
    <row r="141" spans="1:7" ht="24" customHeight="1">
      <c r="A141" s="193">
        <f>A139+1</f>
        <v>6</v>
      </c>
      <c r="B141" s="194" t="s">
        <v>972</v>
      </c>
      <c r="C141" s="193"/>
      <c r="D141" s="195" t="s">
        <v>966</v>
      </c>
      <c r="E141" s="196" t="s">
        <v>965</v>
      </c>
      <c r="F141" s="197">
        <f>D142</f>
        <v>12.399999999999999</v>
      </c>
      <c r="G141" s="198"/>
    </row>
    <row r="142" spans="1:7" ht="24" customHeight="1">
      <c r="A142" s="193"/>
      <c r="B142" s="194"/>
      <c r="C142" s="193"/>
      <c r="D142" s="195">
        <f>D140</f>
        <v>12.399999999999999</v>
      </c>
      <c r="E142" s="196"/>
      <c r="F142" s="197"/>
      <c r="G142" s="198"/>
    </row>
    <row r="143" spans="1:7" ht="24" customHeight="1">
      <c r="A143" s="82"/>
      <c r="B143" s="83"/>
      <c r="C143" s="82"/>
      <c r="D143" s="84"/>
      <c r="E143" s="85"/>
      <c r="F143" s="86"/>
      <c r="G143" s="108"/>
    </row>
    <row r="144" spans="1:7" ht="24" customHeight="1">
      <c r="A144" s="109">
        <f>A129+1</f>
        <v>12</v>
      </c>
      <c r="B144" s="116" t="str">
        <f>'수량(외부)'!B60</f>
        <v>시스템 슬라이딩 도어</v>
      </c>
      <c r="C144" s="116" t="str">
        <f>'수량(외부)'!C60</f>
        <v>1500*1495 AL, T24 로이투명</v>
      </c>
      <c r="D144" s="112"/>
      <c r="E144" s="113" t="str">
        <f>'수량(외부)'!D60</f>
        <v>EA</v>
      </c>
      <c r="F144" s="115">
        <v>1</v>
      </c>
      <c r="G144" s="199">
        <f>'수량(외부)'!G60</f>
        <v>2.2425000000000002</v>
      </c>
    </row>
    <row r="145" spans="1:7" ht="24" customHeight="1">
      <c r="A145" s="110"/>
      <c r="B145" s="80"/>
      <c r="C145" s="79"/>
      <c r="D145" s="76"/>
      <c r="E145" s="77"/>
      <c r="F145" s="78"/>
      <c r="G145" s="106"/>
    </row>
    <row r="146" spans="1:7" ht="24" customHeight="1">
      <c r="A146" s="79">
        <v>1</v>
      </c>
      <c r="B146" s="80" t="str">
        <f>B144</f>
        <v>시스템 슬라이딩 도어</v>
      </c>
      <c r="C146" s="79" t="str">
        <f>C144</f>
        <v>1500*1495 AL, T24 로이투명</v>
      </c>
      <c r="D146" s="76" t="s">
        <v>952</v>
      </c>
      <c r="E146" s="77" t="s">
        <v>156</v>
      </c>
      <c r="F146" s="81">
        <f>D147</f>
        <v>1</v>
      </c>
      <c r="G146" s="107"/>
    </row>
    <row r="147" spans="1:7" ht="24" customHeight="1">
      <c r="A147" s="79"/>
      <c r="B147" s="80"/>
      <c r="C147" s="79"/>
      <c r="D147" s="76">
        <v>1</v>
      </c>
      <c r="E147" s="77"/>
      <c r="F147" s="81"/>
      <c r="G147" s="107"/>
    </row>
    <row r="148" spans="1:7" ht="24" customHeight="1">
      <c r="A148" s="193">
        <v>2</v>
      </c>
      <c r="B148" s="194" t="s">
        <v>953</v>
      </c>
      <c r="C148" s="193" t="s">
        <v>969</v>
      </c>
      <c r="D148" s="195" t="s">
        <v>955</v>
      </c>
      <c r="E148" s="196" t="s">
        <v>956</v>
      </c>
      <c r="F148" s="197">
        <f>D149</f>
        <v>2.2425000000000002</v>
      </c>
      <c r="G148" s="198"/>
    </row>
    <row r="149" spans="1:7" ht="24" customHeight="1">
      <c r="A149" s="193"/>
      <c r="B149" s="194"/>
      <c r="C149" s="193"/>
      <c r="D149" s="195">
        <f>G144</f>
        <v>2.2425000000000002</v>
      </c>
      <c r="E149" s="196"/>
      <c r="F149" s="197"/>
      <c r="G149" s="198"/>
    </row>
    <row r="150" spans="1:7" ht="24" customHeight="1">
      <c r="A150" s="193">
        <v>3</v>
      </c>
      <c r="B150" s="194" t="s">
        <v>957</v>
      </c>
      <c r="C150" s="193" t="s">
        <v>958</v>
      </c>
      <c r="D150" s="195" t="s">
        <v>955</v>
      </c>
      <c r="E150" s="196" t="s">
        <v>956</v>
      </c>
      <c r="F150" s="197">
        <f>D151</f>
        <v>2.2425000000000002</v>
      </c>
      <c r="G150" s="198"/>
    </row>
    <row r="151" spans="1:7" ht="24" customHeight="1">
      <c r="A151" s="193"/>
      <c r="B151" s="194"/>
      <c r="C151" s="193"/>
      <c r="D151" s="195">
        <f>D149</f>
        <v>2.2425000000000002</v>
      </c>
      <c r="E151" s="196"/>
      <c r="F151" s="197"/>
      <c r="G151" s="198"/>
    </row>
    <row r="152" spans="1:7" ht="24" customHeight="1">
      <c r="A152" s="193">
        <v>4</v>
      </c>
      <c r="B152" s="194" t="s">
        <v>971</v>
      </c>
      <c r="C152" s="193" t="s">
        <v>968</v>
      </c>
      <c r="D152" s="195" t="s">
        <v>959</v>
      </c>
      <c r="E152" s="196" t="s">
        <v>960</v>
      </c>
      <c r="F152" s="197">
        <f>D153</f>
        <v>1</v>
      </c>
      <c r="G152" s="198"/>
    </row>
    <row r="153" spans="1:7" ht="24" customHeight="1">
      <c r="A153" s="193"/>
      <c r="B153" s="194"/>
      <c r="C153" s="193"/>
      <c r="D153" s="195">
        <v>1</v>
      </c>
      <c r="E153" s="196"/>
      <c r="F153" s="197"/>
      <c r="G153" s="198"/>
    </row>
    <row r="154" spans="1:7" ht="24" customHeight="1">
      <c r="A154" s="193">
        <v>5</v>
      </c>
      <c r="B154" s="194" t="s">
        <v>963</v>
      </c>
      <c r="C154" s="193" t="s">
        <v>964</v>
      </c>
      <c r="D154" s="195" t="s">
        <v>966</v>
      </c>
      <c r="E154" s="196" t="s">
        <v>965</v>
      </c>
      <c r="F154" s="197">
        <f>D155</f>
        <v>11.98</v>
      </c>
      <c r="G154" s="198"/>
    </row>
    <row r="155" spans="1:7" ht="24" customHeight="1">
      <c r="A155" s="193"/>
      <c r="B155" s="194"/>
      <c r="C155" s="193"/>
      <c r="D155" s="195">
        <f>'수량(외부)'!$H$60*2</f>
        <v>11.98</v>
      </c>
      <c r="E155" s="196"/>
      <c r="F155" s="197"/>
      <c r="G155" s="198"/>
    </row>
    <row r="156" spans="1:7" ht="24" customHeight="1">
      <c r="A156" s="193">
        <f>A154+1</f>
        <v>6</v>
      </c>
      <c r="B156" s="194" t="s">
        <v>972</v>
      </c>
      <c r="C156" s="193"/>
      <c r="D156" s="195" t="s">
        <v>966</v>
      </c>
      <c r="E156" s="196" t="s">
        <v>965</v>
      </c>
      <c r="F156" s="197">
        <f>D157</f>
        <v>11.98</v>
      </c>
      <c r="G156" s="198"/>
    </row>
    <row r="157" spans="1:7" ht="24" customHeight="1">
      <c r="A157" s="193"/>
      <c r="B157" s="194"/>
      <c r="C157" s="193"/>
      <c r="D157" s="195">
        <f>D155</f>
        <v>11.98</v>
      </c>
      <c r="E157" s="196"/>
      <c r="F157" s="197"/>
      <c r="G157" s="198"/>
    </row>
    <row r="158" spans="1:7" ht="24" customHeight="1">
      <c r="A158" s="82"/>
      <c r="B158" s="83"/>
      <c r="C158" s="82"/>
      <c r="D158" s="84"/>
      <c r="E158" s="85"/>
      <c r="F158" s="86"/>
      <c r="G158" s="108"/>
    </row>
    <row r="159" spans="1:7" ht="24" customHeight="1">
      <c r="A159" s="109">
        <f>A144+1</f>
        <v>13</v>
      </c>
      <c r="B159" s="116" t="str">
        <f>'수량(외부)'!B61</f>
        <v>시스템 고정창호</v>
      </c>
      <c r="C159" s="116" t="str">
        <f>'수량(외부)'!C61</f>
        <v>900*890 AL, T24 로이투명</v>
      </c>
      <c r="D159" s="112"/>
      <c r="E159" s="113" t="str">
        <f>'수량(외부)'!D61</f>
        <v>EA</v>
      </c>
      <c r="F159" s="115">
        <v>1</v>
      </c>
      <c r="G159" s="199">
        <f>'수량(외부)'!G61</f>
        <v>0.80100000000000005</v>
      </c>
    </row>
    <row r="160" spans="1:7" ht="24" customHeight="1">
      <c r="A160" s="110"/>
      <c r="B160" s="80"/>
      <c r="C160" s="79"/>
      <c r="D160" s="76"/>
      <c r="E160" s="77"/>
      <c r="F160" s="78"/>
      <c r="G160" s="106"/>
    </row>
    <row r="161" spans="1:7" ht="24" customHeight="1">
      <c r="A161" s="79">
        <v>1</v>
      </c>
      <c r="B161" s="80" t="str">
        <f>B159</f>
        <v>시스템 고정창호</v>
      </c>
      <c r="C161" s="79" t="str">
        <f>C159</f>
        <v>900*890 AL, T24 로이투명</v>
      </c>
      <c r="D161" s="76" t="s">
        <v>952</v>
      </c>
      <c r="E161" s="77" t="s">
        <v>156</v>
      </c>
      <c r="F161" s="81">
        <f>D162</f>
        <v>1</v>
      </c>
      <c r="G161" s="107"/>
    </row>
    <row r="162" spans="1:7" ht="24" customHeight="1">
      <c r="A162" s="79"/>
      <c r="B162" s="80"/>
      <c r="C162" s="79"/>
      <c r="D162" s="76">
        <v>1</v>
      </c>
      <c r="E162" s="77"/>
      <c r="F162" s="81"/>
      <c r="G162" s="107"/>
    </row>
    <row r="163" spans="1:7" ht="24" customHeight="1">
      <c r="A163" s="193">
        <v>2</v>
      </c>
      <c r="B163" s="194" t="s">
        <v>953</v>
      </c>
      <c r="C163" s="193" t="s">
        <v>969</v>
      </c>
      <c r="D163" s="195" t="s">
        <v>955</v>
      </c>
      <c r="E163" s="196" t="s">
        <v>956</v>
      </c>
      <c r="F163" s="197">
        <f>D164</f>
        <v>0.80100000000000005</v>
      </c>
      <c r="G163" s="198"/>
    </row>
    <row r="164" spans="1:7" ht="24" customHeight="1">
      <c r="A164" s="193"/>
      <c r="B164" s="194"/>
      <c r="C164" s="193"/>
      <c r="D164" s="195">
        <f>G159</f>
        <v>0.80100000000000005</v>
      </c>
      <c r="E164" s="196"/>
      <c r="F164" s="197"/>
      <c r="G164" s="198"/>
    </row>
    <row r="165" spans="1:7" ht="24" customHeight="1">
      <c r="A165" s="193">
        <v>3</v>
      </c>
      <c r="B165" s="194" t="s">
        <v>957</v>
      </c>
      <c r="C165" s="193" t="s">
        <v>958</v>
      </c>
      <c r="D165" s="195" t="s">
        <v>955</v>
      </c>
      <c r="E165" s="196" t="s">
        <v>956</v>
      </c>
      <c r="F165" s="197">
        <f>D166</f>
        <v>0.80100000000000005</v>
      </c>
      <c r="G165" s="198"/>
    </row>
    <row r="166" spans="1:7" ht="24" customHeight="1">
      <c r="A166" s="193"/>
      <c r="B166" s="194"/>
      <c r="C166" s="193"/>
      <c r="D166" s="195">
        <f>D164</f>
        <v>0.80100000000000005</v>
      </c>
      <c r="E166" s="196"/>
      <c r="F166" s="197"/>
      <c r="G166" s="198"/>
    </row>
    <row r="167" spans="1:7" ht="24" customHeight="1">
      <c r="A167" s="193">
        <v>4</v>
      </c>
      <c r="B167" s="194" t="s">
        <v>971</v>
      </c>
      <c r="C167" s="193" t="s">
        <v>962</v>
      </c>
      <c r="D167" s="195" t="s">
        <v>959</v>
      </c>
      <c r="E167" s="196" t="s">
        <v>960</v>
      </c>
      <c r="F167" s="197">
        <f>D168</f>
        <v>1</v>
      </c>
      <c r="G167" s="198"/>
    </row>
    <row r="168" spans="1:7" ht="24" customHeight="1">
      <c r="A168" s="193"/>
      <c r="B168" s="194"/>
      <c r="C168" s="193"/>
      <c r="D168" s="195">
        <v>1</v>
      </c>
      <c r="E168" s="196"/>
      <c r="F168" s="197"/>
      <c r="G168" s="198"/>
    </row>
    <row r="169" spans="1:7" ht="24" customHeight="1">
      <c r="A169" s="193">
        <v>5</v>
      </c>
      <c r="B169" s="194" t="s">
        <v>963</v>
      </c>
      <c r="C169" s="193" t="s">
        <v>964</v>
      </c>
      <c r="D169" s="195" t="s">
        <v>966</v>
      </c>
      <c r="E169" s="196" t="s">
        <v>965</v>
      </c>
      <c r="F169" s="197">
        <f>D170</f>
        <v>7.16</v>
      </c>
      <c r="G169" s="198"/>
    </row>
    <row r="170" spans="1:7" ht="24" customHeight="1">
      <c r="A170" s="193"/>
      <c r="B170" s="194"/>
      <c r="C170" s="193"/>
      <c r="D170" s="195">
        <f>'수량(외부)'!$H$61*2</f>
        <v>7.16</v>
      </c>
      <c r="E170" s="196"/>
      <c r="F170" s="197"/>
      <c r="G170" s="198"/>
    </row>
    <row r="171" spans="1:7" ht="24" customHeight="1">
      <c r="A171" s="193">
        <f>A169+1</f>
        <v>6</v>
      </c>
      <c r="B171" s="194" t="s">
        <v>972</v>
      </c>
      <c r="C171" s="193"/>
      <c r="D171" s="195" t="s">
        <v>966</v>
      </c>
      <c r="E171" s="196" t="s">
        <v>965</v>
      </c>
      <c r="F171" s="197">
        <f>D172</f>
        <v>7.16</v>
      </c>
      <c r="G171" s="198"/>
    </row>
    <row r="172" spans="1:7" ht="24" customHeight="1">
      <c r="A172" s="193"/>
      <c r="B172" s="194"/>
      <c r="C172" s="193"/>
      <c r="D172" s="195">
        <f>D170</f>
        <v>7.16</v>
      </c>
      <c r="E172" s="196"/>
      <c r="F172" s="197"/>
      <c r="G172" s="198"/>
    </row>
    <row r="173" spans="1:7" ht="24" customHeight="1">
      <c r="A173" s="82"/>
      <c r="B173" s="83"/>
      <c r="C173" s="82"/>
      <c r="D173" s="84"/>
      <c r="E173" s="85"/>
      <c r="F173" s="86"/>
      <c r="G173" s="108"/>
    </row>
    <row r="174" spans="1:7" ht="24" customHeight="1">
      <c r="A174" s="109">
        <f>A159+1</f>
        <v>14</v>
      </c>
      <c r="B174" s="116" t="str">
        <f>'수량(외부)'!B62</f>
        <v>시스템 고정창호</v>
      </c>
      <c r="C174" s="116" t="str">
        <f>'수량(외부)'!C62</f>
        <v>785*390 AL, T24 로이투명</v>
      </c>
      <c r="D174" s="112"/>
      <c r="E174" s="113" t="str">
        <f>'수량(외부)'!D62</f>
        <v>EA</v>
      </c>
      <c r="F174" s="115">
        <v>1</v>
      </c>
      <c r="G174" s="199">
        <f>'수량(외부)'!G62</f>
        <v>0.30615000000000003</v>
      </c>
    </row>
    <row r="175" spans="1:7" ht="24" customHeight="1">
      <c r="A175" s="110"/>
      <c r="B175" s="80"/>
      <c r="C175" s="79"/>
      <c r="D175" s="76"/>
      <c r="E175" s="77"/>
      <c r="F175" s="78"/>
      <c r="G175" s="106"/>
    </row>
    <row r="176" spans="1:7" ht="24" customHeight="1">
      <c r="A176" s="79">
        <v>1</v>
      </c>
      <c r="B176" s="80" t="str">
        <f>B174</f>
        <v>시스템 고정창호</v>
      </c>
      <c r="C176" s="79" t="str">
        <f>C174</f>
        <v>785*390 AL, T24 로이투명</v>
      </c>
      <c r="D176" s="76" t="s">
        <v>952</v>
      </c>
      <c r="E176" s="77" t="s">
        <v>156</v>
      </c>
      <c r="F176" s="81">
        <f>D177</f>
        <v>1</v>
      </c>
      <c r="G176" s="107"/>
    </row>
    <row r="177" spans="1:7" ht="24" customHeight="1">
      <c r="A177" s="79"/>
      <c r="B177" s="80"/>
      <c r="C177" s="79"/>
      <c r="D177" s="76">
        <v>1</v>
      </c>
      <c r="E177" s="77"/>
      <c r="F177" s="81"/>
      <c r="G177" s="107"/>
    </row>
    <row r="178" spans="1:7" ht="24" customHeight="1">
      <c r="A178" s="193">
        <v>2</v>
      </c>
      <c r="B178" s="194" t="s">
        <v>953</v>
      </c>
      <c r="C178" s="193" t="s">
        <v>969</v>
      </c>
      <c r="D178" s="195" t="s">
        <v>955</v>
      </c>
      <c r="E178" s="196" t="s">
        <v>956</v>
      </c>
      <c r="F178" s="197">
        <f>D179</f>
        <v>0.30615000000000003</v>
      </c>
      <c r="G178" s="198"/>
    </row>
    <row r="179" spans="1:7" ht="24" customHeight="1">
      <c r="A179" s="193"/>
      <c r="B179" s="194"/>
      <c r="C179" s="193"/>
      <c r="D179" s="195">
        <f>G174</f>
        <v>0.30615000000000003</v>
      </c>
      <c r="E179" s="196"/>
      <c r="F179" s="197"/>
      <c r="G179" s="198"/>
    </row>
    <row r="180" spans="1:7" ht="24" customHeight="1">
      <c r="A180" s="193">
        <v>3</v>
      </c>
      <c r="B180" s="194" t="s">
        <v>957</v>
      </c>
      <c r="C180" s="193" t="s">
        <v>958</v>
      </c>
      <c r="D180" s="195" t="s">
        <v>955</v>
      </c>
      <c r="E180" s="196" t="s">
        <v>956</v>
      </c>
      <c r="F180" s="197">
        <f>D181</f>
        <v>0.30615000000000003</v>
      </c>
      <c r="G180" s="198"/>
    </row>
    <row r="181" spans="1:7" ht="24" customHeight="1">
      <c r="A181" s="193"/>
      <c r="B181" s="194"/>
      <c r="C181" s="193"/>
      <c r="D181" s="195">
        <f>D179</f>
        <v>0.30615000000000003</v>
      </c>
      <c r="E181" s="196"/>
      <c r="F181" s="197"/>
      <c r="G181" s="198"/>
    </row>
    <row r="182" spans="1:7" ht="24" customHeight="1">
      <c r="A182" s="193">
        <v>4</v>
      </c>
      <c r="B182" s="194" t="s">
        <v>971</v>
      </c>
      <c r="C182" s="193" t="s">
        <v>962</v>
      </c>
      <c r="D182" s="195" t="s">
        <v>959</v>
      </c>
      <c r="E182" s="196" t="s">
        <v>960</v>
      </c>
      <c r="F182" s="197">
        <f>D183</f>
        <v>1</v>
      </c>
      <c r="G182" s="198"/>
    </row>
    <row r="183" spans="1:7" ht="24" customHeight="1">
      <c r="A183" s="193"/>
      <c r="B183" s="194"/>
      <c r="C183" s="193"/>
      <c r="D183" s="195">
        <v>1</v>
      </c>
      <c r="E183" s="196"/>
      <c r="F183" s="197"/>
      <c r="G183" s="198"/>
    </row>
    <row r="184" spans="1:7" ht="24" customHeight="1">
      <c r="A184" s="193">
        <v>5</v>
      </c>
      <c r="B184" s="194" t="s">
        <v>963</v>
      </c>
      <c r="C184" s="193" t="s">
        <v>964</v>
      </c>
      <c r="D184" s="195" t="s">
        <v>966</v>
      </c>
      <c r="E184" s="196" t="s">
        <v>965</v>
      </c>
      <c r="F184" s="197">
        <f>D185</f>
        <v>4.7</v>
      </c>
      <c r="G184" s="198"/>
    </row>
    <row r="185" spans="1:7" ht="24" customHeight="1">
      <c r="A185" s="193"/>
      <c r="B185" s="194"/>
      <c r="C185" s="193"/>
      <c r="D185" s="195">
        <f>'수량(외부)'!$H$62*2</f>
        <v>4.7</v>
      </c>
      <c r="E185" s="196"/>
      <c r="F185" s="197"/>
      <c r="G185" s="198"/>
    </row>
    <row r="186" spans="1:7" ht="24" customHeight="1">
      <c r="A186" s="193">
        <f>A184+1</f>
        <v>6</v>
      </c>
      <c r="B186" s="194" t="s">
        <v>972</v>
      </c>
      <c r="C186" s="193"/>
      <c r="D186" s="195" t="s">
        <v>966</v>
      </c>
      <c r="E186" s="196" t="s">
        <v>965</v>
      </c>
      <c r="F186" s="197">
        <f>D187</f>
        <v>4.7</v>
      </c>
      <c r="G186" s="198"/>
    </row>
    <row r="187" spans="1:7" ht="24" customHeight="1">
      <c r="A187" s="193"/>
      <c r="B187" s="194"/>
      <c r="C187" s="193"/>
      <c r="D187" s="195">
        <f>D185</f>
        <v>4.7</v>
      </c>
      <c r="E187" s="196"/>
      <c r="F187" s="197"/>
      <c r="G187" s="198"/>
    </row>
    <row r="188" spans="1:7" ht="24" customHeight="1">
      <c r="A188" s="82"/>
      <c r="B188" s="83"/>
      <c r="C188" s="82"/>
      <c r="D188" s="84"/>
      <c r="E188" s="85"/>
      <c r="F188" s="86"/>
      <c r="G188" s="108"/>
    </row>
    <row r="189" spans="1:7" ht="24" customHeight="1">
      <c r="A189" s="109">
        <f>A174+1</f>
        <v>15</v>
      </c>
      <c r="B189" s="116" t="str">
        <f>'수량(외부)'!B63</f>
        <v>시스템 프로젝트창호</v>
      </c>
      <c r="C189" s="116" t="str">
        <f>'수량(외부)'!C63</f>
        <v>865*925 AL, T24 로이투명</v>
      </c>
      <c r="D189" s="112"/>
      <c r="E189" s="113" t="str">
        <f>'수량(외부)'!D63</f>
        <v>EA</v>
      </c>
      <c r="F189" s="115">
        <v>1</v>
      </c>
      <c r="G189" s="199">
        <f>'수량(외부)'!G63</f>
        <v>0.80012499999999998</v>
      </c>
    </row>
    <row r="190" spans="1:7" ht="24" customHeight="1">
      <c r="A190" s="110"/>
      <c r="B190" s="80"/>
      <c r="C190" s="79"/>
      <c r="D190" s="76"/>
      <c r="E190" s="77"/>
      <c r="F190" s="78"/>
      <c r="G190" s="106"/>
    </row>
    <row r="191" spans="1:7" ht="24" customHeight="1">
      <c r="A191" s="79">
        <v>1</v>
      </c>
      <c r="B191" s="80" t="str">
        <f>B189</f>
        <v>시스템 프로젝트창호</v>
      </c>
      <c r="C191" s="79" t="str">
        <f>C189</f>
        <v>865*925 AL, T24 로이투명</v>
      </c>
      <c r="D191" s="76" t="s">
        <v>952</v>
      </c>
      <c r="E191" s="77" t="s">
        <v>156</v>
      </c>
      <c r="F191" s="81">
        <f>D192</f>
        <v>1</v>
      </c>
      <c r="G191" s="107"/>
    </row>
    <row r="192" spans="1:7" ht="24" customHeight="1">
      <c r="A192" s="79"/>
      <c r="B192" s="80"/>
      <c r="C192" s="79"/>
      <c r="D192" s="76">
        <v>1</v>
      </c>
      <c r="E192" s="77"/>
      <c r="F192" s="81"/>
      <c r="G192" s="107"/>
    </row>
    <row r="193" spans="1:7" ht="24" customHeight="1">
      <c r="A193" s="193">
        <v>2</v>
      </c>
      <c r="B193" s="194" t="s">
        <v>953</v>
      </c>
      <c r="C193" s="193" t="s">
        <v>969</v>
      </c>
      <c r="D193" s="195" t="s">
        <v>955</v>
      </c>
      <c r="E193" s="196" t="s">
        <v>956</v>
      </c>
      <c r="F193" s="197">
        <f>D194</f>
        <v>0.80012499999999998</v>
      </c>
      <c r="G193" s="198"/>
    </row>
    <row r="194" spans="1:7" ht="24" customHeight="1">
      <c r="A194" s="193"/>
      <c r="B194" s="194"/>
      <c r="C194" s="193"/>
      <c r="D194" s="195">
        <f>G189</f>
        <v>0.80012499999999998</v>
      </c>
      <c r="E194" s="196"/>
      <c r="F194" s="197"/>
      <c r="G194" s="198"/>
    </row>
    <row r="195" spans="1:7" ht="24" customHeight="1">
      <c r="A195" s="193">
        <v>3</v>
      </c>
      <c r="B195" s="194" t="s">
        <v>957</v>
      </c>
      <c r="C195" s="193" t="s">
        <v>958</v>
      </c>
      <c r="D195" s="195" t="s">
        <v>955</v>
      </c>
      <c r="E195" s="196" t="s">
        <v>956</v>
      </c>
      <c r="F195" s="197">
        <f>D196</f>
        <v>0.80012499999999998</v>
      </c>
      <c r="G195" s="198"/>
    </row>
    <row r="196" spans="1:7" ht="24" customHeight="1">
      <c r="A196" s="193"/>
      <c r="B196" s="194"/>
      <c r="C196" s="193"/>
      <c r="D196" s="195">
        <f>D194</f>
        <v>0.80012499999999998</v>
      </c>
      <c r="E196" s="196"/>
      <c r="F196" s="197"/>
      <c r="G196" s="198"/>
    </row>
    <row r="197" spans="1:7" ht="24" customHeight="1">
      <c r="A197" s="193">
        <v>4</v>
      </c>
      <c r="B197" s="194" t="s">
        <v>971</v>
      </c>
      <c r="C197" s="193" t="s">
        <v>962</v>
      </c>
      <c r="D197" s="195" t="s">
        <v>959</v>
      </c>
      <c r="E197" s="196" t="s">
        <v>960</v>
      </c>
      <c r="F197" s="197">
        <f>D198</f>
        <v>1</v>
      </c>
      <c r="G197" s="198"/>
    </row>
    <row r="198" spans="1:7" ht="24" customHeight="1">
      <c r="A198" s="193"/>
      <c r="B198" s="194"/>
      <c r="C198" s="193"/>
      <c r="D198" s="195">
        <v>1</v>
      </c>
      <c r="E198" s="196"/>
      <c r="F198" s="197"/>
      <c r="G198" s="198"/>
    </row>
    <row r="199" spans="1:7" ht="24" customHeight="1">
      <c r="A199" s="193">
        <v>5</v>
      </c>
      <c r="B199" s="194" t="s">
        <v>963</v>
      </c>
      <c r="C199" s="193" t="s">
        <v>964</v>
      </c>
      <c r="D199" s="195" t="s">
        <v>966</v>
      </c>
      <c r="E199" s="196" t="s">
        <v>965</v>
      </c>
      <c r="F199" s="197">
        <f>D200</f>
        <v>7.16</v>
      </c>
      <c r="G199" s="198"/>
    </row>
    <row r="200" spans="1:7" ht="24" customHeight="1">
      <c r="A200" s="193"/>
      <c r="B200" s="194"/>
      <c r="C200" s="193"/>
      <c r="D200" s="195">
        <f>'수량(외부)'!$H$63*2</f>
        <v>7.16</v>
      </c>
      <c r="E200" s="196"/>
      <c r="F200" s="197"/>
      <c r="G200" s="198"/>
    </row>
    <row r="201" spans="1:7" ht="24" customHeight="1">
      <c r="A201" s="193">
        <f>A199+1</f>
        <v>6</v>
      </c>
      <c r="B201" s="194" t="s">
        <v>972</v>
      </c>
      <c r="C201" s="193"/>
      <c r="D201" s="195" t="s">
        <v>966</v>
      </c>
      <c r="E201" s="196" t="s">
        <v>965</v>
      </c>
      <c r="F201" s="197">
        <f>D202</f>
        <v>7.16</v>
      </c>
      <c r="G201" s="198"/>
    </row>
    <row r="202" spans="1:7" ht="24" customHeight="1">
      <c r="A202" s="193"/>
      <c r="B202" s="194"/>
      <c r="C202" s="193"/>
      <c r="D202" s="195">
        <f>D200</f>
        <v>7.16</v>
      </c>
      <c r="E202" s="196"/>
      <c r="F202" s="197"/>
      <c r="G202" s="198"/>
    </row>
    <row r="203" spans="1:7" ht="24" customHeight="1">
      <c r="A203" s="82"/>
      <c r="B203" s="83"/>
      <c r="C203" s="82"/>
      <c r="D203" s="84"/>
      <c r="E203" s="85"/>
      <c r="F203" s="86"/>
      <c r="G203" s="108"/>
    </row>
    <row r="204" spans="1:7" ht="24" customHeight="1">
      <c r="A204" s="109">
        <f>A189+1</f>
        <v>16</v>
      </c>
      <c r="B204" s="116" t="str">
        <f>'수량(외부)'!B64</f>
        <v>시스템 프로젝트창호</v>
      </c>
      <c r="C204" s="116" t="str">
        <f>'수량(외부)'!C64</f>
        <v>810*840 AL, T24 로이투명</v>
      </c>
      <c r="D204" s="112"/>
      <c r="E204" s="113" t="str">
        <f>'수량(외부)'!D64</f>
        <v>EA</v>
      </c>
      <c r="F204" s="115">
        <v>1</v>
      </c>
      <c r="G204" s="199">
        <f>'수량(외부)'!G64</f>
        <v>0.68040000000000012</v>
      </c>
    </row>
    <row r="205" spans="1:7" ht="24" customHeight="1">
      <c r="A205" s="110"/>
      <c r="B205" s="80"/>
      <c r="C205" s="79"/>
      <c r="D205" s="76"/>
      <c r="E205" s="77"/>
      <c r="F205" s="78"/>
      <c r="G205" s="106"/>
    </row>
    <row r="206" spans="1:7" ht="24" customHeight="1">
      <c r="A206" s="79">
        <v>1</v>
      </c>
      <c r="B206" s="80" t="str">
        <f>B204</f>
        <v>시스템 프로젝트창호</v>
      </c>
      <c r="C206" s="79" t="str">
        <f>C204</f>
        <v>810*840 AL, T24 로이투명</v>
      </c>
      <c r="D206" s="76" t="s">
        <v>952</v>
      </c>
      <c r="E206" s="77" t="s">
        <v>156</v>
      </c>
      <c r="F206" s="81">
        <f>D207</f>
        <v>1</v>
      </c>
      <c r="G206" s="107"/>
    </row>
    <row r="207" spans="1:7" ht="24" customHeight="1">
      <c r="A207" s="79"/>
      <c r="B207" s="80"/>
      <c r="C207" s="79"/>
      <c r="D207" s="76">
        <v>1</v>
      </c>
      <c r="E207" s="77"/>
      <c r="F207" s="81"/>
      <c r="G207" s="107"/>
    </row>
    <row r="208" spans="1:7" ht="24" customHeight="1">
      <c r="A208" s="193">
        <v>2</v>
      </c>
      <c r="B208" s="194" t="s">
        <v>953</v>
      </c>
      <c r="C208" s="193" t="s">
        <v>969</v>
      </c>
      <c r="D208" s="195" t="s">
        <v>955</v>
      </c>
      <c r="E208" s="196" t="s">
        <v>956</v>
      </c>
      <c r="F208" s="197">
        <f>D209</f>
        <v>0.68040000000000012</v>
      </c>
      <c r="G208" s="198"/>
    </row>
    <row r="209" spans="1:7" ht="24" customHeight="1">
      <c r="A209" s="193"/>
      <c r="B209" s="194"/>
      <c r="C209" s="193"/>
      <c r="D209" s="195">
        <f>G204</f>
        <v>0.68040000000000012</v>
      </c>
      <c r="E209" s="196"/>
      <c r="F209" s="197"/>
      <c r="G209" s="198"/>
    </row>
    <row r="210" spans="1:7" ht="24" customHeight="1">
      <c r="A210" s="193">
        <v>3</v>
      </c>
      <c r="B210" s="194" t="s">
        <v>957</v>
      </c>
      <c r="C210" s="193" t="s">
        <v>958</v>
      </c>
      <c r="D210" s="195" t="s">
        <v>955</v>
      </c>
      <c r="E210" s="196" t="s">
        <v>956</v>
      </c>
      <c r="F210" s="197">
        <f>D211</f>
        <v>0.68040000000000012</v>
      </c>
      <c r="G210" s="198"/>
    </row>
    <row r="211" spans="1:7" ht="24" customHeight="1">
      <c r="A211" s="193"/>
      <c r="B211" s="194"/>
      <c r="C211" s="193"/>
      <c r="D211" s="195">
        <f>D209</f>
        <v>0.68040000000000012</v>
      </c>
      <c r="E211" s="196"/>
      <c r="F211" s="197"/>
      <c r="G211" s="198"/>
    </row>
    <row r="212" spans="1:7" ht="24" customHeight="1">
      <c r="A212" s="193">
        <v>4</v>
      </c>
      <c r="B212" s="194" t="s">
        <v>971</v>
      </c>
      <c r="C212" s="193" t="s">
        <v>962</v>
      </c>
      <c r="D212" s="195" t="s">
        <v>959</v>
      </c>
      <c r="E212" s="196" t="s">
        <v>960</v>
      </c>
      <c r="F212" s="197">
        <f>D213</f>
        <v>1</v>
      </c>
      <c r="G212" s="198"/>
    </row>
    <row r="213" spans="1:7" ht="24" customHeight="1">
      <c r="A213" s="193"/>
      <c r="B213" s="194"/>
      <c r="C213" s="193"/>
      <c r="D213" s="195">
        <v>1</v>
      </c>
      <c r="E213" s="196"/>
      <c r="F213" s="197"/>
      <c r="G213" s="198"/>
    </row>
    <row r="214" spans="1:7" ht="24" customHeight="1">
      <c r="A214" s="193">
        <v>5</v>
      </c>
      <c r="B214" s="194" t="s">
        <v>963</v>
      </c>
      <c r="C214" s="193" t="s">
        <v>964</v>
      </c>
      <c r="D214" s="195" t="s">
        <v>966</v>
      </c>
      <c r="E214" s="196" t="s">
        <v>965</v>
      </c>
      <c r="F214" s="197">
        <f>D215</f>
        <v>6.6</v>
      </c>
      <c r="G214" s="198"/>
    </row>
    <row r="215" spans="1:7" ht="24" customHeight="1">
      <c r="A215" s="193"/>
      <c r="B215" s="194"/>
      <c r="C215" s="193"/>
      <c r="D215" s="195">
        <f>'수량(외부)'!$H$64*2</f>
        <v>6.6</v>
      </c>
      <c r="E215" s="196"/>
      <c r="F215" s="197"/>
      <c r="G215" s="198"/>
    </row>
    <row r="216" spans="1:7" ht="24" customHeight="1">
      <c r="A216" s="193">
        <f>A214+1</f>
        <v>6</v>
      </c>
      <c r="B216" s="194" t="s">
        <v>972</v>
      </c>
      <c r="C216" s="193"/>
      <c r="D216" s="195" t="s">
        <v>966</v>
      </c>
      <c r="E216" s="196" t="s">
        <v>965</v>
      </c>
      <c r="F216" s="197">
        <f>D217</f>
        <v>6.6</v>
      </c>
      <c r="G216" s="198"/>
    </row>
    <row r="217" spans="1:7" ht="24" customHeight="1">
      <c r="A217" s="193"/>
      <c r="B217" s="194"/>
      <c r="C217" s="193"/>
      <c r="D217" s="195">
        <f>D215</f>
        <v>6.6</v>
      </c>
      <c r="E217" s="196"/>
      <c r="F217" s="197"/>
      <c r="G217" s="198"/>
    </row>
    <row r="218" spans="1:7" ht="24" customHeight="1">
      <c r="A218" s="82"/>
      <c r="B218" s="83"/>
      <c r="C218" s="82"/>
      <c r="D218" s="84"/>
      <c r="E218" s="85"/>
      <c r="F218" s="86"/>
      <c r="G218" s="108"/>
    </row>
    <row r="219" spans="1:7" ht="24" customHeight="1">
      <c r="A219" s="109">
        <f>A204+1</f>
        <v>17</v>
      </c>
      <c r="B219" s="116" t="str">
        <f>'수량(외부)'!B65</f>
        <v>프레임리스 폴딩도어</v>
      </c>
      <c r="C219" s="116" t="str">
        <f>'수량(외부)'!C65</f>
        <v>3845*H2330 상부고정창 T24 로이투명</v>
      </c>
      <c r="D219" s="112"/>
      <c r="E219" s="113" t="str">
        <f>'수량(외부)'!D65</f>
        <v>EA</v>
      </c>
      <c r="F219" s="115">
        <v>1</v>
      </c>
      <c r="G219" s="199">
        <f>'수량(외부)'!G65</f>
        <v>8.95885</v>
      </c>
    </row>
    <row r="220" spans="1:7" ht="24" customHeight="1">
      <c r="A220" s="110"/>
      <c r="B220" s="80"/>
      <c r="C220" s="79"/>
      <c r="D220" s="76"/>
      <c r="E220" s="77"/>
      <c r="F220" s="78"/>
      <c r="G220" s="106"/>
    </row>
    <row r="221" spans="1:7" ht="24" customHeight="1">
      <c r="A221" s="79">
        <v>1</v>
      </c>
      <c r="B221" s="80" t="s">
        <v>973</v>
      </c>
      <c r="C221" s="79" t="s">
        <v>974</v>
      </c>
      <c r="D221" s="76" t="s">
        <v>975</v>
      </c>
      <c r="E221" s="77" t="s">
        <v>375</v>
      </c>
      <c r="F221" s="81">
        <f>D222</f>
        <v>27.73</v>
      </c>
      <c r="G221" s="107">
        <v>2.62</v>
      </c>
    </row>
    <row r="222" spans="1:7" ht="24" customHeight="1">
      <c r="A222" s="79"/>
      <c r="B222" s="80"/>
      <c r="C222" s="79"/>
      <c r="D222" s="76">
        <f>3.845*6+2.33*2</f>
        <v>27.73</v>
      </c>
      <c r="E222" s="77"/>
      <c r="F222" s="81"/>
      <c r="G222" s="107"/>
    </row>
    <row r="223" spans="1:7" ht="24" customHeight="1">
      <c r="A223" s="193">
        <v>2</v>
      </c>
      <c r="B223" s="194" t="s">
        <v>976</v>
      </c>
      <c r="C223" s="193" t="s">
        <v>977</v>
      </c>
      <c r="D223" s="195" t="s">
        <v>978</v>
      </c>
      <c r="E223" s="196" t="s">
        <v>990</v>
      </c>
      <c r="F223" s="201">
        <f>D224/1000</f>
        <v>7.2652600000000012E-2</v>
      </c>
      <c r="G223" s="198"/>
    </row>
    <row r="224" spans="1:7" ht="24" customHeight="1">
      <c r="A224" s="193"/>
      <c r="B224" s="194"/>
      <c r="C224" s="193"/>
      <c r="D224" s="195">
        <f>F221*G221</f>
        <v>72.652600000000007</v>
      </c>
      <c r="E224" s="196"/>
      <c r="F224" s="197"/>
      <c r="G224" s="198"/>
    </row>
    <row r="225" spans="1:7" ht="24" customHeight="1">
      <c r="A225" s="193">
        <v>3</v>
      </c>
      <c r="B225" s="194" t="s">
        <v>979</v>
      </c>
      <c r="C225" s="193" t="s">
        <v>991</v>
      </c>
      <c r="D225" s="195" t="s">
        <v>980</v>
      </c>
      <c r="E225" s="196" t="s">
        <v>965</v>
      </c>
      <c r="F225" s="197">
        <f>D226</f>
        <v>7.69</v>
      </c>
      <c r="G225" s="198"/>
    </row>
    <row r="226" spans="1:7" ht="24" customHeight="1">
      <c r="A226" s="193"/>
      <c r="B226" s="194"/>
      <c r="C226" s="193"/>
      <c r="D226" s="195">
        <f>3.845*2</f>
        <v>7.69</v>
      </c>
      <c r="E226" s="196"/>
      <c r="F226" s="197"/>
      <c r="G226" s="198"/>
    </row>
    <row r="227" spans="1:7" ht="24" customHeight="1">
      <c r="A227" s="193">
        <v>4</v>
      </c>
      <c r="B227" s="194" t="s">
        <v>981</v>
      </c>
      <c r="C227" s="193" t="s">
        <v>982</v>
      </c>
      <c r="D227" s="195" t="s">
        <v>983</v>
      </c>
      <c r="E227" s="196" t="s">
        <v>960</v>
      </c>
      <c r="F227" s="197">
        <f>D228</f>
        <v>16</v>
      </c>
      <c r="G227" s="198"/>
    </row>
    <row r="228" spans="1:7" ht="24" customHeight="1">
      <c r="A228" s="193"/>
      <c r="B228" s="194"/>
      <c r="C228" s="193"/>
      <c r="D228" s="195">
        <f>8*2</f>
        <v>16</v>
      </c>
      <c r="E228" s="196"/>
      <c r="F228" s="197"/>
      <c r="G228" s="198"/>
    </row>
    <row r="229" spans="1:7" ht="24" customHeight="1">
      <c r="A229" s="193">
        <v>5</v>
      </c>
      <c r="B229" s="194" t="s">
        <v>953</v>
      </c>
      <c r="C229" s="193" t="s">
        <v>984</v>
      </c>
      <c r="D229" s="195" t="s">
        <v>985</v>
      </c>
      <c r="E229" s="196" t="s">
        <v>956</v>
      </c>
      <c r="F229" s="197">
        <f>D230</f>
        <v>8.95885</v>
      </c>
      <c r="G229" s="198"/>
    </row>
    <row r="230" spans="1:7" ht="24" customHeight="1">
      <c r="A230" s="193"/>
      <c r="B230" s="194"/>
      <c r="C230" s="193"/>
      <c r="D230" s="195">
        <f>3.845*2.33</f>
        <v>8.95885</v>
      </c>
      <c r="E230" s="196"/>
      <c r="F230" s="197"/>
      <c r="G230" s="198"/>
    </row>
    <row r="231" spans="1:7" ht="24" customHeight="1">
      <c r="A231" s="193">
        <f>A229+1</f>
        <v>6</v>
      </c>
      <c r="B231" s="194" t="s">
        <v>957</v>
      </c>
      <c r="C231" s="193" t="s">
        <v>958</v>
      </c>
      <c r="D231" s="195" t="s">
        <v>955</v>
      </c>
      <c r="E231" s="196" t="s">
        <v>956</v>
      </c>
      <c r="F231" s="197">
        <f>D232</f>
        <v>8.95885</v>
      </c>
      <c r="G231" s="198"/>
    </row>
    <row r="232" spans="1:7" ht="24" customHeight="1">
      <c r="A232" s="193"/>
      <c r="B232" s="194"/>
      <c r="C232" s="193"/>
      <c r="D232" s="195">
        <f>D230</f>
        <v>8.95885</v>
      </c>
      <c r="E232" s="196"/>
      <c r="F232" s="197"/>
      <c r="G232" s="198"/>
    </row>
    <row r="233" spans="1:7" ht="24" customHeight="1">
      <c r="A233" s="193">
        <v>7</v>
      </c>
      <c r="B233" s="194" t="s">
        <v>986</v>
      </c>
      <c r="C233" s="193" t="s">
        <v>964</v>
      </c>
      <c r="D233" s="195" t="s">
        <v>992</v>
      </c>
      <c r="E233" s="196" t="s">
        <v>965</v>
      </c>
      <c r="F233" s="197">
        <f>D234</f>
        <v>80.16</v>
      </c>
      <c r="G233" s="198"/>
    </row>
    <row r="234" spans="1:7" ht="24" customHeight="1">
      <c r="A234" s="193"/>
      <c r="B234" s="194"/>
      <c r="C234" s="193"/>
      <c r="D234" s="195">
        <f>3.845*2*8+2.33*4*2</f>
        <v>80.16</v>
      </c>
      <c r="E234" s="196"/>
      <c r="F234" s="197"/>
      <c r="G234" s="198"/>
    </row>
    <row r="235" spans="1:7" ht="24" customHeight="1">
      <c r="A235" s="193">
        <v>8</v>
      </c>
      <c r="B235" s="194" t="s">
        <v>987</v>
      </c>
      <c r="C235" s="193" t="s">
        <v>993</v>
      </c>
      <c r="D235" s="195" t="s">
        <v>959</v>
      </c>
      <c r="E235" s="196" t="s">
        <v>960</v>
      </c>
      <c r="F235" s="197">
        <f>D236</f>
        <v>1</v>
      </c>
      <c r="G235" s="198"/>
    </row>
    <row r="236" spans="1:7" ht="24" customHeight="1">
      <c r="A236" s="193"/>
      <c r="B236" s="194"/>
      <c r="C236" s="193"/>
      <c r="D236" s="195">
        <v>1</v>
      </c>
      <c r="E236" s="196"/>
      <c r="F236" s="197"/>
      <c r="G236" s="198"/>
    </row>
    <row r="237" spans="1:7" ht="24" customHeight="1">
      <c r="A237" s="193">
        <v>9</v>
      </c>
      <c r="B237" s="194" t="s">
        <v>988</v>
      </c>
      <c r="C237" s="193" t="s">
        <v>962</v>
      </c>
      <c r="D237" s="195" t="s">
        <v>989</v>
      </c>
      <c r="E237" s="196" t="s">
        <v>960</v>
      </c>
      <c r="F237" s="197">
        <f>D238</f>
        <v>8</v>
      </c>
      <c r="G237" s="198"/>
    </row>
    <row r="238" spans="1:7" ht="24" customHeight="1">
      <c r="A238" s="193"/>
      <c r="B238" s="194"/>
      <c r="C238" s="193"/>
      <c r="D238" s="195">
        <v>8</v>
      </c>
      <c r="E238" s="196"/>
      <c r="F238" s="197"/>
      <c r="G238" s="198"/>
    </row>
    <row r="239" spans="1:7" ht="24" customHeight="1">
      <c r="A239" s="193">
        <f>A237+1</f>
        <v>10</v>
      </c>
      <c r="B239" s="194" t="s">
        <v>972</v>
      </c>
      <c r="C239" s="193"/>
      <c r="D239" s="195" t="s">
        <v>994</v>
      </c>
      <c r="E239" s="196" t="s">
        <v>965</v>
      </c>
      <c r="F239" s="197">
        <f>D240</f>
        <v>12.350000000000001</v>
      </c>
      <c r="G239" s="198"/>
    </row>
    <row r="240" spans="1:7" ht="24" customHeight="1">
      <c r="A240" s="193"/>
      <c r="B240" s="194"/>
      <c r="C240" s="193"/>
      <c r="D240" s="195">
        <f>3.845*2+2.33*2</f>
        <v>12.350000000000001</v>
      </c>
      <c r="E240" s="196"/>
      <c r="F240" s="197"/>
      <c r="G240" s="198"/>
    </row>
    <row r="241" spans="1:7" ht="24" customHeight="1">
      <c r="A241" s="82"/>
      <c r="B241" s="83"/>
      <c r="C241" s="82"/>
      <c r="D241" s="84"/>
      <c r="E241" s="85"/>
      <c r="F241" s="86"/>
      <c r="G241" s="108"/>
    </row>
    <row r="242" spans="1:7" ht="24" customHeight="1">
      <c r="A242" s="109">
        <f>A219+1</f>
        <v>18</v>
      </c>
      <c r="B242" s="116" t="str">
        <f>'수량(외부)'!B66</f>
        <v>강화유리문도어</v>
      </c>
      <c r="C242" s="116" t="str">
        <f>'수량(외부)'!C66</f>
        <v>2475*H3280 상부고정창 T24로이투명 양개형</v>
      </c>
      <c r="D242" s="112"/>
      <c r="E242" s="113" t="str">
        <f>'수량(외부)'!D66</f>
        <v>EA</v>
      </c>
      <c r="F242" s="115">
        <v>1</v>
      </c>
      <c r="G242" s="199">
        <f>'수량(외부)'!G66</f>
        <v>8.1180000000000003</v>
      </c>
    </row>
    <row r="243" spans="1:7" ht="24" customHeight="1">
      <c r="A243" s="110"/>
      <c r="B243" s="80"/>
      <c r="C243" s="79"/>
      <c r="D243" s="76"/>
      <c r="E243" s="77"/>
      <c r="F243" s="78"/>
      <c r="G243" s="106"/>
    </row>
    <row r="244" spans="1:7" ht="24" customHeight="1">
      <c r="A244" s="193">
        <v>1</v>
      </c>
      <c r="B244" s="80" t="s">
        <v>973</v>
      </c>
      <c r="C244" s="79" t="s">
        <v>974</v>
      </c>
      <c r="D244" s="76" t="s">
        <v>995</v>
      </c>
      <c r="E244" s="77" t="s">
        <v>375</v>
      </c>
      <c r="F244" s="81">
        <f>D245</f>
        <v>21.975000000000001</v>
      </c>
      <c r="G244" s="107">
        <v>2.62</v>
      </c>
    </row>
    <row r="245" spans="1:7" ht="24" customHeight="1">
      <c r="A245" s="79"/>
      <c r="B245" s="80"/>
      <c r="C245" s="79"/>
      <c r="D245" s="76">
        <f>2.475*5+2.4*4</f>
        <v>21.975000000000001</v>
      </c>
      <c r="E245" s="77"/>
      <c r="F245" s="81"/>
      <c r="G245" s="107"/>
    </row>
    <row r="246" spans="1:7" ht="24" customHeight="1">
      <c r="A246" s="193">
        <f>A244+1</f>
        <v>2</v>
      </c>
      <c r="B246" s="194" t="s">
        <v>976</v>
      </c>
      <c r="C246" s="193" t="s">
        <v>977</v>
      </c>
      <c r="D246" s="195" t="s">
        <v>978</v>
      </c>
      <c r="E246" s="196" t="s">
        <v>990</v>
      </c>
      <c r="F246" s="201">
        <f>D247/1000</f>
        <v>5.7574500000000008E-2</v>
      </c>
      <c r="G246" s="198"/>
    </row>
    <row r="247" spans="1:7" ht="24" customHeight="1">
      <c r="A247" s="193"/>
      <c r="B247" s="194"/>
      <c r="C247" s="193"/>
      <c r="D247" s="195">
        <f>F244*G244</f>
        <v>57.574500000000008</v>
      </c>
      <c r="E247" s="196"/>
      <c r="F247" s="197"/>
      <c r="G247" s="198"/>
    </row>
    <row r="248" spans="1:7" ht="24" customHeight="1">
      <c r="A248" s="193">
        <f>A246+1</f>
        <v>3</v>
      </c>
      <c r="B248" s="194" t="s">
        <v>996</v>
      </c>
      <c r="C248" s="193" t="s">
        <v>1014</v>
      </c>
      <c r="D248" s="195" t="s">
        <v>997</v>
      </c>
      <c r="E248" s="196" t="s">
        <v>956</v>
      </c>
      <c r="F248" s="197">
        <f>D249</f>
        <v>4.95</v>
      </c>
      <c r="G248" s="198">
        <f>1*1*1.5*7.85</f>
        <v>11.774999999999999</v>
      </c>
    </row>
    <row r="249" spans="1:7" ht="24" customHeight="1">
      <c r="A249" s="193"/>
      <c r="B249" s="194"/>
      <c r="C249" s="193"/>
      <c r="D249" s="195">
        <f>1*2.475*2</f>
        <v>4.95</v>
      </c>
      <c r="E249" s="196"/>
      <c r="F249" s="197"/>
      <c r="G249" s="198"/>
    </row>
    <row r="250" spans="1:7" ht="24" customHeight="1">
      <c r="A250" s="193">
        <f>A248+1</f>
        <v>4</v>
      </c>
      <c r="B250" s="194" t="s">
        <v>999</v>
      </c>
      <c r="C250" s="193" t="s">
        <v>1000</v>
      </c>
      <c r="D250" s="195" t="s">
        <v>1001</v>
      </c>
      <c r="E250" s="196" t="s">
        <v>956</v>
      </c>
      <c r="F250" s="197">
        <f>D251/1</f>
        <v>4.95</v>
      </c>
      <c r="G250" s="198"/>
    </row>
    <row r="251" spans="1:7" ht="24" customHeight="1">
      <c r="A251" s="193"/>
      <c r="B251" s="194"/>
      <c r="C251" s="193"/>
      <c r="D251" s="195">
        <f>D249</f>
        <v>4.95</v>
      </c>
      <c r="E251" s="196"/>
      <c r="F251" s="197"/>
      <c r="G251" s="198"/>
    </row>
    <row r="252" spans="1:7" ht="24" customHeight="1">
      <c r="A252" s="193">
        <f>A250+1</f>
        <v>5</v>
      </c>
      <c r="B252" s="194" t="s">
        <v>976</v>
      </c>
      <c r="C252" s="193" t="s">
        <v>977</v>
      </c>
      <c r="D252" s="195" t="s">
        <v>998</v>
      </c>
      <c r="E252" s="196" t="s">
        <v>990</v>
      </c>
      <c r="F252" s="201">
        <f>D253/1000</f>
        <v>5.8286249999999998E-2</v>
      </c>
      <c r="G252" s="198"/>
    </row>
    <row r="253" spans="1:7" ht="24" customHeight="1">
      <c r="A253" s="193"/>
      <c r="B253" s="194"/>
      <c r="C253" s="193"/>
      <c r="D253" s="195">
        <f>D249*G248</f>
        <v>58.286249999999995</v>
      </c>
      <c r="E253" s="196"/>
      <c r="F253" s="197"/>
      <c r="G253" s="198"/>
    </row>
    <row r="254" spans="1:7" ht="24" customHeight="1">
      <c r="A254" s="193">
        <f>A252+1</f>
        <v>6</v>
      </c>
      <c r="B254" s="194" t="s">
        <v>1002</v>
      </c>
      <c r="C254" s="193" t="s">
        <v>1003</v>
      </c>
      <c r="D254" s="195" t="s">
        <v>1001</v>
      </c>
      <c r="E254" s="196" t="s">
        <v>956</v>
      </c>
      <c r="F254" s="197">
        <f>D255</f>
        <v>4.95</v>
      </c>
      <c r="G254" s="198"/>
    </row>
    <row r="255" spans="1:7" ht="24" customHeight="1">
      <c r="A255" s="193"/>
      <c r="B255" s="194"/>
      <c r="C255" s="193"/>
      <c r="D255" s="195">
        <f>D251</f>
        <v>4.95</v>
      </c>
      <c r="E255" s="196"/>
      <c r="F255" s="197"/>
      <c r="G255" s="198"/>
    </row>
    <row r="256" spans="1:7" ht="24" customHeight="1">
      <c r="A256" s="193">
        <f>A254+1</f>
        <v>7</v>
      </c>
      <c r="B256" s="194" t="s">
        <v>1004</v>
      </c>
      <c r="C256" s="193" t="s">
        <v>1005</v>
      </c>
      <c r="D256" s="195" t="s">
        <v>1001</v>
      </c>
      <c r="E256" s="196" t="s">
        <v>956</v>
      </c>
      <c r="F256" s="197">
        <f>D257</f>
        <v>4.95</v>
      </c>
      <c r="G256" s="198"/>
    </row>
    <row r="257" spans="1:7" ht="24" customHeight="1">
      <c r="A257" s="193"/>
      <c r="B257" s="194"/>
      <c r="C257" s="193"/>
      <c r="D257" s="195">
        <f>D255</f>
        <v>4.95</v>
      </c>
      <c r="E257" s="196"/>
      <c r="F257" s="197"/>
      <c r="G257" s="198"/>
    </row>
    <row r="258" spans="1:7" ht="24" customHeight="1">
      <c r="A258" s="193">
        <f>A256+1</f>
        <v>8</v>
      </c>
      <c r="B258" s="194" t="s">
        <v>953</v>
      </c>
      <c r="C258" s="193" t="s">
        <v>984</v>
      </c>
      <c r="D258" s="195" t="s">
        <v>1006</v>
      </c>
      <c r="E258" s="196" t="s">
        <v>956</v>
      </c>
      <c r="F258" s="197">
        <f>D259</f>
        <v>5.6429999999999998</v>
      </c>
      <c r="G258" s="198"/>
    </row>
    <row r="259" spans="1:7" ht="24" customHeight="1">
      <c r="A259" s="193"/>
      <c r="B259" s="194"/>
      <c r="C259" s="193"/>
      <c r="D259" s="195">
        <f>2.475*2.28</f>
        <v>5.6429999999999998</v>
      </c>
      <c r="E259" s="196"/>
      <c r="F259" s="197"/>
      <c r="G259" s="198"/>
    </row>
    <row r="260" spans="1:7" ht="24" customHeight="1">
      <c r="A260" s="193">
        <f>A258+1</f>
        <v>9</v>
      </c>
      <c r="B260" s="194" t="s">
        <v>957</v>
      </c>
      <c r="C260" s="193" t="s">
        <v>958</v>
      </c>
      <c r="D260" s="195" t="s">
        <v>955</v>
      </c>
      <c r="E260" s="196" t="s">
        <v>956</v>
      </c>
      <c r="F260" s="197">
        <f>D261</f>
        <v>5.6429999999999998</v>
      </c>
      <c r="G260" s="198"/>
    </row>
    <row r="261" spans="1:7" ht="24" customHeight="1">
      <c r="A261" s="193"/>
      <c r="B261" s="194"/>
      <c r="C261" s="193"/>
      <c r="D261" s="195">
        <f>D259</f>
        <v>5.6429999999999998</v>
      </c>
      <c r="E261" s="196"/>
      <c r="F261" s="197"/>
      <c r="G261" s="198"/>
    </row>
    <row r="262" spans="1:7" ht="24" customHeight="1">
      <c r="A262" s="193">
        <f>A260+1</f>
        <v>10</v>
      </c>
      <c r="B262" s="194" t="s">
        <v>986</v>
      </c>
      <c r="C262" s="193" t="s">
        <v>964</v>
      </c>
      <c r="D262" s="195" t="s">
        <v>1007</v>
      </c>
      <c r="E262" s="196" t="s">
        <v>965</v>
      </c>
      <c r="F262" s="197">
        <f>D263</f>
        <v>47.16</v>
      </c>
      <c r="G262" s="198"/>
    </row>
    <row r="263" spans="1:7" ht="24" customHeight="1">
      <c r="A263" s="193"/>
      <c r="B263" s="194"/>
      <c r="C263" s="193"/>
      <c r="D263" s="195">
        <f>(2.475*4+2.28*6)*2</f>
        <v>47.16</v>
      </c>
      <c r="E263" s="196"/>
      <c r="F263" s="197"/>
      <c r="G263" s="198"/>
    </row>
    <row r="264" spans="1:7" ht="24" customHeight="1">
      <c r="A264" s="193">
        <f>A262+1</f>
        <v>11</v>
      </c>
      <c r="B264" s="194" t="s">
        <v>987</v>
      </c>
      <c r="C264" s="193" t="s">
        <v>962</v>
      </c>
      <c r="D264" s="195" t="s">
        <v>1008</v>
      </c>
      <c r="E264" s="196" t="s">
        <v>960</v>
      </c>
      <c r="F264" s="197">
        <f>D265</f>
        <v>4</v>
      </c>
      <c r="G264" s="198"/>
    </row>
    <row r="265" spans="1:7" ht="24" customHeight="1">
      <c r="A265" s="193"/>
      <c r="B265" s="194"/>
      <c r="C265" s="193"/>
      <c r="D265" s="195">
        <v>4</v>
      </c>
      <c r="E265" s="196"/>
      <c r="F265" s="197"/>
      <c r="G265" s="198"/>
    </row>
    <row r="266" spans="1:7" ht="24" customHeight="1">
      <c r="A266" s="193">
        <f>A264+1</f>
        <v>12</v>
      </c>
      <c r="B266" s="194" t="s">
        <v>972</v>
      </c>
      <c r="C266" s="193"/>
      <c r="D266" s="195" t="s">
        <v>994</v>
      </c>
      <c r="E266" s="196" t="s">
        <v>965</v>
      </c>
      <c r="F266" s="197">
        <f>D267</f>
        <v>12.350000000000001</v>
      </c>
      <c r="G266" s="198"/>
    </row>
    <row r="267" spans="1:7" ht="24" customHeight="1">
      <c r="A267" s="193"/>
      <c r="B267" s="194"/>
      <c r="C267" s="193"/>
      <c r="D267" s="195">
        <f>3.845*2+2.33*2</f>
        <v>12.350000000000001</v>
      </c>
      <c r="E267" s="196"/>
      <c r="F267" s="197"/>
      <c r="G267" s="198"/>
    </row>
    <row r="268" spans="1:7" ht="24" customHeight="1">
      <c r="A268" s="193">
        <f>A266+1</f>
        <v>13</v>
      </c>
      <c r="B268" s="194" t="s">
        <v>1009</v>
      </c>
      <c r="C268" s="193" t="s">
        <v>1010</v>
      </c>
      <c r="D268" s="195" t="s">
        <v>1008</v>
      </c>
      <c r="E268" s="196" t="s">
        <v>960</v>
      </c>
      <c r="F268" s="197">
        <f>D269</f>
        <v>4</v>
      </c>
      <c r="G268" s="198"/>
    </row>
    <row r="269" spans="1:7" ht="24" customHeight="1">
      <c r="A269" s="193"/>
      <c r="B269" s="194"/>
      <c r="C269" s="193"/>
      <c r="D269" s="195">
        <v>4</v>
      </c>
      <c r="E269" s="196"/>
      <c r="F269" s="197"/>
      <c r="G269" s="198"/>
    </row>
    <row r="270" spans="1:7" ht="24" customHeight="1">
      <c r="A270" s="193">
        <f>A268+1</f>
        <v>14</v>
      </c>
      <c r="B270" s="194" t="s">
        <v>1011</v>
      </c>
      <c r="C270" s="193" t="s">
        <v>1012</v>
      </c>
      <c r="D270" s="195" t="s">
        <v>1013</v>
      </c>
      <c r="E270" s="196" t="s">
        <v>960</v>
      </c>
      <c r="F270" s="197">
        <f>D271</f>
        <v>2</v>
      </c>
      <c r="G270" s="198"/>
    </row>
    <row r="271" spans="1:7" ht="24" customHeight="1">
      <c r="A271" s="193"/>
      <c r="B271" s="194"/>
      <c r="C271" s="193"/>
      <c r="D271" s="195">
        <v>2</v>
      </c>
      <c r="E271" s="196"/>
      <c r="F271" s="197"/>
      <c r="G271" s="198"/>
    </row>
    <row r="272" spans="1:7" ht="24" customHeight="1">
      <c r="A272" s="82"/>
      <c r="B272" s="83"/>
      <c r="C272" s="82"/>
      <c r="D272" s="84"/>
      <c r="E272" s="85"/>
      <c r="F272" s="86"/>
      <c r="G272" s="108"/>
    </row>
    <row r="273" spans="1:7" ht="24" customHeight="1">
      <c r="A273" s="109">
        <f>A242+1</f>
        <v>19</v>
      </c>
      <c r="B273" s="116" t="str">
        <f>'수량(외부)'!B67</f>
        <v>강화유리문도어</v>
      </c>
      <c r="C273" s="116" t="str">
        <f>'수량(외부)'!C67</f>
        <v>920*H3280 상부고정창 T24로이투명 편개형</v>
      </c>
      <c r="D273" s="112"/>
      <c r="E273" s="113" t="str">
        <f>'수량(외부)'!D67</f>
        <v>EA</v>
      </c>
      <c r="F273" s="115">
        <v>1</v>
      </c>
      <c r="G273" s="199">
        <f>'수량(외부)'!G67</f>
        <v>3.0175999999999998</v>
      </c>
    </row>
    <row r="274" spans="1:7" ht="24" customHeight="1">
      <c r="A274" s="110"/>
      <c r="B274" s="80"/>
      <c r="C274" s="79"/>
      <c r="D274" s="76"/>
      <c r="E274" s="77"/>
      <c r="F274" s="78"/>
      <c r="G274" s="106"/>
    </row>
    <row r="275" spans="1:7" ht="24" customHeight="1">
      <c r="A275" s="193">
        <v>1</v>
      </c>
      <c r="B275" s="80" t="s">
        <v>973</v>
      </c>
      <c r="C275" s="79" t="s">
        <v>974</v>
      </c>
      <c r="D275" s="76" t="s">
        <v>1015</v>
      </c>
      <c r="E275" s="77" t="s">
        <v>375</v>
      </c>
      <c r="F275" s="81">
        <f>D276</f>
        <v>11.092000000000001</v>
      </c>
      <c r="G275" s="107">
        <v>2.62</v>
      </c>
    </row>
    <row r="276" spans="1:7" ht="24" customHeight="1">
      <c r="A276" s="79"/>
      <c r="B276" s="80"/>
      <c r="C276" s="79"/>
      <c r="D276" s="76">
        <f>3.706*2+0.92*4</f>
        <v>11.092000000000001</v>
      </c>
      <c r="E276" s="77"/>
      <c r="F276" s="81"/>
      <c r="G276" s="107"/>
    </row>
    <row r="277" spans="1:7" ht="24" customHeight="1">
      <c r="A277" s="193">
        <f>A275+1</f>
        <v>2</v>
      </c>
      <c r="B277" s="194" t="s">
        <v>976</v>
      </c>
      <c r="C277" s="193" t="s">
        <v>977</v>
      </c>
      <c r="D277" s="195" t="s">
        <v>978</v>
      </c>
      <c r="E277" s="196" t="s">
        <v>990</v>
      </c>
      <c r="F277" s="201">
        <f>D278/1000</f>
        <v>2.9061040000000003E-2</v>
      </c>
      <c r="G277" s="198"/>
    </row>
    <row r="278" spans="1:7" ht="24" customHeight="1">
      <c r="A278" s="193"/>
      <c r="B278" s="194"/>
      <c r="C278" s="193"/>
      <c r="D278" s="195">
        <f>F275*G275</f>
        <v>29.061040000000002</v>
      </c>
      <c r="E278" s="196"/>
      <c r="F278" s="197"/>
      <c r="G278" s="198"/>
    </row>
    <row r="279" spans="1:7" ht="24" customHeight="1">
      <c r="A279" s="193">
        <f>A277+1</f>
        <v>3</v>
      </c>
      <c r="B279" s="194" t="s">
        <v>953</v>
      </c>
      <c r="C279" s="193" t="s">
        <v>984</v>
      </c>
      <c r="D279" s="195" t="s">
        <v>1016</v>
      </c>
      <c r="E279" s="196" t="s">
        <v>956</v>
      </c>
      <c r="F279" s="197">
        <f>D280</f>
        <v>3.0175999999999998</v>
      </c>
      <c r="G279" s="198"/>
    </row>
    <row r="280" spans="1:7" ht="24" customHeight="1">
      <c r="A280" s="193"/>
      <c r="B280" s="194"/>
      <c r="C280" s="193"/>
      <c r="D280" s="195">
        <f>0.92*3.28</f>
        <v>3.0175999999999998</v>
      </c>
      <c r="E280" s="196"/>
      <c r="F280" s="197"/>
      <c r="G280" s="198"/>
    </row>
    <row r="281" spans="1:7" ht="24" customHeight="1">
      <c r="A281" s="193">
        <f>A279+1</f>
        <v>4</v>
      </c>
      <c r="B281" s="194" t="s">
        <v>957</v>
      </c>
      <c r="C281" s="193" t="s">
        <v>958</v>
      </c>
      <c r="D281" s="195" t="s">
        <v>955</v>
      </c>
      <c r="E281" s="196" t="s">
        <v>956</v>
      </c>
      <c r="F281" s="197">
        <f>D282</f>
        <v>3.0175999999999998</v>
      </c>
      <c r="G281" s="198"/>
    </row>
    <row r="282" spans="1:7" ht="24" customHeight="1">
      <c r="A282" s="193"/>
      <c r="B282" s="194"/>
      <c r="C282" s="193"/>
      <c r="D282" s="195">
        <f>D280</f>
        <v>3.0175999999999998</v>
      </c>
      <c r="E282" s="196"/>
      <c r="F282" s="197"/>
      <c r="G282" s="198"/>
    </row>
    <row r="283" spans="1:7" ht="24" customHeight="1">
      <c r="A283" s="193">
        <f>A281+1</f>
        <v>5</v>
      </c>
      <c r="B283" s="194" t="s">
        <v>986</v>
      </c>
      <c r="C283" s="193" t="s">
        <v>964</v>
      </c>
      <c r="D283" s="195" t="s">
        <v>1017</v>
      </c>
      <c r="E283" s="196" t="s">
        <v>965</v>
      </c>
      <c r="F283" s="197">
        <f>D284</f>
        <v>27.276160000000001</v>
      </c>
      <c r="G283" s="198"/>
    </row>
    <row r="284" spans="1:7" ht="24" customHeight="1">
      <c r="A284" s="193"/>
      <c r="B284" s="194"/>
      <c r="C284" s="193"/>
      <c r="D284" s="195">
        <f>(0.92*3.706*4)*2</f>
        <v>27.276160000000001</v>
      </c>
      <c r="E284" s="196"/>
      <c r="F284" s="197"/>
      <c r="G284" s="198"/>
    </row>
    <row r="285" spans="1:7" ht="24" customHeight="1">
      <c r="A285" s="193">
        <f>A283+1</f>
        <v>6</v>
      </c>
      <c r="B285" s="194" t="s">
        <v>987</v>
      </c>
      <c r="C285" s="193" t="s">
        <v>962</v>
      </c>
      <c r="D285" s="195" t="s">
        <v>959</v>
      </c>
      <c r="E285" s="196" t="s">
        <v>960</v>
      </c>
      <c r="F285" s="197">
        <f>D286</f>
        <v>1</v>
      </c>
      <c r="G285" s="198"/>
    </row>
    <row r="286" spans="1:7" ht="24" customHeight="1">
      <c r="A286" s="193"/>
      <c r="B286" s="194"/>
      <c r="C286" s="193"/>
      <c r="D286" s="195">
        <v>1</v>
      </c>
      <c r="E286" s="196"/>
      <c r="F286" s="197"/>
      <c r="G286" s="198"/>
    </row>
    <row r="287" spans="1:7" ht="24" customHeight="1">
      <c r="A287" s="193">
        <f>A285+1</f>
        <v>7</v>
      </c>
      <c r="B287" s="194" t="s">
        <v>987</v>
      </c>
      <c r="C287" s="193" t="s">
        <v>968</v>
      </c>
      <c r="D287" s="195" t="s">
        <v>959</v>
      </c>
      <c r="E287" s="196" t="s">
        <v>960</v>
      </c>
      <c r="F287" s="197">
        <f>D288</f>
        <v>1</v>
      </c>
      <c r="G287" s="198"/>
    </row>
    <row r="288" spans="1:7" ht="24" customHeight="1">
      <c r="A288" s="193"/>
      <c r="B288" s="194"/>
      <c r="C288" s="193"/>
      <c r="D288" s="195">
        <v>1</v>
      </c>
      <c r="E288" s="196"/>
      <c r="F288" s="197"/>
      <c r="G288" s="198"/>
    </row>
    <row r="289" spans="1:7" ht="24" customHeight="1">
      <c r="A289" s="193">
        <f>A287+1</f>
        <v>8</v>
      </c>
      <c r="B289" s="194" t="s">
        <v>972</v>
      </c>
      <c r="C289" s="193"/>
      <c r="D289" s="195" t="s">
        <v>994</v>
      </c>
      <c r="E289" s="196" t="s">
        <v>965</v>
      </c>
      <c r="F289" s="197">
        <f>D290</f>
        <v>9.2520000000000007</v>
      </c>
      <c r="G289" s="198"/>
    </row>
    <row r="290" spans="1:7" ht="24" customHeight="1">
      <c r="A290" s="193"/>
      <c r="B290" s="194"/>
      <c r="C290" s="193"/>
      <c r="D290" s="195">
        <f>3.706*2+0.92*2</f>
        <v>9.2520000000000007</v>
      </c>
      <c r="E290" s="196"/>
      <c r="F290" s="197"/>
      <c r="G290" s="198"/>
    </row>
    <row r="291" spans="1:7" ht="24" customHeight="1">
      <c r="A291" s="193">
        <f>A289+1</f>
        <v>9</v>
      </c>
      <c r="B291" s="194" t="s">
        <v>1009</v>
      </c>
      <c r="C291" s="193" t="s">
        <v>1010</v>
      </c>
      <c r="D291" s="195" t="s">
        <v>1013</v>
      </c>
      <c r="E291" s="196" t="s">
        <v>960</v>
      </c>
      <c r="F291" s="197">
        <f>D292</f>
        <v>2</v>
      </c>
      <c r="G291" s="198"/>
    </row>
    <row r="292" spans="1:7" ht="24" customHeight="1">
      <c r="A292" s="193"/>
      <c r="B292" s="194"/>
      <c r="C292" s="193"/>
      <c r="D292" s="195">
        <v>2</v>
      </c>
      <c r="E292" s="196"/>
      <c r="F292" s="197"/>
      <c r="G292" s="198"/>
    </row>
    <row r="293" spans="1:7" ht="24" customHeight="1">
      <c r="A293" s="193">
        <f>A291+1</f>
        <v>10</v>
      </c>
      <c r="B293" s="194" t="s">
        <v>1011</v>
      </c>
      <c r="C293" s="193" t="s">
        <v>1012</v>
      </c>
      <c r="D293" s="195" t="s">
        <v>959</v>
      </c>
      <c r="E293" s="196" t="s">
        <v>960</v>
      </c>
      <c r="F293" s="197">
        <f>D294</f>
        <v>1</v>
      </c>
      <c r="G293" s="198"/>
    </row>
    <row r="294" spans="1:7" ht="24" customHeight="1">
      <c r="A294" s="193"/>
      <c r="B294" s="194"/>
      <c r="C294" s="193"/>
      <c r="D294" s="195">
        <v>1</v>
      </c>
      <c r="E294" s="196"/>
      <c r="F294" s="197"/>
      <c r="G294" s="198"/>
    </row>
    <row r="295" spans="1:7" ht="24" customHeight="1">
      <c r="A295" s="82"/>
      <c r="B295" s="83"/>
      <c r="C295" s="82"/>
      <c r="D295" s="84"/>
      <c r="E295" s="85"/>
      <c r="F295" s="86"/>
      <c r="G295" s="108"/>
    </row>
  </sheetData>
  <autoFilter ref="A2:K337"/>
  <phoneticPr fontId="2" type="noConversion"/>
  <pageMargins left="0.70866141732283472" right="0.70866141732283472" top="0.74803149606299213" bottom="0.74803149606299213" header="0.31496062992125984" footer="0.31496062992125984"/>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H121"/>
  <sheetViews>
    <sheetView showGridLines="0" view="pageBreakPreview" zoomScale="85" zoomScaleNormal="70" zoomScaleSheetLayoutView="85" workbookViewId="0">
      <selection activeCell="DB71" sqref="DB71:DI73"/>
    </sheetView>
  </sheetViews>
  <sheetFormatPr defaultRowHeight="16.5"/>
  <cols>
    <col min="1" max="1" width="4.125"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2:164" s="119" customFormat="1" ht="23.25" customHeight="1">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c r="AG1" s="118"/>
      <c r="AH1" s="118"/>
      <c r="AI1" s="118"/>
      <c r="AJ1" s="118"/>
      <c r="AK1" s="118"/>
      <c r="AL1" s="118"/>
      <c r="AM1" s="118"/>
      <c r="AN1" s="118"/>
      <c r="AO1" s="118"/>
      <c r="AP1" s="118"/>
      <c r="AQ1" s="118"/>
      <c r="AR1" s="118"/>
      <c r="AS1" s="118"/>
      <c r="AT1" s="118"/>
      <c r="AU1" s="118"/>
      <c r="AV1" s="118"/>
      <c r="AW1" s="118"/>
      <c r="AX1" s="118"/>
      <c r="AY1" s="118"/>
      <c r="AZ1" s="118"/>
      <c r="BA1" s="118"/>
      <c r="BB1" s="118"/>
      <c r="BC1" s="118"/>
      <c r="BD1" s="118"/>
      <c r="BE1" s="118"/>
      <c r="BF1" s="118"/>
      <c r="BG1" s="118"/>
      <c r="BH1" s="118"/>
      <c r="BI1" s="118"/>
      <c r="BJ1" s="118"/>
      <c r="BK1" s="118"/>
      <c r="BL1" s="118"/>
      <c r="BM1" s="118"/>
      <c r="BN1" s="118"/>
      <c r="BO1" s="118"/>
      <c r="BP1" s="118"/>
      <c r="BQ1" s="118"/>
      <c r="BR1" s="118"/>
      <c r="BS1" s="118"/>
      <c r="BT1" s="118"/>
      <c r="BU1" s="118"/>
      <c r="BV1" s="118"/>
      <c r="BW1" s="118"/>
      <c r="BX1" s="118"/>
      <c r="BY1" s="118"/>
      <c r="BZ1" s="118"/>
      <c r="CA1" s="118"/>
      <c r="CB1" s="118"/>
      <c r="CC1" s="118"/>
      <c r="CD1" s="118"/>
      <c r="CE1" s="118"/>
      <c r="CF1" s="118"/>
      <c r="CG1" s="118"/>
      <c r="CH1" s="118"/>
      <c r="CI1" s="118"/>
      <c r="CJ1" s="118"/>
      <c r="CK1" s="118"/>
      <c r="CL1" s="118"/>
      <c r="CM1" s="118"/>
      <c r="CN1" s="118"/>
      <c r="CO1" s="118"/>
      <c r="CP1" s="118"/>
      <c r="CQ1" s="118"/>
      <c r="CR1" s="118"/>
      <c r="CS1" s="118"/>
      <c r="CT1" s="118"/>
      <c r="CU1" s="118"/>
      <c r="CV1" s="118"/>
      <c r="CW1" s="118"/>
      <c r="CX1" s="118"/>
      <c r="CY1" s="118"/>
      <c r="CZ1" s="118"/>
      <c r="DA1" s="118"/>
      <c r="DB1" s="118"/>
      <c r="DC1" s="118"/>
      <c r="DD1" s="118"/>
      <c r="DE1" s="118"/>
      <c r="DF1" s="118"/>
      <c r="DG1" s="118"/>
      <c r="DH1" s="118"/>
      <c r="DI1" s="118"/>
      <c r="DJ1" s="118"/>
      <c r="DK1" s="118"/>
      <c r="DL1" s="118"/>
      <c r="DM1" s="118"/>
      <c r="DN1" s="118"/>
      <c r="DO1" s="118"/>
      <c r="DP1" s="118"/>
      <c r="DQ1" s="118"/>
      <c r="DR1" s="118"/>
      <c r="DS1" s="118"/>
      <c r="DT1" s="118"/>
      <c r="DU1" s="118"/>
      <c r="DV1" s="118"/>
      <c r="DW1" s="118"/>
      <c r="DX1" s="118"/>
      <c r="DY1" s="118"/>
      <c r="DZ1" s="118"/>
      <c r="EA1" s="118"/>
      <c r="EB1" s="118"/>
      <c r="EC1" s="118"/>
      <c r="ED1" s="118"/>
      <c r="EE1" s="118"/>
      <c r="EF1" s="118"/>
      <c r="EG1" s="118"/>
      <c r="EH1" s="118"/>
      <c r="EI1" s="118"/>
      <c r="EJ1" s="118"/>
      <c r="EK1" s="118"/>
      <c r="EL1" s="118"/>
      <c r="EM1" s="118"/>
      <c r="EN1" s="118"/>
      <c r="EO1" s="118"/>
      <c r="EP1" s="118"/>
      <c r="EQ1" s="118"/>
      <c r="ER1" s="118"/>
      <c r="ES1" s="118"/>
      <c r="ET1" s="118"/>
      <c r="EU1" s="118"/>
      <c r="EV1" s="118"/>
      <c r="EW1" s="118"/>
      <c r="EX1" s="118"/>
      <c r="EY1" s="118"/>
      <c r="EZ1" s="118"/>
      <c r="FA1" s="118"/>
      <c r="FB1" s="118"/>
      <c r="FC1" s="118"/>
      <c r="FD1" s="118"/>
      <c r="FE1" s="118"/>
      <c r="FF1" s="118"/>
      <c r="FG1" s="118"/>
      <c r="FH1" s="118"/>
    </row>
    <row r="2" spans="2:164" s="119" customFormat="1" ht="62.25" customHeight="1" thickBot="1">
      <c r="B2" s="373" t="s">
        <v>350</v>
      </c>
      <c r="C2" s="373"/>
      <c r="D2" s="373"/>
      <c r="E2" s="373"/>
      <c r="F2" s="373"/>
      <c r="G2" s="373"/>
      <c r="H2" s="373"/>
      <c r="I2" s="373"/>
      <c r="J2" s="373"/>
      <c r="K2" s="373"/>
      <c r="L2" s="373"/>
      <c r="M2" s="373"/>
      <c r="N2" s="373"/>
      <c r="O2" s="373"/>
      <c r="P2" s="373"/>
      <c r="Q2" s="373"/>
      <c r="R2" s="373"/>
      <c r="S2" s="373"/>
      <c r="T2" s="373"/>
      <c r="U2" s="373"/>
      <c r="V2" s="373"/>
      <c r="W2" s="373"/>
      <c r="X2" s="373"/>
      <c r="Y2" s="373"/>
      <c r="Z2" s="373"/>
      <c r="AA2" s="373"/>
      <c r="AB2" s="373"/>
      <c r="AC2" s="373"/>
      <c r="AD2" s="373"/>
      <c r="AE2" s="373"/>
      <c r="AF2" s="373"/>
      <c r="AG2" s="373"/>
      <c r="AH2" s="373"/>
      <c r="AI2" s="373"/>
      <c r="AJ2" s="373"/>
      <c r="AK2" s="373"/>
      <c r="AL2" s="374" t="s">
        <v>164</v>
      </c>
      <c r="AM2" s="375"/>
      <c r="AN2" s="375"/>
      <c r="AO2" s="375"/>
      <c r="AP2" s="375"/>
      <c r="AQ2" s="375"/>
      <c r="AR2" s="375"/>
      <c r="AS2" s="375"/>
      <c r="AT2" s="375"/>
      <c r="AU2" s="375"/>
      <c r="AV2" s="375"/>
      <c r="AW2" s="375"/>
      <c r="AX2" s="375"/>
      <c r="AY2" s="375"/>
      <c r="AZ2" s="375"/>
      <c r="BA2" s="375"/>
      <c r="BB2" s="375"/>
      <c r="BC2" s="375"/>
      <c r="BD2" s="375"/>
      <c r="BE2" s="375"/>
      <c r="BF2" s="375"/>
      <c r="BG2" s="375"/>
      <c r="BH2" s="375"/>
      <c r="BI2" s="375"/>
      <c r="BJ2" s="375"/>
      <c r="BK2" s="375"/>
      <c r="BL2" s="375"/>
      <c r="BM2" s="375"/>
      <c r="BN2" s="375"/>
      <c r="BO2" s="375"/>
      <c r="BP2" s="375"/>
      <c r="BQ2" s="375"/>
      <c r="BR2" s="375"/>
      <c r="BS2" s="375"/>
      <c r="BT2" s="375"/>
      <c r="BU2" s="375"/>
      <c r="BV2" s="375"/>
      <c r="BW2" s="375"/>
      <c r="BX2" s="375"/>
      <c r="BY2" s="375"/>
      <c r="BZ2" s="375"/>
      <c r="CA2" s="375"/>
      <c r="CB2" s="375"/>
      <c r="CC2" s="375"/>
      <c r="CD2" s="375"/>
      <c r="CE2" s="375"/>
      <c r="CF2" s="375"/>
      <c r="CG2" s="375"/>
      <c r="CH2" s="375"/>
      <c r="CI2" s="375"/>
      <c r="CJ2" s="375"/>
      <c r="CK2" s="375"/>
      <c r="CL2" s="375"/>
      <c r="CM2" s="375"/>
      <c r="CN2" s="375"/>
      <c r="CO2" s="375"/>
      <c r="CP2" s="375"/>
      <c r="CQ2" s="375"/>
      <c r="CR2" s="375"/>
      <c r="CS2" s="375"/>
      <c r="CT2" s="375"/>
      <c r="CU2" s="375"/>
      <c r="CV2" s="375"/>
      <c r="CW2" s="375"/>
      <c r="CX2" s="375"/>
      <c r="CY2" s="375"/>
      <c r="CZ2" s="375"/>
      <c r="DA2" s="375"/>
      <c r="DB2" s="375"/>
      <c r="DC2" s="375"/>
      <c r="DD2" s="375"/>
      <c r="DE2" s="375"/>
      <c r="DF2" s="375"/>
      <c r="DG2" s="375"/>
      <c r="DH2" s="375"/>
      <c r="DI2" s="375"/>
      <c r="DJ2" s="375"/>
      <c r="DK2" s="375"/>
      <c r="DL2" s="375"/>
      <c r="DM2" s="375"/>
      <c r="DN2" s="375"/>
      <c r="DO2" s="375"/>
      <c r="DP2" s="375"/>
      <c r="DQ2" s="375"/>
      <c r="DR2" s="375"/>
      <c r="DS2" s="375"/>
      <c r="DT2" s="375"/>
      <c r="DU2" s="375"/>
      <c r="DV2" s="375"/>
      <c r="DW2" s="375"/>
      <c r="DX2" s="375"/>
      <c r="DY2" s="375"/>
      <c r="DZ2" s="375"/>
      <c r="EA2" s="120"/>
      <c r="EB2" s="120"/>
      <c r="EC2" s="120"/>
      <c r="ED2" s="120"/>
      <c r="EE2" s="120"/>
      <c r="EF2" s="120"/>
      <c r="EG2" s="120"/>
      <c r="EH2" s="120"/>
      <c r="EI2" s="120"/>
      <c r="EJ2" s="120"/>
      <c r="EK2" s="120"/>
      <c r="EL2" s="120"/>
      <c r="EM2" s="120"/>
      <c r="EN2" s="120"/>
      <c r="EO2" s="121"/>
      <c r="EP2" s="121"/>
      <c r="EQ2" s="121"/>
      <c r="ER2" s="121"/>
      <c r="ES2" s="121"/>
      <c r="ET2" s="121"/>
      <c r="EU2" s="121"/>
      <c r="EV2" s="121"/>
      <c r="EW2" s="121"/>
      <c r="EX2" s="121"/>
      <c r="EY2" s="121"/>
      <c r="EZ2" s="121"/>
      <c r="FA2" s="121"/>
      <c r="FB2" s="121"/>
      <c r="FC2" s="121"/>
      <c r="FD2" s="121"/>
      <c r="FE2" s="121"/>
      <c r="FF2" s="121"/>
      <c r="FG2" s="121"/>
      <c r="FH2" s="121"/>
    </row>
    <row r="3" spans="2:164" ht="8.65" customHeight="1" thickTop="1">
      <c r="B3" s="122"/>
      <c r="C3" s="123"/>
      <c r="D3" s="123"/>
      <c r="E3" s="123"/>
      <c r="F3" s="123"/>
      <c r="G3" s="123"/>
      <c r="H3" s="123"/>
      <c r="I3" s="123"/>
      <c r="J3" s="123"/>
      <c r="K3" s="123"/>
      <c r="L3" s="124"/>
      <c r="M3" s="125"/>
      <c r="N3" s="123"/>
      <c r="O3" s="123"/>
      <c r="P3" s="123"/>
      <c r="Q3" s="123"/>
      <c r="R3" s="123"/>
      <c r="S3" s="123"/>
      <c r="T3" s="123"/>
      <c r="U3" s="123"/>
      <c r="V3" s="123"/>
      <c r="W3" s="123"/>
      <c r="X3" s="123"/>
      <c r="Y3" s="123"/>
      <c r="Z3" s="123"/>
      <c r="AA3" s="123"/>
      <c r="AB3" s="124"/>
      <c r="AC3" s="376" t="s">
        <v>165</v>
      </c>
      <c r="AD3" s="377"/>
      <c r="AE3" s="377"/>
      <c r="AF3" s="377"/>
      <c r="AG3" s="377"/>
      <c r="AH3" s="377"/>
      <c r="AI3" s="377"/>
      <c r="AJ3" s="377"/>
      <c r="AK3" s="378"/>
      <c r="AL3" s="377" t="s">
        <v>166</v>
      </c>
      <c r="AM3" s="377"/>
      <c r="AN3" s="377"/>
      <c r="AO3" s="377"/>
      <c r="AP3" s="377"/>
      <c r="AQ3" s="377"/>
      <c r="AR3" s="377"/>
      <c r="AS3" s="377"/>
      <c r="AT3" s="382"/>
      <c r="AU3" s="122"/>
      <c r="AV3" s="123"/>
      <c r="AW3" s="123"/>
      <c r="AX3" s="123"/>
      <c r="AY3" s="123"/>
      <c r="AZ3" s="123"/>
      <c r="BA3" s="123"/>
      <c r="BB3" s="123"/>
      <c r="BC3" s="123"/>
      <c r="BD3" s="124"/>
      <c r="BE3" s="384" t="s">
        <v>167</v>
      </c>
      <c r="BF3" s="384"/>
      <c r="BG3" s="384"/>
      <c r="BH3" s="384"/>
      <c r="BI3" s="384"/>
      <c r="BJ3" s="384"/>
      <c r="BK3" s="384"/>
      <c r="BL3" s="384"/>
      <c r="BM3" s="384"/>
      <c r="BN3" s="384"/>
      <c r="BO3" s="384"/>
      <c r="BP3" s="384"/>
      <c r="BQ3" s="384"/>
      <c r="BR3" s="386" t="s">
        <v>168</v>
      </c>
      <c r="BS3" s="386"/>
      <c r="BT3" s="386"/>
      <c r="BU3" s="386"/>
      <c r="BV3" s="386"/>
      <c r="BW3" s="386"/>
      <c r="BX3" s="387"/>
      <c r="BY3" s="377" t="s">
        <v>169</v>
      </c>
      <c r="BZ3" s="377"/>
      <c r="CA3" s="377"/>
      <c r="CB3" s="377"/>
      <c r="CC3" s="377"/>
      <c r="CD3" s="377"/>
      <c r="CE3" s="377"/>
      <c r="CF3" s="377"/>
      <c r="CG3" s="377"/>
      <c r="CH3" s="377"/>
      <c r="CI3" s="377"/>
      <c r="CJ3" s="377"/>
      <c r="CK3" s="377"/>
      <c r="CL3" s="377"/>
      <c r="CM3" s="377"/>
      <c r="CN3" s="377"/>
      <c r="CO3" s="377"/>
      <c r="CP3" s="377"/>
      <c r="CQ3" s="377"/>
      <c r="CR3" s="377"/>
      <c r="CS3" s="377"/>
      <c r="CT3" s="377"/>
      <c r="CU3" s="377"/>
      <c r="CV3" s="377"/>
      <c r="CW3" s="377"/>
      <c r="CX3" s="377"/>
      <c r="CY3" s="377"/>
      <c r="CZ3" s="377"/>
      <c r="DA3" s="377"/>
      <c r="DB3" s="377"/>
      <c r="DC3" s="377"/>
      <c r="DD3" s="377"/>
      <c r="DE3" s="377"/>
      <c r="DF3" s="377"/>
      <c r="DG3" s="377"/>
      <c r="DH3" s="377"/>
      <c r="DI3" s="382"/>
      <c r="DJ3" s="390" t="s">
        <v>170</v>
      </c>
      <c r="DK3" s="377"/>
      <c r="DL3" s="377"/>
      <c r="DM3" s="377"/>
      <c r="DN3" s="377"/>
      <c r="DO3" s="377"/>
      <c r="DP3" s="377"/>
      <c r="DQ3" s="377"/>
      <c r="DR3" s="377"/>
      <c r="DS3" s="377"/>
      <c r="DT3" s="377"/>
      <c r="DU3" s="377"/>
      <c r="DV3" s="377"/>
      <c r="DW3" s="377"/>
      <c r="DX3" s="377"/>
      <c r="DY3" s="377"/>
      <c r="DZ3" s="377"/>
      <c r="EA3" s="377"/>
      <c r="EB3" s="377"/>
      <c r="EC3" s="377"/>
      <c r="ED3" s="377"/>
      <c r="EE3" s="377"/>
      <c r="EF3" s="377"/>
      <c r="EG3" s="377"/>
      <c r="EH3" s="377"/>
      <c r="EI3" s="377"/>
      <c r="EJ3" s="377"/>
      <c r="EK3" s="377"/>
      <c r="EL3" s="377"/>
      <c r="EM3" s="377"/>
      <c r="EN3" s="377"/>
      <c r="EO3" s="377"/>
      <c r="EP3" s="377"/>
      <c r="EQ3" s="377"/>
      <c r="ER3" s="377"/>
      <c r="ES3" s="377"/>
      <c r="ET3" s="377"/>
      <c r="EU3" s="377"/>
      <c r="EV3" s="377"/>
      <c r="EW3" s="377"/>
      <c r="EX3" s="377"/>
      <c r="EY3" s="377"/>
      <c r="EZ3" s="377"/>
      <c r="FA3" s="377"/>
      <c r="FB3" s="377"/>
      <c r="FC3" s="377"/>
      <c r="FD3" s="377"/>
      <c r="FE3" s="377"/>
      <c r="FF3" s="377"/>
      <c r="FG3" s="382"/>
    </row>
    <row r="4" spans="2:164" ht="8.65" customHeight="1">
      <c r="B4" s="126"/>
      <c r="C4" s="127"/>
      <c r="D4" s="127"/>
      <c r="E4" s="127"/>
      <c r="F4" s="127"/>
      <c r="G4" s="127"/>
      <c r="H4" s="127"/>
      <c r="I4" s="127"/>
      <c r="J4" s="127"/>
      <c r="K4" s="127"/>
      <c r="L4" s="128"/>
      <c r="M4" s="129"/>
      <c r="N4" s="127"/>
      <c r="O4" s="127"/>
      <c r="P4" s="127"/>
      <c r="Q4" s="127"/>
      <c r="R4" s="127"/>
      <c r="S4" s="127"/>
      <c r="T4" s="127"/>
      <c r="U4" s="127"/>
      <c r="V4" s="127"/>
      <c r="W4" s="127"/>
      <c r="X4" s="127"/>
      <c r="Y4" s="127"/>
      <c r="Z4" s="127"/>
      <c r="AA4" s="127"/>
      <c r="AB4" s="128"/>
      <c r="AC4" s="379"/>
      <c r="AD4" s="380"/>
      <c r="AE4" s="380"/>
      <c r="AF4" s="380"/>
      <c r="AG4" s="380"/>
      <c r="AH4" s="380"/>
      <c r="AI4" s="380"/>
      <c r="AJ4" s="380"/>
      <c r="AK4" s="381"/>
      <c r="AL4" s="380"/>
      <c r="AM4" s="380"/>
      <c r="AN4" s="380"/>
      <c r="AO4" s="380"/>
      <c r="AP4" s="380"/>
      <c r="AQ4" s="380"/>
      <c r="AR4" s="380"/>
      <c r="AS4" s="380"/>
      <c r="AT4" s="383"/>
      <c r="AU4" s="126"/>
      <c r="AV4" s="127"/>
      <c r="AW4" s="127"/>
      <c r="AX4" s="127"/>
      <c r="AY4" s="127"/>
      <c r="AZ4" s="127"/>
      <c r="BA4" s="127"/>
      <c r="BB4" s="127"/>
      <c r="BC4" s="127"/>
      <c r="BD4" s="128"/>
      <c r="BE4" s="385"/>
      <c r="BF4" s="385"/>
      <c r="BG4" s="385"/>
      <c r="BH4" s="385"/>
      <c r="BI4" s="385"/>
      <c r="BJ4" s="385"/>
      <c r="BK4" s="385"/>
      <c r="BL4" s="385"/>
      <c r="BM4" s="385"/>
      <c r="BN4" s="385"/>
      <c r="BO4" s="385"/>
      <c r="BP4" s="385"/>
      <c r="BQ4" s="385"/>
      <c r="BR4" s="388"/>
      <c r="BS4" s="388"/>
      <c r="BT4" s="388"/>
      <c r="BU4" s="388"/>
      <c r="BV4" s="388"/>
      <c r="BW4" s="388"/>
      <c r="BX4" s="389"/>
      <c r="BY4" s="380"/>
      <c r="BZ4" s="380"/>
      <c r="CA4" s="380"/>
      <c r="CB4" s="380"/>
      <c r="CC4" s="380"/>
      <c r="CD4" s="380"/>
      <c r="CE4" s="380"/>
      <c r="CF4" s="380"/>
      <c r="CG4" s="380"/>
      <c r="CH4" s="380"/>
      <c r="CI4" s="380"/>
      <c r="CJ4" s="380"/>
      <c r="CK4" s="380"/>
      <c r="CL4" s="380"/>
      <c r="CM4" s="380"/>
      <c r="CN4" s="380"/>
      <c r="CO4" s="380"/>
      <c r="CP4" s="380"/>
      <c r="CQ4" s="380"/>
      <c r="CR4" s="380"/>
      <c r="CS4" s="380"/>
      <c r="CT4" s="380"/>
      <c r="CU4" s="380"/>
      <c r="CV4" s="380"/>
      <c r="CW4" s="380"/>
      <c r="CX4" s="380"/>
      <c r="CY4" s="380"/>
      <c r="CZ4" s="380"/>
      <c r="DA4" s="380"/>
      <c r="DB4" s="380"/>
      <c r="DC4" s="380"/>
      <c r="DD4" s="380"/>
      <c r="DE4" s="380"/>
      <c r="DF4" s="380"/>
      <c r="DG4" s="380"/>
      <c r="DH4" s="380"/>
      <c r="DI4" s="383"/>
      <c r="DJ4" s="391"/>
      <c r="DK4" s="380"/>
      <c r="DL4" s="380"/>
      <c r="DM4" s="380"/>
      <c r="DN4" s="380"/>
      <c r="DO4" s="380"/>
      <c r="DP4" s="380"/>
      <c r="DQ4" s="380"/>
      <c r="DR4" s="380"/>
      <c r="DS4" s="380"/>
      <c r="DT4" s="380"/>
      <c r="DU4" s="380"/>
      <c r="DV4" s="380"/>
      <c r="DW4" s="380"/>
      <c r="DX4" s="380"/>
      <c r="DY4" s="380"/>
      <c r="DZ4" s="380"/>
      <c r="EA4" s="380"/>
      <c r="EB4" s="380"/>
      <c r="EC4" s="380"/>
      <c r="ED4" s="380"/>
      <c r="EE4" s="380"/>
      <c r="EF4" s="380"/>
      <c r="EG4" s="380"/>
      <c r="EH4" s="380"/>
      <c r="EI4" s="380"/>
      <c r="EJ4" s="380"/>
      <c r="EK4" s="380"/>
      <c r="EL4" s="380"/>
      <c r="EM4" s="380"/>
      <c r="EN4" s="380"/>
      <c r="EO4" s="380"/>
      <c r="EP4" s="380"/>
      <c r="EQ4" s="380"/>
      <c r="ER4" s="380"/>
      <c r="ES4" s="380"/>
      <c r="ET4" s="380"/>
      <c r="EU4" s="380"/>
      <c r="EV4" s="380"/>
      <c r="EW4" s="380"/>
      <c r="EX4" s="380"/>
      <c r="EY4" s="380"/>
      <c r="EZ4" s="380"/>
      <c r="FA4" s="380"/>
      <c r="FB4" s="380"/>
      <c r="FC4" s="380"/>
      <c r="FD4" s="380"/>
      <c r="FE4" s="380"/>
      <c r="FF4" s="380"/>
      <c r="FG4" s="383"/>
    </row>
    <row r="5" spans="2:164" ht="8.65" customHeight="1">
      <c r="B5" s="126"/>
      <c r="C5" s="127"/>
      <c r="D5" s="127"/>
      <c r="E5" s="127"/>
      <c r="F5" s="127"/>
      <c r="G5" s="127"/>
      <c r="H5" s="127"/>
      <c r="I5" s="127"/>
      <c r="J5" s="127"/>
      <c r="K5" s="127"/>
      <c r="L5" s="128"/>
      <c r="M5" s="129"/>
      <c r="N5" s="127"/>
      <c r="O5" s="127"/>
      <c r="P5" s="127"/>
      <c r="Q5" s="127"/>
      <c r="R5" s="127"/>
      <c r="S5" s="127"/>
      <c r="T5" s="127"/>
      <c r="U5" s="127"/>
      <c r="V5" s="127"/>
      <c r="W5" s="127"/>
      <c r="X5" s="127"/>
      <c r="Y5" s="127"/>
      <c r="Z5" s="127"/>
      <c r="AA5" s="127"/>
      <c r="AB5" s="128"/>
      <c r="AC5" s="379"/>
      <c r="AD5" s="380"/>
      <c r="AE5" s="380"/>
      <c r="AF5" s="380"/>
      <c r="AG5" s="380"/>
      <c r="AH5" s="380"/>
      <c r="AI5" s="380"/>
      <c r="AJ5" s="380"/>
      <c r="AK5" s="381"/>
      <c r="AL5" s="380"/>
      <c r="AM5" s="380"/>
      <c r="AN5" s="380"/>
      <c r="AO5" s="380"/>
      <c r="AP5" s="380"/>
      <c r="AQ5" s="380"/>
      <c r="AR5" s="380"/>
      <c r="AS5" s="380"/>
      <c r="AT5" s="383"/>
      <c r="AU5" s="126"/>
      <c r="AV5" s="127"/>
      <c r="AW5" s="127"/>
      <c r="AX5" s="127"/>
      <c r="AY5" s="127"/>
      <c r="AZ5" s="127"/>
      <c r="BA5" s="127"/>
      <c r="BB5" s="127"/>
      <c r="BC5" s="127"/>
      <c r="BD5" s="128"/>
      <c r="BE5" s="385"/>
      <c r="BF5" s="385"/>
      <c r="BG5" s="385"/>
      <c r="BH5" s="385"/>
      <c r="BI5" s="385"/>
      <c r="BJ5" s="385"/>
      <c r="BK5" s="385"/>
      <c r="BL5" s="385"/>
      <c r="BM5" s="385"/>
      <c r="BN5" s="385"/>
      <c r="BO5" s="385"/>
      <c r="BP5" s="385"/>
      <c r="BQ5" s="385"/>
      <c r="BR5" s="388"/>
      <c r="BS5" s="388"/>
      <c r="BT5" s="388"/>
      <c r="BU5" s="388"/>
      <c r="BV5" s="388"/>
      <c r="BW5" s="388"/>
      <c r="BX5" s="389"/>
      <c r="BY5" s="380"/>
      <c r="BZ5" s="380"/>
      <c r="CA5" s="380"/>
      <c r="CB5" s="380"/>
      <c r="CC5" s="380"/>
      <c r="CD5" s="380"/>
      <c r="CE5" s="380"/>
      <c r="CF5" s="380"/>
      <c r="CG5" s="380"/>
      <c r="CH5" s="380"/>
      <c r="CI5" s="380"/>
      <c r="CJ5" s="380"/>
      <c r="CK5" s="380"/>
      <c r="CL5" s="380"/>
      <c r="CM5" s="380"/>
      <c r="CN5" s="380"/>
      <c r="CO5" s="380"/>
      <c r="CP5" s="380"/>
      <c r="CQ5" s="380"/>
      <c r="CR5" s="380"/>
      <c r="CS5" s="380"/>
      <c r="CT5" s="380"/>
      <c r="CU5" s="380"/>
      <c r="CV5" s="380"/>
      <c r="CW5" s="380"/>
      <c r="CX5" s="380"/>
      <c r="CY5" s="380"/>
      <c r="CZ5" s="380"/>
      <c r="DA5" s="380"/>
      <c r="DB5" s="380"/>
      <c r="DC5" s="380"/>
      <c r="DD5" s="380"/>
      <c r="DE5" s="380"/>
      <c r="DF5" s="380"/>
      <c r="DG5" s="380"/>
      <c r="DH5" s="380"/>
      <c r="DI5" s="383"/>
      <c r="DJ5" s="391"/>
      <c r="DK5" s="380"/>
      <c r="DL5" s="380"/>
      <c r="DM5" s="380"/>
      <c r="DN5" s="380"/>
      <c r="DO5" s="380"/>
      <c r="DP5" s="380"/>
      <c r="DQ5" s="380"/>
      <c r="DR5" s="380"/>
      <c r="DS5" s="380"/>
      <c r="DT5" s="380"/>
      <c r="DU5" s="380"/>
      <c r="DV5" s="380"/>
      <c r="DW5" s="380"/>
      <c r="DX5" s="380"/>
      <c r="DY5" s="380"/>
      <c r="DZ5" s="380"/>
      <c r="EA5" s="380"/>
      <c r="EB5" s="380"/>
      <c r="EC5" s="380"/>
      <c r="ED5" s="380"/>
      <c r="EE5" s="380"/>
      <c r="EF5" s="380"/>
      <c r="EG5" s="380"/>
      <c r="EH5" s="380"/>
      <c r="EI5" s="380"/>
      <c r="EJ5" s="380"/>
      <c r="EK5" s="380"/>
      <c r="EL5" s="380"/>
      <c r="EM5" s="380"/>
      <c r="EN5" s="380"/>
      <c r="EO5" s="380"/>
      <c r="EP5" s="380"/>
      <c r="EQ5" s="380"/>
      <c r="ER5" s="380"/>
      <c r="ES5" s="380"/>
      <c r="ET5" s="380"/>
      <c r="EU5" s="380"/>
      <c r="EV5" s="380"/>
      <c r="EW5" s="380"/>
      <c r="EX5" s="380"/>
      <c r="EY5" s="380"/>
      <c r="EZ5" s="380"/>
      <c r="FA5" s="380"/>
      <c r="FB5" s="380"/>
      <c r="FC5" s="380"/>
      <c r="FD5" s="380"/>
      <c r="FE5" s="380"/>
      <c r="FF5" s="380"/>
      <c r="FG5" s="383"/>
    </row>
    <row r="6" spans="2:164" ht="8.65" customHeight="1">
      <c r="B6" s="126"/>
      <c r="C6" s="127"/>
      <c r="D6" s="127"/>
      <c r="E6" s="127"/>
      <c r="F6" s="127"/>
      <c r="G6" s="127"/>
      <c r="H6" s="127"/>
      <c r="I6" s="127"/>
      <c r="J6" s="127"/>
      <c r="K6" s="127"/>
      <c r="L6" s="128"/>
      <c r="M6" s="129"/>
      <c r="N6" s="127"/>
      <c r="O6" s="127"/>
      <c r="P6" s="127"/>
      <c r="Q6" s="127"/>
      <c r="R6" s="127"/>
      <c r="S6" s="127"/>
      <c r="T6" s="127"/>
      <c r="U6" s="127"/>
      <c r="V6" s="127"/>
      <c r="W6" s="127"/>
      <c r="X6" s="127"/>
      <c r="Y6" s="127"/>
      <c r="Z6" s="127"/>
      <c r="AA6" s="127"/>
      <c r="AB6" s="128"/>
      <c r="AC6" s="379"/>
      <c r="AD6" s="380"/>
      <c r="AE6" s="380"/>
      <c r="AF6" s="380"/>
      <c r="AG6" s="380"/>
      <c r="AH6" s="380"/>
      <c r="AI6" s="380"/>
      <c r="AJ6" s="380"/>
      <c r="AK6" s="381"/>
      <c r="AL6" s="380"/>
      <c r="AM6" s="380"/>
      <c r="AN6" s="380"/>
      <c r="AO6" s="380"/>
      <c r="AP6" s="380"/>
      <c r="AQ6" s="380"/>
      <c r="AR6" s="380"/>
      <c r="AS6" s="380"/>
      <c r="AT6" s="383"/>
      <c r="AU6" s="126"/>
      <c r="AV6" s="127"/>
      <c r="AW6" s="127"/>
      <c r="AX6" s="127"/>
      <c r="AY6" s="127"/>
      <c r="AZ6" s="127"/>
      <c r="BA6" s="127"/>
      <c r="BB6" s="127"/>
      <c r="BC6" s="127"/>
      <c r="BD6" s="128"/>
      <c r="BE6" s="385"/>
      <c r="BF6" s="385"/>
      <c r="BG6" s="385"/>
      <c r="BH6" s="385"/>
      <c r="BI6" s="385"/>
      <c r="BJ6" s="385"/>
      <c r="BK6" s="385"/>
      <c r="BL6" s="385"/>
      <c r="BM6" s="385"/>
      <c r="BN6" s="385"/>
      <c r="BO6" s="385"/>
      <c r="BP6" s="385"/>
      <c r="BQ6" s="385"/>
      <c r="BR6" s="388"/>
      <c r="BS6" s="388"/>
      <c r="BT6" s="388"/>
      <c r="BU6" s="388"/>
      <c r="BV6" s="388"/>
      <c r="BW6" s="388"/>
      <c r="BX6" s="389"/>
      <c r="BY6" s="380"/>
      <c r="BZ6" s="380"/>
      <c r="CA6" s="380"/>
      <c r="CB6" s="380"/>
      <c r="CC6" s="380"/>
      <c r="CD6" s="380"/>
      <c r="CE6" s="380"/>
      <c r="CF6" s="380"/>
      <c r="CG6" s="380"/>
      <c r="CH6" s="380"/>
      <c r="CI6" s="380"/>
      <c r="CJ6" s="380"/>
      <c r="CK6" s="380"/>
      <c r="CL6" s="380"/>
      <c r="CM6" s="380"/>
      <c r="CN6" s="380"/>
      <c r="CO6" s="380"/>
      <c r="CP6" s="380"/>
      <c r="CQ6" s="380"/>
      <c r="CR6" s="380"/>
      <c r="CS6" s="380"/>
      <c r="CT6" s="380"/>
      <c r="CU6" s="380"/>
      <c r="CV6" s="380"/>
      <c r="CW6" s="380"/>
      <c r="CX6" s="380"/>
      <c r="CY6" s="380"/>
      <c r="CZ6" s="380"/>
      <c r="DA6" s="380"/>
      <c r="DB6" s="380"/>
      <c r="DC6" s="380"/>
      <c r="DD6" s="380"/>
      <c r="DE6" s="380"/>
      <c r="DF6" s="380"/>
      <c r="DG6" s="380"/>
      <c r="DH6" s="380"/>
      <c r="DI6" s="383"/>
      <c r="DJ6" s="391"/>
      <c r="DK6" s="380"/>
      <c r="DL6" s="380"/>
      <c r="DM6" s="380"/>
      <c r="DN6" s="380"/>
      <c r="DO6" s="380"/>
      <c r="DP6" s="380"/>
      <c r="DQ6" s="380"/>
      <c r="DR6" s="380"/>
      <c r="DS6" s="380"/>
      <c r="DT6" s="380"/>
      <c r="DU6" s="380"/>
      <c r="DV6" s="380"/>
      <c r="DW6" s="380"/>
      <c r="DX6" s="380"/>
      <c r="DY6" s="380"/>
      <c r="DZ6" s="380"/>
      <c r="EA6" s="380"/>
      <c r="EB6" s="380"/>
      <c r="EC6" s="380"/>
      <c r="ED6" s="380"/>
      <c r="EE6" s="380"/>
      <c r="EF6" s="380"/>
      <c r="EG6" s="380"/>
      <c r="EH6" s="380"/>
      <c r="EI6" s="380"/>
      <c r="EJ6" s="380"/>
      <c r="EK6" s="380"/>
      <c r="EL6" s="380"/>
      <c r="EM6" s="380"/>
      <c r="EN6" s="380"/>
      <c r="EO6" s="380"/>
      <c r="EP6" s="380"/>
      <c r="EQ6" s="380"/>
      <c r="ER6" s="380"/>
      <c r="ES6" s="380"/>
      <c r="ET6" s="380"/>
      <c r="EU6" s="380"/>
      <c r="EV6" s="380"/>
      <c r="EW6" s="380"/>
      <c r="EX6" s="380"/>
      <c r="EY6" s="380"/>
      <c r="EZ6" s="380"/>
      <c r="FA6" s="380"/>
      <c r="FB6" s="380"/>
      <c r="FC6" s="380"/>
      <c r="FD6" s="380"/>
      <c r="FE6" s="380"/>
      <c r="FF6" s="380"/>
      <c r="FG6" s="383"/>
    </row>
    <row r="7" spans="2:164" ht="8.65" customHeight="1">
      <c r="B7" s="409" t="s">
        <v>171</v>
      </c>
      <c r="C7" s="402"/>
      <c r="D7" s="402"/>
      <c r="E7" s="402"/>
      <c r="F7" s="402"/>
      <c r="G7" s="402"/>
      <c r="H7" s="402"/>
      <c r="I7" s="402"/>
      <c r="J7" s="402"/>
      <c r="K7" s="402"/>
      <c r="L7" s="441"/>
      <c r="M7" s="442" t="s">
        <v>46</v>
      </c>
      <c r="N7" s="402"/>
      <c r="O7" s="402"/>
      <c r="P7" s="402"/>
      <c r="Q7" s="402"/>
      <c r="R7" s="402"/>
      <c r="S7" s="402"/>
      <c r="T7" s="402"/>
      <c r="U7" s="402"/>
      <c r="V7" s="402"/>
      <c r="W7" s="402"/>
      <c r="X7" s="402"/>
      <c r="Y7" s="402"/>
      <c r="Z7" s="402"/>
      <c r="AA7" s="402"/>
      <c r="AB7" s="441"/>
      <c r="AC7" s="443" t="s">
        <v>172</v>
      </c>
      <c r="AD7" s="444"/>
      <c r="AE7" s="444"/>
      <c r="AF7" s="444"/>
      <c r="AG7" s="444"/>
      <c r="AH7" s="444"/>
      <c r="AI7" s="444"/>
      <c r="AJ7" s="444"/>
      <c r="AK7" s="445"/>
      <c r="AL7" s="399" t="s">
        <v>173</v>
      </c>
      <c r="AM7" s="399"/>
      <c r="AN7" s="399"/>
      <c r="AO7" s="399"/>
      <c r="AP7" s="399"/>
      <c r="AQ7" s="399"/>
      <c r="AR7" s="399"/>
      <c r="AS7" s="399"/>
      <c r="AT7" s="400"/>
      <c r="AU7" s="357" t="s">
        <v>174</v>
      </c>
      <c r="AV7" s="358"/>
      <c r="AW7" s="358"/>
      <c r="AX7" s="358"/>
      <c r="AY7" s="358"/>
      <c r="AZ7" s="358"/>
      <c r="BA7" s="358"/>
      <c r="BB7" s="358"/>
      <c r="BC7" s="358"/>
      <c r="BD7" s="358"/>
      <c r="BE7" s="359" t="s">
        <v>175</v>
      </c>
      <c r="BF7" s="359"/>
      <c r="BG7" s="359"/>
      <c r="BH7" s="359"/>
      <c r="BI7" s="359"/>
      <c r="BJ7" s="359"/>
      <c r="BK7" s="359"/>
      <c r="BL7" s="359"/>
      <c r="BM7" s="359"/>
      <c r="BN7" s="359"/>
      <c r="BO7" s="359"/>
      <c r="BP7" s="359"/>
      <c r="BQ7" s="359"/>
      <c r="BR7" s="435" t="s">
        <v>176</v>
      </c>
      <c r="BS7" s="435"/>
      <c r="BT7" s="435"/>
      <c r="BU7" s="435"/>
      <c r="BV7" s="435"/>
      <c r="BW7" s="435"/>
      <c r="BX7" s="436"/>
      <c r="BY7" s="399" t="s">
        <v>177</v>
      </c>
      <c r="BZ7" s="399"/>
      <c r="CA7" s="399"/>
      <c r="CB7" s="399"/>
      <c r="CC7" s="399"/>
      <c r="CD7" s="399"/>
      <c r="CE7" s="399"/>
      <c r="CF7" s="399"/>
      <c r="CG7" s="399"/>
      <c r="CH7" s="399"/>
      <c r="CI7" s="399"/>
      <c r="CJ7" s="399"/>
      <c r="CK7" s="399"/>
      <c r="CL7" s="399"/>
      <c r="CM7" s="399"/>
      <c r="CN7" s="399"/>
      <c r="CO7" s="399"/>
      <c r="CP7" s="399"/>
      <c r="CQ7" s="399"/>
      <c r="CR7" s="399"/>
      <c r="CS7" s="399"/>
      <c r="CT7" s="399"/>
      <c r="CU7" s="399"/>
      <c r="CV7" s="399"/>
      <c r="CW7" s="399"/>
      <c r="CX7" s="399"/>
      <c r="CY7" s="399"/>
      <c r="CZ7" s="399"/>
      <c r="DA7" s="399"/>
      <c r="DB7" s="399"/>
      <c r="DC7" s="399"/>
      <c r="DD7" s="399"/>
      <c r="DE7" s="399"/>
      <c r="DF7" s="399"/>
      <c r="DG7" s="399"/>
      <c r="DH7" s="399"/>
      <c r="DI7" s="400"/>
      <c r="DJ7" s="407" t="s">
        <v>178</v>
      </c>
      <c r="DK7" s="399"/>
      <c r="DL7" s="399"/>
      <c r="DM7" s="399"/>
      <c r="DN7" s="399"/>
      <c r="DO7" s="399"/>
      <c r="DP7" s="399"/>
      <c r="DQ7" s="399"/>
      <c r="DR7" s="399"/>
      <c r="DS7" s="399"/>
      <c r="DT7" s="399"/>
      <c r="DU7" s="399"/>
      <c r="DV7" s="399"/>
      <c r="DW7" s="399"/>
      <c r="DX7" s="399"/>
      <c r="DY7" s="399"/>
      <c r="DZ7" s="408"/>
      <c r="EA7" s="398" t="s">
        <v>179</v>
      </c>
      <c r="EB7" s="399"/>
      <c r="EC7" s="399"/>
      <c r="ED7" s="399"/>
      <c r="EE7" s="399"/>
      <c r="EF7" s="399"/>
      <c r="EG7" s="399"/>
      <c r="EH7" s="399"/>
      <c r="EI7" s="399"/>
      <c r="EJ7" s="399"/>
      <c r="EK7" s="399"/>
      <c r="EL7" s="399"/>
      <c r="EM7" s="399"/>
      <c r="EN7" s="399"/>
      <c r="EO7" s="399"/>
      <c r="EP7" s="399"/>
      <c r="EQ7" s="399"/>
      <c r="ER7" s="399"/>
      <c r="ES7" s="399"/>
      <c r="ET7" s="399"/>
      <c r="EU7" s="399"/>
      <c r="EV7" s="399"/>
      <c r="EW7" s="399"/>
      <c r="EX7" s="399"/>
      <c r="EY7" s="399"/>
      <c r="EZ7" s="399"/>
      <c r="FA7" s="399"/>
      <c r="FB7" s="399"/>
      <c r="FC7" s="399"/>
      <c r="FD7" s="399"/>
      <c r="FE7" s="399"/>
      <c r="FF7" s="399"/>
      <c r="FG7" s="400"/>
    </row>
    <row r="8" spans="2:164" ht="8.65" customHeight="1">
      <c r="B8" s="409"/>
      <c r="C8" s="402"/>
      <c r="D8" s="402"/>
      <c r="E8" s="402"/>
      <c r="F8" s="402"/>
      <c r="G8" s="402"/>
      <c r="H8" s="402"/>
      <c r="I8" s="402"/>
      <c r="J8" s="402"/>
      <c r="K8" s="402"/>
      <c r="L8" s="441"/>
      <c r="M8" s="442"/>
      <c r="N8" s="402"/>
      <c r="O8" s="402"/>
      <c r="P8" s="402"/>
      <c r="Q8" s="402"/>
      <c r="R8" s="402"/>
      <c r="S8" s="402"/>
      <c r="T8" s="402"/>
      <c r="U8" s="402"/>
      <c r="V8" s="402"/>
      <c r="W8" s="402"/>
      <c r="X8" s="402"/>
      <c r="Y8" s="402"/>
      <c r="Z8" s="402"/>
      <c r="AA8" s="402"/>
      <c r="AB8" s="441"/>
      <c r="AC8" s="446"/>
      <c r="AD8" s="447"/>
      <c r="AE8" s="447"/>
      <c r="AF8" s="447"/>
      <c r="AG8" s="447"/>
      <c r="AH8" s="447"/>
      <c r="AI8" s="447"/>
      <c r="AJ8" s="447"/>
      <c r="AK8" s="448"/>
      <c r="AL8" s="405"/>
      <c r="AM8" s="405"/>
      <c r="AN8" s="405"/>
      <c r="AO8" s="405"/>
      <c r="AP8" s="405"/>
      <c r="AQ8" s="405"/>
      <c r="AR8" s="405"/>
      <c r="AS8" s="405"/>
      <c r="AT8" s="406"/>
      <c r="AU8" s="357"/>
      <c r="AV8" s="358"/>
      <c r="AW8" s="358"/>
      <c r="AX8" s="358"/>
      <c r="AY8" s="358"/>
      <c r="AZ8" s="358"/>
      <c r="BA8" s="358"/>
      <c r="BB8" s="358"/>
      <c r="BC8" s="358"/>
      <c r="BD8" s="358"/>
      <c r="BE8" s="360"/>
      <c r="BF8" s="360"/>
      <c r="BG8" s="360"/>
      <c r="BH8" s="360"/>
      <c r="BI8" s="360"/>
      <c r="BJ8" s="360"/>
      <c r="BK8" s="360"/>
      <c r="BL8" s="360"/>
      <c r="BM8" s="360"/>
      <c r="BN8" s="360"/>
      <c r="BO8" s="360"/>
      <c r="BP8" s="360"/>
      <c r="BQ8" s="360"/>
      <c r="BR8" s="437"/>
      <c r="BS8" s="437"/>
      <c r="BT8" s="437"/>
      <c r="BU8" s="437"/>
      <c r="BV8" s="437"/>
      <c r="BW8" s="437"/>
      <c r="BX8" s="438"/>
      <c r="BY8" s="402"/>
      <c r="BZ8" s="402"/>
      <c r="CA8" s="402"/>
      <c r="CB8" s="402"/>
      <c r="CC8" s="402"/>
      <c r="CD8" s="402"/>
      <c r="CE8" s="402"/>
      <c r="CF8" s="402"/>
      <c r="CG8" s="402"/>
      <c r="CH8" s="402"/>
      <c r="CI8" s="402"/>
      <c r="CJ8" s="402"/>
      <c r="CK8" s="402"/>
      <c r="CL8" s="402"/>
      <c r="CM8" s="402"/>
      <c r="CN8" s="402"/>
      <c r="CO8" s="402"/>
      <c r="CP8" s="402"/>
      <c r="CQ8" s="402"/>
      <c r="CR8" s="402"/>
      <c r="CS8" s="402"/>
      <c r="CT8" s="402"/>
      <c r="CU8" s="402"/>
      <c r="CV8" s="402"/>
      <c r="CW8" s="402"/>
      <c r="CX8" s="402"/>
      <c r="CY8" s="402"/>
      <c r="CZ8" s="402"/>
      <c r="DA8" s="402"/>
      <c r="DB8" s="402"/>
      <c r="DC8" s="402"/>
      <c r="DD8" s="402"/>
      <c r="DE8" s="402"/>
      <c r="DF8" s="402"/>
      <c r="DG8" s="402"/>
      <c r="DH8" s="402"/>
      <c r="DI8" s="403"/>
      <c r="DJ8" s="409"/>
      <c r="DK8" s="402"/>
      <c r="DL8" s="402"/>
      <c r="DM8" s="402"/>
      <c r="DN8" s="402"/>
      <c r="DO8" s="402"/>
      <c r="DP8" s="402"/>
      <c r="DQ8" s="402"/>
      <c r="DR8" s="402"/>
      <c r="DS8" s="402"/>
      <c r="DT8" s="402"/>
      <c r="DU8" s="402"/>
      <c r="DV8" s="402"/>
      <c r="DW8" s="402"/>
      <c r="DX8" s="402"/>
      <c r="DY8" s="402"/>
      <c r="DZ8" s="410"/>
      <c r="EA8" s="401"/>
      <c r="EB8" s="402"/>
      <c r="EC8" s="402"/>
      <c r="ED8" s="402"/>
      <c r="EE8" s="402"/>
      <c r="EF8" s="402"/>
      <c r="EG8" s="402"/>
      <c r="EH8" s="402"/>
      <c r="EI8" s="402"/>
      <c r="EJ8" s="402"/>
      <c r="EK8" s="402"/>
      <c r="EL8" s="402"/>
      <c r="EM8" s="402"/>
      <c r="EN8" s="402"/>
      <c r="EO8" s="402"/>
      <c r="EP8" s="402"/>
      <c r="EQ8" s="402"/>
      <c r="ER8" s="402"/>
      <c r="ES8" s="402"/>
      <c r="ET8" s="402"/>
      <c r="EU8" s="402"/>
      <c r="EV8" s="402"/>
      <c r="EW8" s="402"/>
      <c r="EX8" s="402"/>
      <c r="EY8" s="402"/>
      <c r="EZ8" s="402"/>
      <c r="FA8" s="402"/>
      <c r="FB8" s="402"/>
      <c r="FC8" s="402"/>
      <c r="FD8" s="402"/>
      <c r="FE8" s="402"/>
      <c r="FF8" s="402"/>
      <c r="FG8" s="403"/>
    </row>
    <row r="9" spans="2:164" ht="8.65" customHeight="1">
      <c r="B9" s="409" t="s">
        <v>180</v>
      </c>
      <c r="C9" s="402"/>
      <c r="D9" s="402"/>
      <c r="E9" s="402"/>
      <c r="F9" s="402"/>
      <c r="G9" s="402"/>
      <c r="H9" s="402"/>
      <c r="I9" s="402"/>
      <c r="J9" s="402"/>
      <c r="K9" s="402"/>
      <c r="L9" s="441"/>
      <c r="M9" s="442"/>
      <c r="N9" s="402"/>
      <c r="O9" s="402"/>
      <c r="P9" s="402"/>
      <c r="Q9" s="402"/>
      <c r="R9" s="402"/>
      <c r="S9" s="402"/>
      <c r="T9" s="402"/>
      <c r="U9" s="402"/>
      <c r="V9" s="402"/>
      <c r="W9" s="402"/>
      <c r="X9" s="402"/>
      <c r="Y9" s="402"/>
      <c r="Z9" s="402"/>
      <c r="AA9" s="402"/>
      <c r="AB9" s="441"/>
      <c r="AC9" s="361" t="s">
        <v>181</v>
      </c>
      <c r="AD9" s="362"/>
      <c r="AE9" s="362"/>
      <c r="AF9" s="362"/>
      <c r="AG9" s="363"/>
      <c r="AH9" s="362" t="s">
        <v>182</v>
      </c>
      <c r="AI9" s="362"/>
      <c r="AJ9" s="362"/>
      <c r="AK9" s="370"/>
      <c r="AL9" s="361" t="s">
        <v>181</v>
      </c>
      <c r="AM9" s="362"/>
      <c r="AN9" s="362"/>
      <c r="AO9" s="362"/>
      <c r="AP9" s="363"/>
      <c r="AQ9" s="362" t="s">
        <v>182</v>
      </c>
      <c r="AR9" s="362"/>
      <c r="AS9" s="362"/>
      <c r="AT9" s="370"/>
      <c r="AU9" s="357" t="s">
        <v>183</v>
      </c>
      <c r="AV9" s="358"/>
      <c r="AW9" s="358"/>
      <c r="AX9" s="358"/>
      <c r="AY9" s="358"/>
      <c r="AZ9" s="358"/>
      <c r="BA9" s="358"/>
      <c r="BB9" s="358"/>
      <c r="BC9" s="358"/>
      <c r="BD9" s="358"/>
      <c r="BE9" s="361" t="s">
        <v>184</v>
      </c>
      <c r="BF9" s="362"/>
      <c r="BG9" s="362"/>
      <c r="BH9" s="362"/>
      <c r="BI9" s="362"/>
      <c r="BJ9" s="363"/>
      <c r="BK9" s="362" t="s">
        <v>185</v>
      </c>
      <c r="BL9" s="362"/>
      <c r="BM9" s="362"/>
      <c r="BN9" s="362"/>
      <c r="BO9" s="362"/>
      <c r="BP9" s="362"/>
      <c r="BQ9" s="370"/>
      <c r="BR9" s="437"/>
      <c r="BS9" s="437"/>
      <c r="BT9" s="437"/>
      <c r="BU9" s="437"/>
      <c r="BV9" s="437"/>
      <c r="BW9" s="437"/>
      <c r="BX9" s="438"/>
      <c r="BY9" s="402"/>
      <c r="BZ9" s="402"/>
      <c r="CA9" s="402"/>
      <c r="CB9" s="402"/>
      <c r="CC9" s="402"/>
      <c r="CD9" s="402"/>
      <c r="CE9" s="402"/>
      <c r="CF9" s="402"/>
      <c r="CG9" s="402"/>
      <c r="CH9" s="402"/>
      <c r="CI9" s="402"/>
      <c r="CJ9" s="402"/>
      <c r="CK9" s="402"/>
      <c r="CL9" s="402"/>
      <c r="CM9" s="402"/>
      <c r="CN9" s="402"/>
      <c r="CO9" s="402"/>
      <c r="CP9" s="402"/>
      <c r="CQ9" s="402"/>
      <c r="CR9" s="402"/>
      <c r="CS9" s="402"/>
      <c r="CT9" s="402"/>
      <c r="CU9" s="402"/>
      <c r="CV9" s="402"/>
      <c r="CW9" s="402"/>
      <c r="CX9" s="402"/>
      <c r="CY9" s="402"/>
      <c r="CZ9" s="402"/>
      <c r="DA9" s="402"/>
      <c r="DB9" s="402"/>
      <c r="DC9" s="402"/>
      <c r="DD9" s="402"/>
      <c r="DE9" s="402"/>
      <c r="DF9" s="402"/>
      <c r="DG9" s="402"/>
      <c r="DH9" s="402"/>
      <c r="DI9" s="403"/>
      <c r="DJ9" s="409"/>
      <c r="DK9" s="402"/>
      <c r="DL9" s="402"/>
      <c r="DM9" s="402"/>
      <c r="DN9" s="402"/>
      <c r="DO9" s="402"/>
      <c r="DP9" s="402"/>
      <c r="DQ9" s="402"/>
      <c r="DR9" s="402"/>
      <c r="DS9" s="402"/>
      <c r="DT9" s="402"/>
      <c r="DU9" s="402"/>
      <c r="DV9" s="402"/>
      <c r="DW9" s="402"/>
      <c r="DX9" s="402"/>
      <c r="DY9" s="402"/>
      <c r="DZ9" s="410"/>
      <c r="EA9" s="401"/>
      <c r="EB9" s="402"/>
      <c r="EC9" s="402"/>
      <c r="ED9" s="402"/>
      <c r="EE9" s="402"/>
      <c r="EF9" s="402"/>
      <c r="EG9" s="402"/>
      <c r="EH9" s="402"/>
      <c r="EI9" s="402"/>
      <c r="EJ9" s="402"/>
      <c r="EK9" s="402"/>
      <c r="EL9" s="402"/>
      <c r="EM9" s="402"/>
      <c r="EN9" s="402"/>
      <c r="EO9" s="402"/>
      <c r="EP9" s="402"/>
      <c r="EQ9" s="402"/>
      <c r="ER9" s="402"/>
      <c r="ES9" s="402"/>
      <c r="ET9" s="402"/>
      <c r="EU9" s="402"/>
      <c r="EV9" s="402"/>
      <c r="EW9" s="402"/>
      <c r="EX9" s="402"/>
      <c r="EY9" s="402"/>
      <c r="EZ9" s="402"/>
      <c r="FA9" s="402"/>
      <c r="FB9" s="402"/>
      <c r="FC9" s="402"/>
      <c r="FD9" s="402"/>
      <c r="FE9" s="402"/>
      <c r="FF9" s="402"/>
      <c r="FG9" s="403"/>
    </row>
    <row r="10" spans="2:164" ht="8.65" customHeight="1">
      <c r="B10" s="409"/>
      <c r="C10" s="402"/>
      <c r="D10" s="402"/>
      <c r="E10" s="402"/>
      <c r="F10" s="402"/>
      <c r="G10" s="402"/>
      <c r="H10" s="402"/>
      <c r="I10" s="402"/>
      <c r="J10" s="402"/>
      <c r="K10" s="402"/>
      <c r="L10" s="441"/>
      <c r="M10" s="442"/>
      <c r="N10" s="402"/>
      <c r="O10" s="402"/>
      <c r="P10" s="402"/>
      <c r="Q10" s="402"/>
      <c r="R10" s="402"/>
      <c r="S10" s="402"/>
      <c r="T10" s="402"/>
      <c r="U10" s="402"/>
      <c r="V10" s="402"/>
      <c r="W10" s="402"/>
      <c r="X10" s="402"/>
      <c r="Y10" s="402"/>
      <c r="Z10" s="402"/>
      <c r="AA10" s="402"/>
      <c r="AB10" s="441"/>
      <c r="AC10" s="364"/>
      <c r="AD10" s="365"/>
      <c r="AE10" s="365"/>
      <c r="AF10" s="365"/>
      <c r="AG10" s="366"/>
      <c r="AH10" s="365"/>
      <c r="AI10" s="365"/>
      <c r="AJ10" s="365"/>
      <c r="AK10" s="371"/>
      <c r="AL10" s="364"/>
      <c r="AM10" s="365"/>
      <c r="AN10" s="365"/>
      <c r="AO10" s="365"/>
      <c r="AP10" s="366"/>
      <c r="AQ10" s="365"/>
      <c r="AR10" s="365"/>
      <c r="AS10" s="365"/>
      <c r="AT10" s="371"/>
      <c r="AU10" s="357"/>
      <c r="AV10" s="358"/>
      <c r="AW10" s="358"/>
      <c r="AX10" s="358"/>
      <c r="AY10" s="358"/>
      <c r="AZ10" s="358"/>
      <c r="BA10" s="358"/>
      <c r="BB10" s="358"/>
      <c r="BC10" s="358"/>
      <c r="BD10" s="358"/>
      <c r="BE10" s="364"/>
      <c r="BF10" s="365"/>
      <c r="BG10" s="365"/>
      <c r="BH10" s="365"/>
      <c r="BI10" s="365"/>
      <c r="BJ10" s="366"/>
      <c r="BK10" s="365"/>
      <c r="BL10" s="365"/>
      <c r="BM10" s="365"/>
      <c r="BN10" s="365"/>
      <c r="BO10" s="365"/>
      <c r="BP10" s="365"/>
      <c r="BQ10" s="371"/>
      <c r="BR10" s="437"/>
      <c r="BS10" s="437"/>
      <c r="BT10" s="437"/>
      <c r="BU10" s="437"/>
      <c r="BV10" s="437"/>
      <c r="BW10" s="437"/>
      <c r="BX10" s="438"/>
      <c r="BY10" s="405"/>
      <c r="BZ10" s="405"/>
      <c r="CA10" s="405"/>
      <c r="CB10" s="405"/>
      <c r="CC10" s="405"/>
      <c r="CD10" s="405"/>
      <c r="CE10" s="405"/>
      <c r="CF10" s="405"/>
      <c r="CG10" s="405"/>
      <c r="CH10" s="405"/>
      <c r="CI10" s="405"/>
      <c r="CJ10" s="405"/>
      <c r="CK10" s="405"/>
      <c r="CL10" s="405"/>
      <c r="CM10" s="405"/>
      <c r="CN10" s="405"/>
      <c r="CO10" s="405"/>
      <c r="CP10" s="405"/>
      <c r="CQ10" s="405"/>
      <c r="CR10" s="405"/>
      <c r="CS10" s="405"/>
      <c r="CT10" s="405"/>
      <c r="CU10" s="405"/>
      <c r="CV10" s="405"/>
      <c r="CW10" s="405"/>
      <c r="CX10" s="405"/>
      <c r="CY10" s="405"/>
      <c r="CZ10" s="405"/>
      <c r="DA10" s="405"/>
      <c r="DB10" s="405"/>
      <c r="DC10" s="405"/>
      <c r="DD10" s="405"/>
      <c r="DE10" s="405"/>
      <c r="DF10" s="405"/>
      <c r="DG10" s="405"/>
      <c r="DH10" s="405"/>
      <c r="DI10" s="406"/>
      <c r="DJ10" s="411"/>
      <c r="DK10" s="405"/>
      <c r="DL10" s="405"/>
      <c r="DM10" s="405"/>
      <c r="DN10" s="405"/>
      <c r="DO10" s="405"/>
      <c r="DP10" s="405"/>
      <c r="DQ10" s="405"/>
      <c r="DR10" s="405"/>
      <c r="DS10" s="405"/>
      <c r="DT10" s="405"/>
      <c r="DU10" s="405"/>
      <c r="DV10" s="405"/>
      <c r="DW10" s="405"/>
      <c r="DX10" s="405"/>
      <c r="DY10" s="405"/>
      <c r="DZ10" s="412"/>
      <c r="EA10" s="404"/>
      <c r="EB10" s="405"/>
      <c r="EC10" s="405"/>
      <c r="ED10" s="405"/>
      <c r="EE10" s="405"/>
      <c r="EF10" s="405"/>
      <c r="EG10" s="405"/>
      <c r="EH10" s="405"/>
      <c r="EI10" s="405"/>
      <c r="EJ10" s="405"/>
      <c r="EK10" s="405"/>
      <c r="EL10" s="405"/>
      <c r="EM10" s="405"/>
      <c r="EN10" s="405"/>
      <c r="EO10" s="405"/>
      <c r="EP10" s="405"/>
      <c r="EQ10" s="405"/>
      <c r="ER10" s="405"/>
      <c r="ES10" s="405"/>
      <c r="ET10" s="405"/>
      <c r="EU10" s="405"/>
      <c r="EV10" s="405"/>
      <c r="EW10" s="405"/>
      <c r="EX10" s="405"/>
      <c r="EY10" s="405"/>
      <c r="EZ10" s="405"/>
      <c r="FA10" s="405"/>
      <c r="FB10" s="405"/>
      <c r="FC10" s="405"/>
      <c r="FD10" s="405"/>
      <c r="FE10" s="405"/>
      <c r="FF10" s="405"/>
      <c r="FG10" s="406"/>
    </row>
    <row r="11" spans="2:164" ht="8.65" customHeight="1">
      <c r="B11" s="130"/>
      <c r="C11" s="131"/>
      <c r="D11" s="131"/>
      <c r="E11" s="131"/>
      <c r="F11" s="131"/>
      <c r="G11" s="131"/>
      <c r="H11" s="131"/>
      <c r="I11" s="131"/>
      <c r="J11" s="131"/>
      <c r="K11" s="131"/>
      <c r="L11" s="132"/>
      <c r="M11" s="133"/>
      <c r="N11" s="131"/>
      <c r="O11" s="131"/>
      <c r="P11" s="131"/>
      <c r="Q11" s="131"/>
      <c r="R11" s="131"/>
      <c r="S11" s="131"/>
      <c r="T11" s="131"/>
      <c r="U11" s="131"/>
      <c r="V11" s="131"/>
      <c r="W11" s="131"/>
      <c r="X11" s="131"/>
      <c r="Y11" s="131"/>
      <c r="Z11" s="131"/>
      <c r="AA11" s="131"/>
      <c r="AB11" s="132"/>
      <c r="AC11" s="364"/>
      <c r="AD11" s="365"/>
      <c r="AE11" s="365"/>
      <c r="AF11" s="365"/>
      <c r="AG11" s="366"/>
      <c r="AH11" s="365"/>
      <c r="AI11" s="365"/>
      <c r="AJ11" s="365"/>
      <c r="AK11" s="371"/>
      <c r="AL11" s="364"/>
      <c r="AM11" s="365"/>
      <c r="AN11" s="365"/>
      <c r="AO11" s="365"/>
      <c r="AP11" s="366"/>
      <c r="AQ11" s="365"/>
      <c r="AR11" s="365"/>
      <c r="AS11" s="365"/>
      <c r="AT11" s="371"/>
      <c r="AU11" s="130"/>
      <c r="AV11" s="131"/>
      <c r="AW11" s="131"/>
      <c r="AX11" s="131"/>
      <c r="AY11" s="131"/>
      <c r="AZ11" s="131"/>
      <c r="BA11" s="131"/>
      <c r="BB11" s="131"/>
      <c r="BC11" s="131"/>
      <c r="BD11" s="132"/>
      <c r="BE11" s="364"/>
      <c r="BF11" s="365"/>
      <c r="BG11" s="365"/>
      <c r="BH11" s="365"/>
      <c r="BI11" s="365"/>
      <c r="BJ11" s="366"/>
      <c r="BK11" s="365"/>
      <c r="BL11" s="365"/>
      <c r="BM11" s="365"/>
      <c r="BN11" s="365"/>
      <c r="BO11" s="365"/>
      <c r="BP11" s="365"/>
      <c r="BQ11" s="371"/>
      <c r="BR11" s="437"/>
      <c r="BS11" s="437"/>
      <c r="BT11" s="437"/>
      <c r="BU11" s="437"/>
      <c r="BV11" s="437"/>
      <c r="BW11" s="437"/>
      <c r="BX11" s="438"/>
      <c r="BY11" s="392" t="s">
        <v>186</v>
      </c>
      <c r="BZ11" s="393"/>
      <c r="CA11" s="393"/>
      <c r="CB11" s="393"/>
      <c r="CC11" s="393"/>
      <c r="CD11" s="393"/>
      <c r="CE11" s="393"/>
      <c r="CF11" s="393"/>
      <c r="CG11" s="393"/>
      <c r="CH11" s="393"/>
      <c r="CI11" s="393"/>
      <c r="CJ11" s="393"/>
      <c r="CK11" s="393"/>
      <c r="CL11" s="393"/>
      <c r="CM11" s="398" t="s">
        <v>187</v>
      </c>
      <c r="CN11" s="399"/>
      <c r="CO11" s="399"/>
      <c r="CP11" s="399"/>
      <c r="CQ11" s="399"/>
      <c r="CR11" s="399"/>
      <c r="CS11" s="399"/>
      <c r="CT11" s="399"/>
      <c r="CU11" s="399"/>
      <c r="CV11" s="399"/>
      <c r="CW11" s="399"/>
      <c r="CX11" s="399"/>
      <c r="CY11" s="399"/>
      <c r="CZ11" s="399"/>
      <c r="DA11" s="399"/>
      <c r="DB11" s="399"/>
      <c r="DC11" s="399"/>
      <c r="DD11" s="399"/>
      <c r="DE11" s="399"/>
      <c r="DF11" s="399"/>
      <c r="DG11" s="399"/>
      <c r="DH11" s="399"/>
      <c r="DI11" s="400"/>
      <c r="DJ11" s="407" t="s">
        <v>188</v>
      </c>
      <c r="DK11" s="399"/>
      <c r="DL11" s="399"/>
      <c r="DM11" s="399"/>
      <c r="DN11" s="399"/>
      <c r="DO11" s="399"/>
      <c r="DP11" s="399"/>
      <c r="DQ11" s="399"/>
      <c r="DR11" s="399"/>
      <c r="DS11" s="399"/>
      <c r="DT11" s="399"/>
      <c r="DU11" s="399"/>
      <c r="DV11" s="399"/>
      <c r="DW11" s="399"/>
      <c r="DX11" s="399"/>
      <c r="DY11" s="399"/>
      <c r="DZ11" s="408"/>
      <c r="EA11" s="398" t="s">
        <v>189</v>
      </c>
      <c r="EB11" s="399"/>
      <c r="EC11" s="399"/>
      <c r="ED11" s="399"/>
      <c r="EE11" s="399"/>
      <c r="EF11" s="399"/>
      <c r="EG11" s="399"/>
      <c r="EH11" s="399"/>
      <c r="EI11" s="399"/>
      <c r="EJ11" s="399"/>
      <c r="EK11" s="399"/>
      <c r="EL11" s="399"/>
      <c r="EM11" s="399"/>
      <c r="EN11" s="399"/>
      <c r="EO11" s="399"/>
      <c r="EP11" s="399"/>
      <c r="EQ11" s="399"/>
      <c r="ER11" s="399"/>
      <c r="ES11" s="399"/>
      <c r="ET11" s="399"/>
      <c r="EU11" s="399"/>
      <c r="EV11" s="399"/>
      <c r="EW11" s="399"/>
      <c r="EX11" s="399"/>
      <c r="EY11" s="399"/>
      <c r="EZ11" s="399"/>
      <c r="FA11" s="399"/>
      <c r="FB11" s="399"/>
      <c r="FC11" s="399"/>
      <c r="FD11" s="399"/>
      <c r="FE11" s="399"/>
      <c r="FF11" s="399"/>
      <c r="FG11" s="400"/>
    </row>
    <row r="12" spans="2:164" ht="8.65" customHeight="1">
      <c r="B12" s="130"/>
      <c r="C12" s="131"/>
      <c r="D12" s="131"/>
      <c r="E12" s="131"/>
      <c r="F12" s="131"/>
      <c r="G12" s="131"/>
      <c r="H12" s="131"/>
      <c r="I12" s="131"/>
      <c r="J12" s="131"/>
      <c r="K12" s="131"/>
      <c r="L12" s="132"/>
      <c r="M12" s="133"/>
      <c r="N12" s="131"/>
      <c r="O12" s="131"/>
      <c r="P12" s="131"/>
      <c r="Q12" s="131"/>
      <c r="R12" s="131"/>
      <c r="S12" s="131"/>
      <c r="T12" s="131"/>
      <c r="U12" s="131"/>
      <c r="V12" s="131"/>
      <c r="W12" s="131"/>
      <c r="X12" s="131"/>
      <c r="Y12" s="131"/>
      <c r="Z12" s="131"/>
      <c r="AA12" s="131"/>
      <c r="AB12" s="132"/>
      <c r="AC12" s="364"/>
      <c r="AD12" s="365"/>
      <c r="AE12" s="365"/>
      <c r="AF12" s="365"/>
      <c r="AG12" s="366"/>
      <c r="AH12" s="365"/>
      <c r="AI12" s="365"/>
      <c r="AJ12" s="365"/>
      <c r="AK12" s="371"/>
      <c r="AL12" s="364"/>
      <c r="AM12" s="365"/>
      <c r="AN12" s="365"/>
      <c r="AO12" s="365"/>
      <c r="AP12" s="366"/>
      <c r="AQ12" s="365"/>
      <c r="AR12" s="365"/>
      <c r="AS12" s="365"/>
      <c r="AT12" s="371"/>
      <c r="AU12" s="130"/>
      <c r="AV12" s="131"/>
      <c r="AW12" s="131"/>
      <c r="AX12" s="131"/>
      <c r="AY12" s="131"/>
      <c r="AZ12" s="131"/>
      <c r="BA12" s="131"/>
      <c r="BB12" s="131"/>
      <c r="BC12" s="131"/>
      <c r="BD12" s="132"/>
      <c r="BE12" s="364"/>
      <c r="BF12" s="365"/>
      <c r="BG12" s="365"/>
      <c r="BH12" s="365"/>
      <c r="BI12" s="365"/>
      <c r="BJ12" s="366"/>
      <c r="BK12" s="365"/>
      <c r="BL12" s="365"/>
      <c r="BM12" s="365"/>
      <c r="BN12" s="365"/>
      <c r="BO12" s="365"/>
      <c r="BP12" s="365"/>
      <c r="BQ12" s="371"/>
      <c r="BR12" s="437"/>
      <c r="BS12" s="437"/>
      <c r="BT12" s="437"/>
      <c r="BU12" s="437"/>
      <c r="BV12" s="437"/>
      <c r="BW12" s="437"/>
      <c r="BX12" s="438"/>
      <c r="BY12" s="394"/>
      <c r="BZ12" s="395"/>
      <c r="CA12" s="395"/>
      <c r="CB12" s="395"/>
      <c r="CC12" s="395"/>
      <c r="CD12" s="395"/>
      <c r="CE12" s="395"/>
      <c r="CF12" s="395"/>
      <c r="CG12" s="395"/>
      <c r="CH12" s="395"/>
      <c r="CI12" s="395"/>
      <c r="CJ12" s="395"/>
      <c r="CK12" s="395"/>
      <c r="CL12" s="395"/>
      <c r="CM12" s="401"/>
      <c r="CN12" s="402"/>
      <c r="CO12" s="402"/>
      <c r="CP12" s="402"/>
      <c r="CQ12" s="402"/>
      <c r="CR12" s="402"/>
      <c r="CS12" s="402"/>
      <c r="CT12" s="402"/>
      <c r="CU12" s="402"/>
      <c r="CV12" s="402"/>
      <c r="CW12" s="402"/>
      <c r="CX12" s="402"/>
      <c r="CY12" s="402"/>
      <c r="CZ12" s="402"/>
      <c r="DA12" s="402"/>
      <c r="DB12" s="402"/>
      <c r="DC12" s="402"/>
      <c r="DD12" s="402"/>
      <c r="DE12" s="402"/>
      <c r="DF12" s="402"/>
      <c r="DG12" s="402"/>
      <c r="DH12" s="402"/>
      <c r="DI12" s="403"/>
      <c r="DJ12" s="409"/>
      <c r="DK12" s="402"/>
      <c r="DL12" s="402"/>
      <c r="DM12" s="402"/>
      <c r="DN12" s="402"/>
      <c r="DO12" s="402"/>
      <c r="DP12" s="402"/>
      <c r="DQ12" s="402"/>
      <c r="DR12" s="402"/>
      <c r="DS12" s="402"/>
      <c r="DT12" s="402"/>
      <c r="DU12" s="402"/>
      <c r="DV12" s="402"/>
      <c r="DW12" s="402"/>
      <c r="DX12" s="402"/>
      <c r="DY12" s="402"/>
      <c r="DZ12" s="410"/>
      <c r="EA12" s="401"/>
      <c r="EB12" s="402"/>
      <c r="EC12" s="402"/>
      <c r="ED12" s="402"/>
      <c r="EE12" s="402"/>
      <c r="EF12" s="402"/>
      <c r="EG12" s="402"/>
      <c r="EH12" s="402"/>
      <c r="EI12" s="402"/>
      <c r="EJ12" s="402"/>
      <c r="EK12" s="402"/>
      <c r="EL12" s="402"/>
      <c r="EM12" s="402"/>
      <c r="EN12" s="402"/>
      <c r="EO12" s="402"/>
      <c r="EP12" s="402"/>
      <c r="EQ12" s="402"/>
      <c r="ER12" s="402"/>
      <c r="ES12" s="402"/>
      <c r="ET12" s="402"/>
      <c r="EU12" s="402"/>
      <c r="EV12" s="402"/>
      <c r="EW12" s="402"/>
      <c r="EX12" s="402"/>
      <c r="EY12" s="402"/>
      <c r="EZ12" s="402"/>
      <c r="FA12" s="402"/>
      <c r="FB12" s="402"/>
      <c r="FC12" s="402"/>
      <c r="FD12" s="402"/>
      <c r="FE12" s="402"/>
      <c r="FF12" s="402"/>
      <c r="FG12" s="403"/>
    </row>
    <row r="13" spans="2:164" ht="8.65" customHeight="1">
      <c r="B13" s="130"/>
      <c r="C13" s="131"/>
      <c r="D13" s="131"/>
      <c r="E13" s="131"/>
      <c r="F13" s="131"/>
      <c r="G13" s="131"/>
      <c r="H13" s="131"/>
      <c r="I13" s="131"/>
      <c r="J13" s="131"/>
      <c r="K13" s="131"/>
      <c r="L13" s="132"/>
      <c r="M13" s="133"/>
      <c r="N13" s="131"/>
      <c r="O13" s="131"/>
      <c r="P13" s="131"/>
      <c r="Q13" s="131"/>
      <c r="R13" s="131"/>
      <c r="S13" s="131"/>
      <c r="T13" s="131"/>
      <c r="U13" s="131"/>
      <c r="V13" s="131"/>
      <c r="W13" s="131"/>
      <c r="X13" s="131"/>
      <c r="Y13" s="131"/>
      <c r="Z13" s="131"/>
      <c r="AA13" s="131"/>
      <c r="AB13" s="132"/>
      <c r="AC13" s="364"/>
      <c r="AD13" s="365"/>
      <c r="AE13" s="365"/>
      <c r="AF13" s="365"/>
      <c r="AG13" s="366"/>
      <c r="AH13" s="365"/>
      <c r="AI13" s="365"/>
      <c r="AJ13" s="365"/>
      <c r="AK13" s="371"/>
      <c r="AL13" s="364"/>
      <c r="AM13" s="365"/>
      <c r="AN13" s="365"/>
      <c r="AO13" s="365"/>
      <c r="AP13" s="366"/>
      <c r="AQ13" s="365"/>
      <c r="AR13" s="365"/>
      <c r="AS13" s="365"/>
      <c r="AT13" s="371"/>
      <c r="AU13" s="130"/>
      <c r="AV13" s="131"/>
      <c r="AW13" s="131"/>
      <c r="AX13" s="131"/>
      <c r="AY13" s="131"/>
      <c r="AZ13" s="131"/>
      <c r="BA13" s="131"/>
      <c r="BB13" s="131"/>
      <c r="BC13" s="131"/>
      <c r="BD13" s="132"/>
      <c r="BE13" s="364"/>
      <c r="BF13" s="365"/>
      <c r="BG13" s="365"/>
      <c r="BH13" s="365"/>
      <c r="BI13" s="365"/>
      <c r="BJ13" s="366"/>
      <c r="BK13" s="365"/>
      <c r="BL13" s="365"/>
      <c r="BM13" s="365"/>
      <c r="BN13" s="365"/>
      <c r="BO13" s="365"/>
      <c r="BP13" s="365"/>
      <c r="BQ13" s="371"/>
      <c r="BR13" s="437"/>
      <c r="BS13" s="437"/>
      <c r="BT13" s="437"/>
      <c r="BU13" s="437"/>
      <c r="BV13" s="437"/>
      <c r="BW13" s="437"/>
      <c r="BX13" s="438"/>
      <c r="BY13" s="394"/>
      <c r="BZ13" s="395"/>
      <c r="CA13" s="395"/>
      <c r="CB13" s="395"/>
      <c r="CC13" s="395"/>
      <c r="CD13" s="395"/>
      <c r="CE13" s="395"/>
      <c r="CF13" s="395"/>
      <c r="CG13" s="395"/>
      <c r="CH13" s="395"/>
      <c r="CI13" s="395"/>
      <c r="CJ13" s="395"/>
      <c r="CK13" s="395"/>
      <c r="CL13" s="395"/>
      <c r="CM13" s="401"/>
      <c r="CN13" s="402"/>
      <c r="CO13" s="402"/>
      <c r="CP13" s="402"/>
      <c r="CQ13" s="402"/>
      <c r="CR13" s="402"/>
      <c r="CS13" s="402"/>
      <c r="CT13" s="402"/>
      <c r="CU13" s="402"/>
      <c r="CV13" s="402"/>
      <c r="CW13" s="402"/>
      <c r="CX13" s="402"/>
      <c r="CY13" s="402"/>
      <c r="CZ13" s="402"/>
      <c r="DA13" s="402"/>
      <c r="DB13" s="402"/>
      <c r="DC13" s="402"/>
      <c r="DD13" s="402"/>
      <c r="DE13" s="402"/>
      <c r="DF13" s="402"/>
      <c r="DG13" s="402"/>
      <c r="DH13" s="402"/>
      <c r="DI13" s="403"/>
      <c r="DJ13" s="409"/>
      <c r="DK13" s="402"/>
      <c r="DL13" s="402"/>
      <c r="DM13" s="402"/>
      <c r="DN13" s="402"/>
      <c r="DO13" s="402"/>
      <c r="DP13" s="402"/>
      <c r="DQ13" s="402"/>
      <c r="DR13" s="402"/>
      <c r="DS13" s="402"/>
      <c r="DT13" s="402"/>
      <c r="DU13" s="402"/>
      <c r="DV13" s="402"/>
      <c r="DW13" s="402"/>
      <c r="DX13" s="402"/>
      <c r="DY13" s="402"/>
      <c r="DZ13" s="410"/>
      <c r="EA13" s="401" t="s">
        <v>190</v>
      </c>
      <c r="EB13" s="402"/>
      <c r="EC13" s="402"/>
      <c r="ED13" s="402"/>
      <c r="EE13" s="402"/>
      <c r="EF13" s="402"/>
      <c r="EG13" s="402"/>
      <c r="EH13" s="402"/>
      <c r="EI13" s="402"/>
      <c r="EJ13" s="402"/>
      <c r="EK13" s="402"/>
      <c r="EL13" s="402"/>
      <c r="EM13" s="402"/>
      <c r="EN13" s="402"/>
      <c r="EO13" s="402"/>
      <c r="EP13" s="402"/>
      <c r="EQ13" s="402"/>
      <c r="ER13" s="402"/>
      <c r="ES13" s="402"/>
      <c r="ET13" s="402"/>
      <c r="EU13" s="402"/>
      <c r="EV13" s="402"/>
      <c r="EW13" s="402"/>
      <c r="EX13" s="402"/>
      <c r="EY13" s="402"/>
      <c r="EZ13" s="402"/>
      <c r="FA13" s="402"/>
      <c r="FB13" s="402"/>
      <c r="FC13" s="402"/>
      <c r="FD13" s="402"/>
      <c r="FE13" s="402"/>
      <c r="FF13" s="402"/>
      <c r="FG13" s="403"/>
    </row>
    <row r="14" spans="2:164" ht="8.65" customHeight="1">
      <c r="B14" s="134"/>
      <c r="C14" s="135"/>
      <c r="D14" s="135"/>
      <c r="E14" s="135"/>
      <c r="F14" s="135"/>
      <c r="G14" s="135"/>
      <c r="H14" s="135"/>
      <c r="I14" s="135"/>
      <c r="J14" s="135"/>
      <c r="K14" s="135"/>
      <c r="L14" s="136"/>
      <c r="M14" s="137"/>
      <c r="N14" s="135"/>
      <c r="O14" s="135"/>
      <c r="P14" s="135"/>
      <c r="Q14" s="135"/>
      <c r="R14" s="135"/>
      <c r="S14" s="135"/>
      <c r="T14" s="135"/>
      <c r="U14" s="135"/>
      <c r="V14" s="135"/>
      <c r="W14" s="135"/>
      <c r="X14" s="135"/>
      <c r="Y14" s="135"/>
      <c r="Z14" s="135"/>
      <c r="AA14" s="135"/>
      <c r="AB14" s="136"/>
      <c r="AC14" s="367"/>
      <c r="AD14" s="368"/>
      <c r="AE14" s="368"/>
      <c r="AF14" s="368"/>
      <c r="AG14" s="369"/>
      <c r="AH14" s="368"/>
      <c r="AI14" s="368"/>
      <c r="AJ14" s="368"/>
      <c r="AK14" s="372"/>
      <c r="AL14" s="367"/>
      <c r="AM14" s="368"/>
      <c r="AN14" s="368"/>
      <c r="AO14" s="368"/>
      <c r="AP14" s="369"/>
      <c r="AQ14" s="368"/>
      <c r="AR14" s="368"/>
      <c r="AS14" s="368"/>
      <c r="AT14" s="372"/>
      <c r="AU14" s="134"/>
      <c r="AV14" s="135"/>
      <c r="AW14" s="135"/>
      <c r="AX14" s="135"/>
      <c r="AY14" s="135"/>
      <c r="AZ14" s="135"/>
      <c r="BA14" s="135"/>
      <c r="BB14" s="135"/>
      <c r="BC14" s="135"/>
      <c r="BD14" s="136"/>
      <c r="BE14" s="367"/>
      <c r="BF14" s="368"/>
      <c r="BG14" s="368"/>
      <c r="BH14" s="368"/>
      <c r="BI14" s="368"/>
      <c r="BJ14" s="369"/>
      <c r="BK14" s="368"/>
      <c r="BL14" s="368"/>
      <c r="BM14" s="368"/>
      <c r="BN14" s="368"/>
      <c r="BO14" s="368"/>
      <c r="BP14" s="368"/>
      <c r="BQ14" s="372"/>
      <c r="BR14" s="439"/>
      <c r="BS14" s="439"/>
      <c r="BT14" s="439"/>
      <c r="BU14" s="439"/>
      <c r="BV14" s="439"/>
      <c r="BW14" s="439"/>
      <c r="BX14" s="440"/>
      <c r="BY14" s="396"/>
      <c r="BZ14" s="397"/>
      <c r="CA14" s="397"/>
      <c r="CB14" s="397"/>
      <c r="CC14" s="397"/>
      <c r="CD14" s="397"/>
      <c r="CE14" s="397"/>
      <c r="CF14" s="397"/>
      <c r="CG14" s="397"/>
      <c r="CH14" s="397"/>
      <c r="CI14" s="397"/>
      <c r="CJ14" s="397"/>
      <c r="CK14" s="397"/>
      <c r="CL14" s="397"/>
      <c r="CM14" s="404"/>
      <c r="CN14" s="405"/>
      <c r="CO14" s="405"/>
      <c r="CP14" s="405"/>
      <c r="CQ14" s="405"/>
      <c r="CR14" s="405"/>
      <c r="CS14" s="405"/>
      <c r="CT14" s="405"/>
      <c r="CU14" s="405"/>
      <c r="CV14" s="405"/>
      <c r="CW14" s="405"/>
      <c r="CX14" s="405"/>
      <c r="CY14" s="405"/>
      <c r="CZ14" s="405"/>
      <c r="DA14" s="405"/>
      <c r="DB14" s="405"/>
      <c r="DC14" s="405"/>
      <c r="DD14" s="405"/>
      <c r="DE14" s="405"/>
      <c r="DF14" s="405"/>
      <c r="DG14" s="405"/>
      <c r="DH14" s="405"/>
      <c r="DI14" s="406"/>
      <c r="DJ14" s="411"/>
      <c r="DK14" s="405"/>
      <c r="DL14" s="405"/>
      <c r="DM14" s="405"/>
      <c r="DN14" s="405"/>
      <c r="DO14" s="405"/>
      <c r="DP14" s="405"/>
      <c r="DQ14" s="405"/>
      <c r="DR14" s="405"/>
      <c r="DS14" s="405"/>
      <c r="DT14" s="405"/>
      <c r="DU14" s="405"/>
      <c r="DV14" s="405"/>
      <c r="DW14" s="405"/>
      <c r="DX14" s="405"/>
      <c r="DY14" s="405"/>
      <c r="DZ14" s="412"/>
      <c r="EA14" s="404"/>
      <c r="EB14" s="405"/>
      <c r="EC14" s="405"/>
      <c r="ED14" s="405"/>
      <c r="EE14" s="405"/>
      <c r="EF14" s="405"/>
      <c r="EG14" s="405"/>
      <c r="EH14" s="405"/>
      <c r="EI14" s="405"/>
      <c r="EJ14" s="405"/>
      <c r="EK14" s="405"/>
      <c r="EL14" s="405"/>
      <c r="EM14" s="405"/>
      <c r="EN14" s="405"/>
      <c r="EO14" s="405"/>
      <c r="EP14" s="405"/>
      <c r="EQ14" s="405"/>
      <c r="ER14" s="405"/>
      <c r="ES14" s="405"/>
      <c r="ET14" s="405"/>
      <c r="EU14" s="405"/>
      <c r="EV14" s="405"/>
      <c r="EW14" s="405"/>
      <c r="EX14" s="405"/>
      <c r="EY14" s="405"/>
      <c r="EZ14" s="405"/>
      <c r="FA14" s="405"/>
      <c r="FB14" s="405"/>
      <c r="FC14" s="405"/>
      <c r="FD14" s="405"/>
      <c r="FE14" s="405"/>
      <c r="FF14" s="405"/>
      <c r="FG14" s="406"/>
    </row>
    <row r="15" spans="2:164" ht="8.65" customHeight="1">
      <c r="B15" s="413" t="s">
        <v>191</v>
      </c>
      <c r="C15" s="414"/>
      <c r="D15" s="414"/>
      <c r="E15" s="414"/>
      <c r="F15" s="414"/>
      <c r="G15" s="414"/>
      <c r="H15" s="414"/>
      <c r="I15" s="414"/>
      <c r="J15" s="414"/>
      <c r="K15" s="414"/>
      <c r="L15" s="414"/>
      <c r="M15" s="419" t="s">
        <v>192</v>
      </c>
      <c r="N15" s="414"/>
      <c r="O15" s="414"/>
      <c r="P15" s="414"/>
      <c r="Q15" s="414"/>
      <c r="R15" s="414"/>
      <c r="S15" s="414"/>
      <c r="T15" s="414"/>
      <c r="U15" s="414"/>
      <c r="V15" s="414"/>
      <c r="W15" s="414"/>
      <c r="X15" s="414"/>
      <c r="Y15" s="414"/>
      <c r="Z15" s="414"/>
      <c r="AA15" s="414"/>
      <c r="AB15" s="420"/>
      <c r="AC15" s="423">
        <v>17.5</v>
      </c>
      <c r="AD15" s="424"/>
      <c r="AE15" s="424"/>
      <c r="AF15" s="424"/>
      <c r="AG15" s="425"/>
      <c r="AH15" s="429">
        <f>AC15</f>
        <v>17.5</v>
      </c>
      <c r="AI15" s="430"/>
      <c r="AJ15" s="430"/>
      <c r="AK15" s="431"/>
      <c r="AL15" s="423">
        <v>5</v>
      </c>
      <c r="AM15" s="424"/>
      <c r="AN15" s="424"/>
      <c r="AO15" s="424"/>
      <c r="AP15" s="425"/>
      <c r="AQ15" s="429">
        <f>AL15</f>
        <v>5</v>
      </c>
      <c r="AR15" s="430"/>
      <c r="AS15" s="430"/>
      <c r="AT15" s="449"/>
      <c r="AU15" s="413" t="s">
        <v>193</v>
      </c>
      <c r="AV15" s="414"/>
      <c r="AW15" s="414"/>
      <c r="AX15" s="414"/>
      <c r="AY15" s="414"/>
      <c r="AZ15" s="414"/>
      <c r="BA15" s="414"/>
      <c r="BB15" s="414"/>
      <c r="BC15" s="414"/>
      <c r="BD15" s="420"/>
      <c r="BE15" s="483">
        <v>8</v>
      </c>
      <c r="BF15" s="484"/>
      <c r="BG15" s="484"/>
      <c r="BH15" s="484"/>
      <c r="BI15" s="484"/>
      <c r="BJ15" s="485"/>
      <c r="BK15" s="492">
        <v>8</v>
      </c>
      <c r="BL15" s="484"/>
      <c r="BM15" s="484"/>
      <c r="BN15" s="484"/>
      <c r="BO15" s="484"/>
      <c r="BP15" s="484"/>
      <c r="BQ15" s="493"/>
      <c r="BR15" s="483">
        <v>15</v>
      </c>
      <c r="BS15" s="484"/>
      <c r="BT15" s="484"/>
      <c r="BU15" s="484"/>
      <c r="BV15" s="484"/>
      <c r="BW15" s="484"/>
      <c r="BX15" s="498"/>
      <c r="BY15" s="470" t="s">
        <v>194</v>
      </c>
      <c r="BZ15" s="467"/>
      <c r="CA15" s="467"/>
      <c r="CB15" s="467"/>
      <c r="CC15" s="467"/>
      <c r="CD15" s="467"/>
      <c r="CE15" s="467"/>
      <c r="CF15" s="467"/>
      <c r="CG15" s="467"/>
      <c r="CH15" s="467" t="s">
        <v>195</v>
      </c>
      <c r="CI15" s="467"/>
      <c r="CJ15" s="467"/>
      <c r="CK15" s="467"/>
      <c r="CL15" s="467"/>
      <c r="CM15" s="454" t="s">
        <v>196</v>
      </c>
      <c r="CN15" s="455"/>
      <c r="CO15" s="455"/>
      <c r="CP15" s="455"/>
      <c r="CQ15" s="455"/>
      <c r="CR15" s="455"/>
      <c r="CS15" s="455"/>
      <c r="CT15" s="455"/>
      <c r="CU15" s="455"/>
      <c r="CV15" s="455"/>
      <c r="CW15" s="455"/>
      <c r="CX15" s="455"/>
      <c r="CY15" s="455"/>
      <c r="CZ15" s="455"/>
      <c r="DA15" s="455"/>
      <c r="DB15" s="455"/>
      <c r="DC15" s="470"/>
      <c r="DD15" s="454" t="s">
        <v>195</v>
      </c>
      <c r="DE15" s="455"/>
      <c r="DF15" s="455"/>
      <c r="DG15" s="455"/>
      <c r="DH15" s="455"/>
      <c r="DI15" s="456"/>
      <c r="DJ15" s="473" t="s">
        <v>197</v>
      </c>
      <c r="DK15" s="474"/>
      <c r="DL15" s="474"/>
      <c r="DM15" s="474"/>
      <c r="DN15" s="474"/>
      <c r="DO15" s="474"/>
      <c r="DP15" s="474"/>
      <c r="DQ15" s="474"/>
      <c r="DR15" s="474"/>
      <c r="DS15" s="474"/>
      <c r="DT15" s="474"/>
      <c r="DU15" s="474"/>
      <c r="DV15" s="474"/>
      <c r="DW15" s="474"/>
      <c r="DX15" s="474"/>
      <c r="DY15" s="474"/>
      <c r="DZ15" s="475"/>
      <c r="EA15" s="454" t="s">
        <v>194</v>
      </c>
      <c r="EB15" s="455"/>
      <c r="EC15" s="455"/>
      <c r="ED15" s="455"/>
      <c r="EE15" s="455"/>
      <c r="EF15" s="455"/>
      <c r="EG15" s="455"/>
      <c r="EH15" s="455"/>
      <c r="EI15" s="455"/>
      <c r="EJ15" s="455"/>
      <c r="EK15" s="455"/>
      <c r="EL15" s="455"/>
      <c r="EM15" s="455"/>
      <c r="EN15" s="455"/>
      <c r="EO15" s="455"/>
      <c r="EP15" s="455"/>
      <c r="EQ15" s="470"/>
      <c r="ER15" s="454" t="s">
        <v>195</v>
      </c>
      <c r="ES15" s="455"/>
      <c r="ET15" s="455"/>
      <c r="EU15" s="455"/>
      <c r="EV15" s="455"/>
      <c r="EW15" s="455"/>
      <c r="EX15" s="455"/>
      <c r="EY15" s="470"/>
      <c r="EZ15" s="454" t="s">
        <v>198</v>
      </c>
      <c r="FA15" s="455"/>
      <c r="FB15" s="455"/>
      <c r="FC15" s="455"/>
      <c r="FD15" s="455"/>
      <c r="FE15" s="455"/>
      <c r="FF15" s="455"/>
      <c r="FG15" s="456"/>
    </row>
    <row r="16" spans="2:164" ht="8.65" customHeight="1">
      <c r="B16" s="415"/>
      <c r="C16" s="416"/>
      <c r="D16" s="416"/>
      <c r="E16" s="416"/>
      <c r="F16" s="416"/>
      <c r="G16" s="416"/>
      <c r="H16" s="416"/>
      <c r="I16" s="416"/>
      <c r="J16" s="416"/>
      <c r="K16" s="416"/>
      <c r="L16" s="416"/>
      <c r="M16" s="421"/>
      <c r="N16" s="418"/>
      <c r="O16" s="418"/>
      <c r="P16" s="418"/>
      <c r="Q16" s="418"/>
      <c r="R16" s="418"/>
      <c r="S16" s="418"/>
      <c r="T16" s="418"/>
      <c r="U16" s="418"/>
      <c r="V16" s="418"/>
      <c r="W16" s="418"/>
      <c r="X16" s="418"/>
      <c r="Y16" s="418"/>
      <c r="Z16" s="418"/>
      <c r="AA16" s="418"/>
      <c r="AB16" s="422"/>
      <c r="AC16" s="426"/>
      <c r="AD16" s="427"/>
      <c r="AE16" s="427"/>
      <c r="AF16" s="427"/>
      <c r="AG16" s="428"/>
      <c r="AH16" s="432"/>
      <c r="AI16" s="433"/>
      <c r="AJ16" s="433"/>
      <c r="AK16" s="434"/>
      <c r="AL16" s="426"/>
      <c r="AM16" s="427"/>
      <c r="AN16" s="427"/>
      <c r="AO16" s="427"/>
      <c r="AP16" s="428"/>
      <c r="AQ16" s="432"/>
      <c r="AR16" s="433"/>
      <c r="AS16" s="433"/>
      <c r="AT16" s="450"/>
      <c r="AU16" s="415"/>
      <c r="AV16" s="416"/>
      <c r="AW16" s="416"/>
      <c r="AX16" s="416"/>
      <c r="AY16" s="416"/>
      <c r="AZ16" s="416"/>
      <c r="BA16" s="416"/>
      <c r="BB16" s="416"/>
      <c r="BC16" s="416"/>
      <c r="BD16" s="482"/>
      <c r="BE16" s="486"/>
      <c r="BF16" s="487"/>
      <c r="BG16" s="487"/>
      <c r="BH16" s="487"/>
      <c r="BI16" s="487"/>
      <c r="BJ16" s="488"/>
      <c r="BK16" s="494"/>
      <c r="BL16" s="487"/>
      <c r="BM16" s="487"/>
      <c r="BN16" s="487"/>
      <c r="BO16" s="487"/>
      <c r="BP16" s="487"/>
      <c r="BQ16" s="495"/>
      <c r="BR16" s="486"/>
      <c r="BS16" s="487"/>
      <c r="BT16" s="487"/>
      <c r="BU16" s="487"/>
      <c r="BV16" s="487"/>
      <c r="BW16" s="487"/>
      <c r="BX16" s="499"/>
      <c r="BY16" s="471"/>
      <c r="BZ16" s="468"/>
      <c r="CA16" s="468"/>
      <c r="CB16" s="468"/>
      <c r="CC16" s="468"/>
      <c r="CD16" s="468"/>
      <c r="CE16" s="468"/>
      <c r="CF16" s="468"/>
      <c r="CG16" s="468"/>
      <c r="CH16" s="468"/>
      <c r="CI16" s="468"/>
      <c r="CJ16" s="468"/>
      <c r="CK16" s="468"/>
      <c r="CL16" s="468"/>
      <c r="CM16" s="457"/>
      <c r="CN16" s="458"/>
      <c r="CO16" s="458"/>
      <c r="CP16" s="458"/>
      <c r="CQ16" s="458"/>
      <c r="CR16" s="458"/>
      <c r="CS16" s="458"/>
      <c r="CT16" s="458"/>
      <c r="CU16" s="458"/>
      <c r="CV16" s="458"/>
      <c r="CW16" s="458"/>
      <c r="CX16" s="458"/>
      <c r="CY16" s="458"/>
      <c r="CZ16" s="458"/>
      <c r="DA16" s="458"/>
      <c r="DB16" s="458"/>
      <c r="DC16" s="471"/>
      <c r="DD16" s="457"/>
      <c r="DE16" s="458"/>
      <c r="DF16" s="458"/>
      <c r="DG16" s="458"/>
      <c r="DH16" s="458"/>
      <c r="DI16" s="459"/>
      <c r="DJ16" s="476"/>
      <c r="DK16" s="477"/>
      <c r="DL16" s="477"/>
      <c r="DM16" s="477"/>
      <c r="DN16" s="477"/>
      <c r="DO16" s="477"/>
      <c r="DP16" s="477"/>
      <c r="DQ16" s="477"/>
      <c r="DR16" s="477"/>
      <c r="DS16" s="477"/>
      <c r="DT16" s="477"/>
      <c r="DU16" s="477"/>
      <c r="DV16" s="477"/>
      <c r="DW16" s="477"/>
      <c r="DX16" s="477"/>
      <c r="DY16" s="477"/>
      <c r="DZ16" s="478"/>
      <c r="EA16" s="457"/>
      <c r="EB16" s="458"/>
      <c r="EC16" s="458"/>
      <c r="ED16" s="458"/>
      <c r="EE16" s="458"/>
      <c r="EF16" s="458"/>
      <c r="EG16" s="458"/>
      <c r="EH16" s="458"/>
      <c r="EI16" s="458"/>
      <c r="EJ16" s="458"/>
      <c r="EK16" s="458"/>
      <c r="EL16" s="458"/>
      <c r="EM16" s="458"/>
      <c r="EN16" s="458"/>
      <c r="EO16" s="458"/>
      <c r="EP16" s="458"/>
      <c r="EQ16" s="471"/>
      <c r="ER16" s="457"/>
      <c r="ES16" s="458"/>
      <c r="ET16" s="458"/>
      <c r="EU16" s="458"/>
      <c r="EV16" s="458"/>
      <c r="EW16" s="458"/>
      <c r="EX16" s="458"/>
      <c r="EY16" s="471"/>
      <c r="EZ16" s="457"/>
      <c r="FA16" s="458"/>
      <c r="FB16" s="458"/>
      <c r="FC16" s="458"/>
      <c r="FD16" s="458"/>
      <c r="FE16" s="458"/>
      <c r="FF16" s="458"/>
      <c r="FG16" s="459"/>
    </row>
    <row r="17" spans="2:163" ht="8.65" customHeight="1">
      <c r="B17" s="415"/>
      <c r="C17" s="416"/>
      <c r="D17" s="416"/>
      <c r="E17" s="416"/>
      <c r="F17" s="416"/>
      <c r="G17" s="416"/>
      <c r="H17" s="416"/>
      <c r="I17" s="416"/>
      <c r="J17" s="416"/>
      <c r="K17" s="416"/>
      <c r="L17" s="416"/>
      <c r="M17" s="419" t="s">
        <v>199</v>
      </c>
      <c r="N17" s="414"/>
      <c r="O17" s="414"/>
      <c r="P17" s="414"/>
      <c r="Q17" s="414"/>
      <c r="R17" s="414"/>
      <c r="S17" s="414"/>
      <c r="T17" s="414"/>
      <c r="U17" s="414"/>
      <c r="V17" s="414"/>
      <c r="W17" s="414"/>
      <c r="X17" s="414"/>
      <c r="Y17" s="414"/>
      <c r="Z17" s="414"/>
      <c r="AA17" s="414"/>
      <c r="AB17" s="420"/>
      <c r="AC17" s="463">
        <v>17.899999999999999</v>
      </c>
      <c r="AD17" s="430"/>
      <c r="AE17" s="430"/>
      <c r="AF17" s="430"/>
      <c r="AG17" s="464"/>
      <c r="AH17" s="429">
        <f t="shared" ref="AH17" si="0">AC17</f>
        <v>17.899999999999999</v>
      </c>
      <c r="AI17" s="430"/>
      <c r="AJ17" s="430"/>
      <c r="AK17" s="431"/>
      <c r="AL17" s="463">
        <v>5.2</v>
      </c>
      <c r="AM17" s="430"/>
      <c r="AN17" s="430"/>
      <c r="AO17" s="430"/>
      <c r="AP17" s="464"/>
      <c r="AQ17" s="429">
        <f t="shared" ref="AQ17" si="1">AL17</f>
        <v>5.2</v>
      </c>
      <c r="AR17" s="430"/>
      <c r="AS17" s="430"/>
      <c r="AT17" s="449"/>
      <c r="AU17" s="415"/>
      <c r="AV17" s="416"/>
      <c r="AW17" s="416"/>
      <c r="AX17" s="416"/>
      <c r="AY17" s="416"/>
      <c r="AZ17" s="416"/>
      <c r="BA17" s="416"/>
      <c r="BB17" s="416"/>
      <c r="BC17" s="416"/>
      <c r="BD17" s="482"/>
      <c r="BE17" s="486"/>
      <c r="BF17" s="487"/>
      <c r="BG17" s="487"/>
      <c r="BH17" s="487"/>
      <c r="BI17" s="487"/>
      <c r="BJ17" s="488"/>
      <c r="BK17" s="494"/>
      <c r="BL17" s="487"/>
      <c r="BM17" s="487"/>
      <c r="BN17" s="487"/>
      <c r="BO17" s="487"/>
      <c r="BP17" s="487"/>
      <c r="BQ17" s="495"/>
      <c r="BR17" s="486"/>
      <c r="BS17" s="487"/>
      <c r="BT17" s="487"/>
      <c r="BU17" s="487"/>
      <c r="BV17" s="487"/>
      <c r="BW17" s="487"/>
      <c r="BX17" s="499"/>
      <c r="BY17" s="471"/>
      <c r="BZ17" s="468"/>
      <c r="CA17" s="468"/>
      <c r="CB17" s="468"/>
      <c r="CC17" s="468"/>
      <c r="CD17" s="468"/>
      <c r="CE17" s="468"/>
      <c r="CF17" s="468"/>
      <c r="CG17" s="468"/>
      <c r="CH17" s="468"/>
      <c r="CI17" s="468"/>
      <c r="CJ17" s="468"/>
      <c r="CK17" s="468"/>
      <c r="CL17" s="468"/>
      <c r="CM17" s="457"/>
      <c r="CN17" s="458"/>
      <c r="CO17" s="458"/>
      <c r="CP17" s="458"/>
      <c r="CQ17" s="458"/>
      <c r="CR17" s="458"/>
      <c r="CS17" s="458"/>
      <c r="CT17" s="458"/>
      <c r="CU17" s="458"/>
      <c r="CV17" s="458"/>
      <c r="CW17" s="458"/>
      <c r="CX17" s="458"/>
      <c r="CY17" s="458"/>
      <c r="CZ17" s="458"/>
      <c r="DA17" s="458"/>
      <c r="DB17" s="458"/>
      <c r="DC17" s="471"/>
      <c r="DD17" s="457"/>
      <c r="DE17" s="458"/>
      <c r="DF17" s="458"/>
      <c r="DG17" s="458"/>
      <c r="DH17" s="458"/>
      <c r="DI17" s="459"/>
      <c r="DJ17" s="476"/>
      <c r="DK17" s="477"/>
      <c r="DL17" s="477"/>
      <c r="DM17" s="477"/>
      <c r="DN17" s="477"/>
      <c r="DO17" s="477"/>
      <c r="DP17" s="477"/>
      <c r="DQ17" s="477"/>
      <c r="DR17" s="477"/>
      <c r="DS17" s="477"/>
      <c r="DT17" s="477"/>
      <c r="DU17" s="477"/>
      <c r="DV17" s="477"/>
      <c r="DW17" s="477"/>
      <c r="DX17" s="477"/>
      <c r="DY17" s="477"/>
      <c r="DZ17" s="478"/>
      <c r="EA17" s="457"/>
      <c r="EB17" s="458"/>
      <c r="EC17" s="458"/>
      <c r="ED17" s="458"/>
      <c r="EE17" s="458"/>
      <c r="EF17" s="458"/>
      <c r="EG17" s="458"/>
      <c r="EH17" s="458"/>
      <c r="EI17" s="458"/>
      <c r="EJ17" s="458"/>
      <c r="EK17" s="458"/>
      <c r="EL17" s="458"/>
      <c r="EM17" s="458"/>
      <c r="EN17" s="458"/>
      <c r="EO17" s="458"/>
      <c r="EP17" s="458"/>
      <c r="EQ17" s="471"/>
      <c r="ER17" s="457"/>
      <c r="ES17" s="458"/>
      <c r="ET17" s="458"/>
      <c r="EU17" s="458"/>
      <c r="EV17" s="458"/>
      <c r="EW17" s="458"/>
      <c r="EX17" s="458"/>
      <c r="EY17" s="471"/>
      <c r="EZ17" s="457"/>
      <c r="FA17" s="458"/>
      <c r="FB17" s="458"/>
      <c r="FC17" s="458"/>
      <c r="FD17" s="458"/>
      <c r="FE17" s="458"/>
      <c r="FF17" s="458"/>
      <c r="FG17" s="459"/>
    </row>
    <row r="18" spans="2:163" ht="8.65" customHeight="1">
      <c r="B18" s="415"/>
      <c r="C18" s="416"/>
      <c r="D18" s="416"/>
      <c r="E18" s="416"/>
      <c r="F18" s="416"/>
      <c r="G18" s="416"/>
      <c r="H18" s="416"/>
      <c r="I18" s="416"/>
      <c r="J18" s="416"/>
      <c r="K18" s="416"/>
      <c r="L18" s="416"/>
      <c r="M18" s="421"/>
      <c r="N18" s="418"/>
      <c r="O18" s="418"/>
      <c r="P18" s="418"/>
      <c r="Q18" s="418"/>
      <c r="R18" s="418"/>
      <c r="S18" s="418"/>
      <c r="T18" s="418"/>
      <c r="U18" s="418"/>
      <c r="V18" s="418"/>
      <c r="W18" s="418"/>
      <c r="X18" s="418"/>
      <c r="Y18" s="418"/>
      <c r="Z18" s="418"/>
      <c r="AA18" s="418"/>
      <c r="AB18" s="422"/>
      <c r="AC18" s="465"/>
      <c r="AD18" s="433"/>
      <c r="AE18" s="433"/>
      <c r="AF18" s="433"/>
      <c r="AG18" s="466"/>
      <c r="AH18" s="432"/>
      <c r="AI18" s="433"/>
      <c r="AJ18" s="433"/>
      <c r="AK18" s="434"/>
      <c r="AL18" s="465"/>
      <c r="AM18" s="433"/>
      <c r="AN18" s="433"/>
      <c r="AO18" s="433"/>
      <c r="AP18" s="466"/>
      <c r="AQ18" s="432"/>
      <c r="AR18" s="433"/>
      <c r="AS18" s="433"/>
      <c r="AT18" s="450"/>
      <c r="AU18" s="415"/>
      <c r="AV18" s="416"/>
      <c r="AW18" s="416"/>
      <c r="AX18" s="416"/>
      <c r="AY18" s="416"/>
      <c r="AZ18" s="416"/>
      <c r="BA18" s="416"/>
      <c r="BB18" s="416"/>
      <c r="BC18" s="416"/>
      <c r="BD18" s="482"/>
      <c r="BE18" s="486"/>
      <c r="BF18" s="487"/>
      <c r="BG18" s="487"/>
      <c r="BH18" s="487"/>
      <c r="BI18" s="487"/>
      <c r="BJ18" s="488"/>
      <c r="BK18" s="494"/>
      <c r="BL18" s="487"/>
      <c r="BM18" s="487"/>
      <c r="BN18" s="487"/>
      <c r="BO18" s="487"/>
      <c r="BP18" s="487"/>
      <c r="BQ18" s="495"/>
      <c r="BR18" s="486"/>
      <c r="BS18" s="487"/>
      <c r="BT18" s="487"/>
      <c r="BU18" s="487"/>
      <c r="BV18" s="487"/>
      <c r="BW18" s="487"/>
      <c r="BX18" s="499"/>
      <c r="BY18" s="472"/>
      <c r="BZ18" s="469"/>
      <c r="CA18" s="469"/>
      <c r="CB18" s="469"/>
      <c r="CC18" s="469"/>
      <c r="CD18" s="469"/>
      <c r="CE18" s="469"/>
      <c r="CF18" s="469"/>
      <c r="CG18" s="469"/>
      <c r="CH18" s="469"/>
      <c r="CI18" s="469"/>
      <c r="CJ18" s="469"/>
      <c r="CK18" s="469"/>
      <c r="CL18" s="469"/>
      <c r="CM18" s="460"/>
      <c r="CN18" s="461"/>
      <c r="CO18" s="461"/>
      <c r="CP18" s="461"/>
      <c r="CQ18" s="461"/>
      <c r="CR18" s="461"/>
      <c r="CS18" s="461"/>
      <c r="CT18" s="461"/>
      <c r="CU18" s="461"/>
      <c r="CV18" s="461"/>
      <c r="CW18" s="461"/>
      <c r="CX18" s="461"/>
      <c r="CY18" s="461"/>
      <c r="CZ18" s="461"/>
      <c r="DA18" s="461"/>
      <c r="DB18" s="461"/>
      <c r="DC18" s="472"/>
      <c r="DD18" s="460"/>
      <c r="DE18" s="461"/>
      <c r="DF18" s="461"/>
      <c r="DG18" s="461"/>
      <c r="DH18" s="461"/>
      <c r="DI18" s="462"/>
      <c r="DJ18" s="479"/>
      <c r="DK18" s="480"/>
      <c r="DL18" s="480"/>
      <c r="DM18" s="480"/>
      <c r="DN18" s="480"/>
      <c r="DO18" s="480"/>
      <c r="DP18" s="480"/>
      <c r="DQ18" s="480"/>
      <c r="DR18" s="480"/>
      <c r="DS18" s="480"/>
      <c r="DT18" s="480"/>
      <c r="DU18" s="480"/>
      <c r="DV18" s="480"/>
      <c r="DW18" s="480"/>
      <c r="DX18" s="480"/>
      <c r="DY18" s="480"/>
      <c r="DZ18" s="481"/>
      <c r="EA18" s="460"/>
      <c r="EB18" s="461"/>
      <c r="EC18" s="461"/>
      <c r="ED18" s="461"/>
      <c r="EE18" s="461"/>
      <c r="EF18" s="461"/>
      <c r="EG18" s="461"/>
      <c r="EH18" s="461"/>
      <c r="EI18" s="461"/>
      <c r="EJ18" s="461"/>
      <c r="EK18" s="461"/>
      <c r="EL18" s="461"/>
      <c r="EM18" s="461"/>
      <c r="EN18" s="461"/>
      <c r="EO18" s="461"/>
      <c r="EP18" s="461"/>
      <c r="EQ18" s="472"/>
      <c r="ER18" s="460"/>
      <c r="ES18" s="461"/>
      <c r="ET18" s="461"/>
      <c r="EU18" s="461"/>
      <c r="EV18" s="461"/>
      <c r="EW18" s="461"/>
      <c r="EX18" s="461"/>
      <c r="EY18" s="472"/>
      <c r="EZ18" s="460"/>
      <c r="FA18" s="461"/>
      <c r="FB18" s="461"/>
      <c r="FC18" s="461"/>
      <c r="FD18" s="461"/>
      <c r="FE18" s="461"/>
      <c r="FF18" s="461"/>
      <c r="FG18" s="462"/>
    </row>
    <row r="19" spans="2:163" ht="8.65" customHeight="1">
      <c r="B19" s="415"/>
      <c r="C19" s="416"/>
      <c r="D19" s="416"/>
      <c r="E19" s="416"/>
      <c r="F19" s="416"/>
      <c r="G19" s="416"/>
      <c r="H19" s="416"/>
      <c r="I19" s="416"/>
      <c r="J19" s="416"/>
      <c r="K19" s="416"/>
      <c r="L19" s="416"/>
      <c r="M19" s="419" t="s">
        <v>200</v>
      </c>
      <c r="N19" s="414"/>
      <c r="O19" s="414"/>
      <c r="P19" s="414"/>
      <c r="Q19" s="414"/>
      <c r="R19" s="414"/>
      <c r="S19" s="414"/>
      <c r="T19" s="414"/>
      <c r="U19" s="414"/>
      <c r="V19" s="414"/>
      <c r="W19" s="414"/>
      <c r="X19" s="414"/>
      <c r="Y19" s="414"/>
      <c r="Z19" s="414"/>
      <c r="AA19" s="414"/>
      <c r="AB19" s="420"/>
      <c r="AC19" s="463">
        <v>18.2</v>
      </c>
      <c r="AD19" s="430"/>
      <c r="AE19" s="430"/>
      <c r="AF19" s="430"/>
      <c r="AG19" s="464"/>
      <c r="AH19" s="429">
        <f t="shared" ref="AH19" si="2">AC19</f>
        <v>18.2</v>
      </c>
      <c r="AI19" s="430"/>
      <c r="AJ19" s="430"/>
      <c r="AK19" s="431"/>
      <c r="AL19" s="463">
        <v>5.5</v>
      </c>
      <c r="AM19" s="430"/>
      <c r="AN19" s="430"/>
      <c r="AO19" s="430"/>
      <c r="AP19" s="464"/>
      <c r="AQ19" s="429">
        <f t="shared" ref="AQ19" si="3">AL19</f>
        <v>5.5</v>
      </c>
      <c r="AR19" s="430"/>
      <c r="AS19" s="430"/>
      <c r="AT19" s="449"/>
      <c r="AU19" s="415"/>
      <c r="AV19" s="416"/>
      <c r="AW19" s="416"/>
      <c r="AX19" s="416"/>
      <c r="AY19" s="416"/>
      <c r="AZ19" s="416"/>
      <c r="BA19" s="416"/>
      <c r="BB19" s="416"/>
      <c r="BC19" s="416"/>
      <c r="BD19" s="482"/>
      <c r="BE19" s="486"/>
      <c r="BF19" s="487"/>
      <c r="BG19" s="487"/>
      <c r="BH19" s="487"/>
      <c r="BI19" s="487"/>
      <c r="BJ19" s="488"/>
      <c r="BK19" s="494"/>
      <c r="BL19" s="487"/>
      <c r="BM19" s="487"/>
      <c r="BN19" s="487"/>
      <c r="BO19" s="487"/>
      <c r="BP19" s="487"/>
      <c r="BQ19" s="495"/>
      <c r="BR19" s="486"/>
      <c r="BS19" s="487"/>
      <c r="BT19" s="487"/>
      <c r="BU19" s="487"/>
      <c r="BV19" s="487"/>
      <c r="BW19" s="487"/>
      <c r="BX19" s="499"/>
      <c r="BY19" s="414" t="s">
        <v>201</v>
      </c>
      <c r="BZ19" s="414"/>
      <c r="CA19" s="414"/>
      <c r="CB19" s="414"/>
      <c r="CC19" s="414"/>
      <c r="CD19" s="414"/>
      <c r="CE19" s="414"/>
      <c r="CF19" s="414"/>
      <c r="CG19" s="451"/>
      <c r="CH19" s="526">
        <v>7.0000000000000007E-2</v>
      </c>
      <c r="CI19" s="526"/>
      <c r="CJ19" s="526"/>
      <c r="CK19" s="526"/>
      <c r="CL19" s="527"/>
      <c r="CM19" s="532" t="s">
        <v>202</v>
      </c>
      <c r="CN19" s="414"/>
      <c r="CO19" s="414"/>
      <c r="CP19" s="414"/>
      <c r="CQ19" s="414"/>
      <c r="CR19" s="414"/>
      <c r="CS19" s="414"/>
      <c r="CT19" s="414"/>
      <c r="CU19" s="414"/>
      <c r="CV19" s="414"/>
      <c r="CW19" s="414"/>
      <c r="CX19" s="414"/>
      <c r="CY19" s="414"/>
      <c r="CZ19" s="414"/>
      <c r="DA19" s="414"/>
      <c r="DB19" s="414"/>
      <c r="DC19" s="451"/>
      <c r="DD19" s="535">
        <v>0.68</v>
      </c>
      <c r="DE19" s="526"/>
      <c r="DF19" s="526"/>
      <c r="DG19" s="526"/>
      <c r="DH19" s="526"/>
      <c r="DI19" s="536"/>
      <c r="DJ19" s="541" t="s">
        <v>203</v>
      </c>
      <c r="DK19" s="542"/>
      <c r="DL19" s="542"/>
      <c r="DM19" s="542"/>
      <c r="DN19" s="542"/>
      <c r="DO19" s="542"/>
      <c r="DP19" s="542"/>
      <c r="DQ19" s="542"/>
      <c r="DR19" s="542"/>
      <c r="DS19" s="542"/>
      <c r="DT19" s="542"/>
      <c r="DU19" s="542"/>
      <c r="DV19" s="542"/>
      <c r="DW19" s="542"/>
      <c r="DX19" s="542"/>
      <c r="DY19" s="542"/>
      <c r="DZ19" s="543"/>
      <c r="EA19" s="507" t="s">
        <v>201</v>
      </c>
      <c r="EB19" s="507"/>
      <c r="EC19" s="507"/>
      <c r="ED19" s="507"/>
      <c r="EE19" s="507"/>
      <c r="EF19" s="507"/>
      <c r="EG19" s="507"/>
      <c r="EH19" s="507"/>
      <c r="EI19" s="507"/>
      <c r="EJ19" s="507"/>
      <c r="EK19" s="507"/>
      <c r="EL19" s="507"/>
      <c r="EM19" s="507"/>
      <c r="EN19" s="507"/>
      <c r="EO19" s="507"/>
      <c r="EP19" s="507"/>
      <c r="EQ19" s="507"/>
      <c r="ER19" s="525">
        <v>3.11</v>
      </c>
      <c r="ES19" s="525"/>
      <c r="ET19" s="525"/>
      <c r="EU19" s="525"/>
      <c r="EV19" s="525"/>
      <c r="EW19" s="525"/>
      <c r="EX19" s="525"/>
      <c r="EY19" s="525"/>
      <c r="EZ19" s="514"/>
      <c r="FA19" s="514"/>
      <c r="FB19" s="514"/>
      <c r="FC19" s="514"/>
      <c r="FD19" s="514"/>
      <c r="FE19" s="514"/>
      <c r="FF19" s="514"/>
      <c r="FG19" s="515"/>
    </row>
    <row r="20" spans="2:163" ht="8.65" customHeight="1">
      <c r="B20" s="415"/>
      <c r="C20" s="416"/>
      <c r="D20" s="416"/>
      <c r="E20" s="416"/>
      <c r="F20" s="416"/>
      <c r="G20" s="416"/>
      <c r="H20" s="416"/>
      <c r="I20" s="416"/>
      <c r="J20" s="416"/>
      <c r="K20" s="416"/>
      <c r="L20" s="416"/>
      <c r="M20" s="421"/>
      <c r="N20" s="418"/>
      <c r="O20" s="418"/>
      <c r="P20" s="418"/>
      <c r="Q20" s="418"/>
      <c r="R20" s="418"/>
      <c r="S20" s="418"/>
      <c r="T20" s="418"/>
      <c r="U20" s="418"/>
      <c r="V20" s="418"/>
      <c r="W20" s="418"/>
      <c r="X20" s="418"/>
      <c r="Y20" s="418"/>
      <c r="Z20" s="418"/>
      <c r="AA20" s="418"/>
      <c r="AB20" s="422"/>
      <c r="AC20" s="465"/>
      <c r="AD20" s="433"/>
      <c r="AE20" s="433"/>
      <c r="AF20" s="433"/>
      <c r="AG20" s="466"/>
      <c r="AH20" s="432"/>
      <c r="AI20" s="433"/>
      <c r="AJ20" s="433"/>
      <c r="AK20" s="434"/>
      <c r="AL20" s="465"/>
      <c r="AM20" s="433"/>
      <c r="AN20" s="433"/>
      <c r="AO20" s="433"/>
      <c r="AP20" s="466"/>
      <c r="AQ20" s="432"/>
      <c r="AR20" s="433"/>
      <c r="AS20" s="433"/>
      <c r="AT20" s="450"/>
      <c r="AU20" s="417"/>
      <c r="AV20" s="418"/>
      <c r="AW20" s="418"/>
      <c r="AX20" s="418"/>
      <c r="AY20" s="418"/>
      <c r="AZ20" s="418"/>
      <c r="BA20" s="418"/>
      <c r="BB20" s="418"/>
      <c r="BC20" s="418"/>
      <c r="BD20" s="422"/>
      <c r="BE20" s="486"/>
      <c r="BF20" s="487"/>
      <c r="BG20" s="487"/>
      <c r="BH20" s="487"/>
      <c r="BI20" s="487"/>
      <c r="BJ20" s="488"/>
      <c r="BK20" s="496"/>
      <c r="BL20" s="490"/>
      <c r="BM20" s="490"/>
      <c r="BN20" s="490"/>
      <c r="BO20" s="490"/>
      <c r="BP20" s="490"/>
      <c r="BQ20" s="497"/>
      <c r="BR20" s="486"/>
      <c r="BS20" s="487"/>
      <c r="BT20" s="487"/>
      <c r="BU20" s="487"/>
      <c r="BV20" s="487"/>
      <c r="BW20" s="487"/>
      <c r="BX20" s="499"/>
      <c r="BY20" s="416"/>
      <c r="BZ20" s="416"/>
      <c r="CA20" s="416"/>
      <c r="CB20" s="416"/>
      <c r="CC20" s="416"/>
      <c r="CD20" s="416"/>
      <c r="CE20" s="416"/>
      <c r="CF20" s="416"/>
      <c r="CG20" s="452"/>
      <c r="CH20" s="528"/>
      <c r="CI20" s="528"/>
      <c r="CJ20" s="528"/>
      <c r="CK20" s="528"/>
      <c r="CL20" s="529"/>
      <c r="CM20" s="533"/>
      <c r="CN20" s="416"/>
      <c r="CO20" s="416"/>
      <c r="CP20" s="416"/>
      <c r="CQ20" s="416"/>
      <c r="CR20" s="416"/>
      <c r="CS20" s="416"/>
      <c r="CT20" s="416"/>
      <c r="CU20" s="416"/>
      <c r="CV20" s="416"/>
      <c r="CW20" s="416"/>
      <c r="CX20" s="416"/>
      <c r="CY20" s="416"/>
      <c r="CZ20" s="416"/>
      <c r="DA20" s="416"/>
      <c r="DB20" s="416"/>
      <c r="DC20" s="452"/>
      <c r="DD20" s="537"/>
      <c r="DE20" s="528"/>
      <c r="DF20" s="528"/>
      <c r="DG20" s="528"/>
      <c r="DH20" s="528"/>
      <c r="DI20" s="538"/>
      <c r="DJ20" s="544"/>
      <c r="DK20" s="545"/>
      <c r="DL20" s="545"/>
      <c r="DM20" s="545"/>
      <c r="DN20" s="545"/>
      <c r="DO20" s="545"/>
      <c r="DP20" s="545"/>
      <c r="DQ20" s="545"/>
      <c r="DR20" s="545"/>
      <c r="DS20" s="545"/>
      <c r="DT20" s="545"/>
      <c r="DU20" s="545"/>
      <c r="DV20" s="545"/>
      <c r="DW20" s="545"/>
      <c r="DX20" s="545"/>
      <c r="DY20" s="545"/>
      <c r="DZ20" s="546"/>
      <c r="EA20" s="507"/>
      <c r="EB20" s="507"/>
      <c r="EC20" s="507"/>
      <c r="ED20" s="507"/>
      <c r="EE20" s="507"/>
      <c r="EF20" s="507"/>
      <c r="EG20" s="507"/>
      <c r="EH20" s="507"/>
      <c r="EI20" s="507"/>
      <c r="EJ20" s="507"/>
      <c r="EK20" s="507"/>
      <c r="EL20" s="507"/>
      <c r="EM20" s="507"/>
      <c r="EN20" s="507"/>
      <c r="EO20" s="507"/>
      <c r="EP20" s="507"/>
      <c r="EQ20" s="507"/>
      <c r="ER20" s="525"/>
      <c r="ES20" s="525"/>
      <c r="ET20" s="525"/>
      <c r="EU20" s="525"/>
      <c r="EV20" s="525"/>
      <c r="EW20" s="525"/>
      <c r="EX20" s="525"/>
      <c r="EY20" s="525"/>
      <c r="EZ20" s="514"/>
      <c r="FA20" s="514"/>
      <c r="FB20" s="514"/>
      <c r="FC20" s="514"/>
      <c r="FD20" s="514"/>
      <c r="FE20" s="514"/>
      <c r="FF20" s="514"/>
      <c r="FG20" s="515"/>
    </row>
    <row r="21" spans="2:163" ht="8.65" customHeight="1">
      <c r="B21" s="415"/>
      <c r="C21" s="416"/>
      <c r="D21" s="416"/>
      <c r="E21" s="416"/>
      <c r="F21" s="416"/>
      <c r="G21" s="416"/>
      <c r="H21" s="416"/>
      <c r="I21" s="416"/>
      <c r="J21" s="416"/>
      <c r="K21" s="416"/>
      <c r="L21" s="416"/>
      <c r="M21" s="419" t="s">
        <v>204</v>
      </c>
      <c r="N21" s="414"/>
      <c r="O21" s="414"/>
      <c r="P21" s="414"/>
      <c r="Q21" s="414"/>
      <c r="R21" s="414"/>
      <c r="S21" s="414"/>
      <c r="T21" s="414"/>
      <c r="U21" s="414"/>
      <c r="V21" s="414"/>
      <c r="W21" s="414"/>
      <c r="X21" s="414"/>
      <c r="Y21" s="414"/>
      <c r="Z21" s="414"/>
      <c r="AA21" s="414"/>
      <c r="AB21" s="420"/>
      <c r="AC21" s="463">
        <v>19.399999999999999</v>
      </c>
      <c r="AD21" s="430"/>
      <c r="AE21" s="430"/>
      <c r="AF21" s="430"/>
      <c r="AG21" s="464"/>
      <c r="AH21" s="429">
        <f t="shared" ref="AH21" si="4">AC21</f>
        <v>19.399999999999999</v>
      </c>
      <c r="AI21" s="430"/>
      <c r="AJ21" s="430"/>
      <c r="AK21" s="431"/>
      <c r="AL21" s="463">
        <v>6.1</v>
      </c>
      <c r="AM21" s="430"/>
      <c r="AN21" s="430"/>
      <c r="AO21" s="430"/>
      <c r="AP21" s="464"/>
      <c r="AQ21" s="429">
        <f t="shared" ref="AQ21" si="5">AL21</f>
        <v>6.1</v>
      </c>
      <c r="AR21" s="430"/>
      <c r="AS21" s="430"/>
      <c r="AT21" s="449"/>
      <c r="AU21" s="516" t="s">
        <v>205</v>
      </c>
      <c r="AV21" s="517"/>
      <c r="AW21" s="517"/>
      <c r="AX21" s="517"/>
      <c r="AY21" s="517"/>
      <c r="AZ21" s="517"/>
      <c r="BA21" s="517"/>
      <c r="BB21" s="517"/>
      <c r="BC21" s="517"/>
      <c r="BD21" s="518"/>
      <c r="BE21" s="486"/>
      <c r="BF21" s="487"/>
      <c r="BG21" s="487"/>
      <c r="BH21" s="487"/>
      <c r="BI21" s="487"/>
      <c r="BJ21" s="488"/>
      <c r="BK21" s="492">
        <v>6.5</v>
      </c>
      <c r="BL21" s="484"/>
      <c r="BM21" s="484"/>
      <c r="BN21" s="484"/>
      <c r="BO21" s="484"/>
      <c r="BP21" s="484"/>
      <c r="BQ21" s="493"/>
      <c r="BR21" s="486"/>
      <c r="BS21" s="487"/>
      <c r="BT21" s="487"/>
      <c r="BU21" s="487"/>
      <c r="BV21" s="487"/>
      <c r="BW21" s="487"/>
      <c r="BX21" s="499"/>
      <c r="BY21" s="416"/>
      <c r="BZ21" s="416"/>
      <c r="CA21" s="416"/>
      <c r="CB21" s="416"/>
      <c r="CC21" s="416"/>
      <c r="CD21" s="416"/>
      <c r="CE21" s="416"/>
      <c r="CF21" s="416"/>
      <c r="CG21" s="452"/>
      <c r="CH21" s="528"/>
      <c r="CI21" s="528"/>
      <c r="CJ21" s="528"/>
      <c r="CK21" s="528"/>
      <c r="CL21" s="529"/>
      <c r="CM21" s="533"/>
      <c r="CN21" s="416"/>
      <c r="CO21" s="416"/>
      <c r="CP21" s="416"/>
      <c r="CQ21" s="416"/>
      <c r="CR21" s="416"/>
      <c r="CS21" s="416"/>
      <c r="CT21" s="416"/>
      <c r="CU21" s="416"/>
      <c r="CV21" s="416"/>
      <c r="CW21" s="416"/>
      <c r="CX21" s="416"/>
      <c r="CY21" s="416"/>
      <c r="CZ21" s="416"/>
      <c r="DA21" s="416"/>
      <c r="DB21" s="416"/>
      <c r="DC21" s="452"/>
      <c r="DD21" s="537"/>
      <c r="DE21" s="528"/>
      <c r="DF21" s="528"/>
      <c r="DG21" s="528"/>
      <c r="DH21" s="528"/>
      <c r="DI21" s="538"/>
      <c r="DJ21" s="544"/>
      <c r="DK21" s="545"/>
      <c r="DL21" s="545"/>
      <c r="DM21" s="545"/>
      <c r="DN21" s="545"/>
      <c r="DO21" s="545"/>
      <c r="DP21" s="545"/>
      <c r="DQ21" s="545"/>
      <c r="DR21" s="545"/>
      <c r="DS21" s="545"/>
      <c r="DT21" s="545"/>
      <c r="DU21" s="545"/>
      <c r="DV21" s="545"/>
      <c r="DW21" s="545"/>
      <c r="DX21" s="545"/>
      <c r="DY21" s="545"/>
      <c r="DZ21" s="546"/>
      <c r="EA21" s="507" t="s">
        <v>206</v>
      </c>
      <c r="EB21" s="507"/>
      <c r="EC21" s="507"/>
      <c r="ED21" s="507"/>
      <c r="EE21" s="507"/>
      <c r="EF21" s="507"/>
      <c r="EG21" s="507"/>
      <c r="EH21" s="507"/>
      <c r="EI21" s="507"/>
      <c r="EJ21" s="507"/>
      <c r="EK21" s="507"/>
      <c r="EL21" s="507"/>
      <c r="EM21" s="507"/>
      <c r="EN21" s="507"/>
      <c r="EO21" s="507"/>
      <c r="EP21" s="507"/>
      <c r="EQ21" s="507"/>
      <c r="ER21" s="525">
        <v>3.15</v>
      </c>
      <c r="ES21" s="525"/>
      <c r="ET21" s="525"/>
      <c r="EU21" s="525"/>
      <c r="EV21" s="525"/>
      <c r="EW21" s="525"/>
      <c r="EX21" s="525"/>
      <c r="EY21" s="525"/>
      <c r="EZ21" s="514"/>
      <c r="FA21" s="514"/>
      <c r="FB21" s="514"/>
      <c r="FC21" s="514"/>
      <c r="FD21" s="514"/>
      <c r="FE21" s="514"/>
      <c r="FF21" s="514"/>
      <c r="FG21" s="515"/>
    </row>
    <row r="22" spans="2:163" ht="8.65" customHeight="1">
      <c r="B22" s="417"/>
      <c r="C22" s="418"/>
      <c r="D22" s="418"/>
      <c r="E22" s="418"/>
      <c r="F22" s="418"/>
      <c r="G22" s="418"/>
      <c r="H22" s="418"/>
      <c r="I22" s="418"/>
      <c r="J22" s="418"/>
      <c r="K22" s="418"/>
      <c r="L22" s="418"/>
      <c r="M22" s="421"/>
      <c r="N22" s="418"/>
      <c r="O22" s="418"/>
      <c r="P22" s="418"/>
      <c r="Q22" s="418"/>
      <c r="R22" s="418"/>
      <c r="S22" s="418"/>
      <c r="T22" s="418"/>
      <c r="U22" s="418"/>
      <c r="V22" s="418"/>
      <c r="W22" s="418"/>
      <c r="X22" s="418"/>
      <c r="Y22" s="418"/>
      <c r="Z22" s="418"/>
      <c r="AA22" s="418"/>
      <c r="AB22" s="422"/>
      <c r="AC22" s="465"/>
      <c r="AD22" s="433"/>
      <c r="AE22" s="433"/>
      <c r="AF22" s="433"/>
      <c r="AG22" s="466"/>
      <c r="AH22" s="432"/>
      <c r="AI22" s="433"/>
      <c r="AJ22" s="433"/>
      <c r="AK22" s="434"/>
      <c r="AL22" s="465"/>
      <c r="AM22" s="433"/>
      <c r="AN22" s="433"/>
      <c r="AO22" s="433"/>
      <c r="AP22" s="466"/>
      <c r="AQ22" s="432"/>
      <c r="AR22" s="433"/>
      <c r="AS22" s="433"/>
      <c r="AT22" s="450"/>
      <c r="AU22" s="519"/>
      <c r="AV22" s="520"/>
      <c r="AW22" s="520"/>
      <c r="AX22" s="520"/>
      <c r="AY22" s="520"/>
      <c r="AZ22" s="520"/>
      <c r="BA22" s="520"/>
      <c r="BB22" s="520"/>
      <c r="BC22" s="520"/>
      <c r="BD22" s="521"/>
      <c r="BE22" s="486"/>
      <c r="BF22" s="487"/>
      <c r="BG22" s="487"/>
      <c r="BH22" s="487"/>
      <c r="BI22" s="487"/>
      <c r="BJ22" s="488"/>
      <c r="BK22" s="494"/>
      <c r="BL22" s="487"/>
      <c r="BM22" s="487"/>
      <c r="BN22" s="487"/>
      <c r="BO22" s="487"/>
      <c r="BP22" s="487"/>
      <c r="BQ22" s="495"/>
      <c r="BR22" s="486"/>
      <c r="BS22" s="487"/>
      <c r="BT22" s="487"/>
      <c r="BU22" s="487"/>
      <c r="BV22" s="487"/>
      <c r="BW22" s="487"/>
      <c r="BX22" s="499"/>
      <c r="BY22" s="416"/>
      <c r="BZ22" s="416"/>
      <c r="CA22" s="416"/>
      <c r="CB22" s="416"/>
      <c r="CC22" s="416"/>
      <c r="CD22" s="416"/>
      <c r="CE22" s="416"/>
      <c r="CF22" s="416"/>
      <c r="CG22" s="452"/>
      <c r="CH22" s="528"/>
      <c r="CI22" s="528"/>
      <c r="CJ22" s="528"/>
      <c r="CK22" s="528"/>
      <c r="CL22" s="529"/>
      <c r="CM22" s="533"/>
      <c r="CN22" s="416"/>
      <c r="CO22" s="416"/>
      <c r="CP22" s="416"/>
      <c r="CQ22" s="416"/>
      <c r="CR22" s="416"/>
      <c r="CS22" s="416"/>
      <c r="CT22" s="416"/>
      <c r="CU22" s="416"/>
      <c r="CV22" s="416"/>
      <c r="CW22" s="416"/>
      <c r="CX22" s="416"/>
      <c r="CY22" s="416"/>
      <c r="CZ22" s="416"/>
      <c r="DA22" s="416"/>
      <c r="DB22" s="416"/>
      <c r="DC22" s="452"/>
      <c r="DD22" s="537"/>
      <c r="DE22" s="528"/>
      <c r="DF22" s="528"/>
      <c r="DG22" s="528"/>
      <c r="DH22" s="528"/>
      <c r="DI22" s="538"/>
      <c r="DJ22" s="544"/>
      <c r="DK22" s="545"/>
      <c r="DL22" s="545"/>
      <c r="DM22" s="545"/>
      <c r="DN22" s="545"/>
      <c r="DO22" s="545"/>
      <c r="DP22" s="545"/>
      <c r="DQ22" s="545"/>
      <c r="DR22" s="545"/>
      <c r="DS22" s="545"/>
      <c r="DT22" s="545"/>
      <c r="DU22" s="545"/>
      <c r="DV22" s="545"/>
      <c r="DW22" s="545"/>
      <c r="DX22" s="545"/>
      <c r="DY22" s="545"/>
      <c r="DZ22" s="546"/>
      <c r="EA22" s="507"/>
      <c r="EB22" s="507"/>
      <c r="EC22" s="507"/>
      <c r="ED22" s="507"/>
      <c r="EE22" s="507"/>
      <c r="EF22" s="507"/>
      <c r="EG22" s="507"/>
      <c r="EH22" s="507"/>
      <c r="EI22" s="507"/>
      <c r="EJ22" s="507"/>
      <c r="EK22" s="507"/>
      <c r="EL22" s="507"/>
      <c r="EM22" s="507"/>
      <c r="EN22" s="507"/>
      <c r="EO22" s="507"/>
      <c r="EP22" s="507"/>
      <c r="EQ22" s="507"/>
      <c r="ER22" s="525"/>
      <c r="ES22" s="525"/>
      <c r="ET22" s="525"/>
      <c r="EU22" s="525"/>
      <c r="EV22" s="525"/>
      <c r="EW22" s="525"/>
      <c r="EX22" s="525"/>
      <c r="EY22" s="525"/>
      <c r="EZ22" s="514"/>
      <c r="FA22" s="514"/>
      <c r="FB22" s="514"/>
      <c r="FC22" s="514"/>
      <c r="FD22" s="514"/>
      <c r="FE22" s="514"/>
      <c r="FF22" s="514"/>
      <c r="FG22" s="515"/>
    </row>
    <row r="23" spans="2:163" ht="8.65" customHeight="1">
      <c r="B23" s="516" t="s">
        <v>207</v>
      </c>
      <c r="C23" s="517"/>
      <c r="D23" s="517"/>
      <c r="E23" s="517"/>
      <c r="F23" s="517"/>
      <c r="G23" s="517"/>
      <c r="H23" s="517"/>
      <c r="I23" s="517"/>
      <c r="J23" s="517"/>
      <c r="K23" s="517"/>
      <c r="L23" s="517"/>
      <c r="M23" s="419" t="s">
        <v>192</v>
      </c>
      <c r="N23" s="414"/>
      <c r="O23" s="414"/>
      <c r="P23" s="414"/>
      <c r="Q23" s="414"/>
      <c r="R23" s="414"/>
      <c r="S23" s="414"/>
      <c r="T23" s="414"/>
      <c r="U23" s="414"/>
      <c r="V23" s="414"/>
      <c r="W23" s="414"/>
      <c r="X23" s="414"/>
      <c r="Y23" s="414"/>
      <c r="Z23" s="414"/>
      <c r="AA23" s="414"/>
      <c r="AB23" s="420"/>
      <c r="AC23" s="463">
        <v>17.399999999999999</v>
      </c>
      <c r="AD23" s="430"/>
      <c r="AE23" s="430"/>
      <c r="AF23" s="430"/>
      <c r="AG23" s="464"/>
      <c r="AH23" s="429">
        <f t="shared" ref="AH23" si="6">AC23</f>
        <v>17.399999999999999</v>
      </c>
      <c r="AI23" s="430"/>
      <c r="AJ23" s="430"/>
      <c r="AK23" s="431"/>
      <c r="AL23" s="463">
        <v>5.2</v>
      </c>
      <c r="AM23" s="430"/>
      <c r="AN23" s="430"/>
      <c r="AO23" s="430"/>
      <c r="AP23" s="464"/>
      <c r="AQ23" s="429">
        <f t="shared" ref="AQ23" si="7">AL23</f>
        <v>5.2</v>
      </c>
      <c r="AR23" s="430"/>
      <c r="AS23" s="430"/>
      <c r="AT23" s="449"/>
      <c r="AU23" s="519"/>
      <c r="AV23" s="520"/>
      <c r="AW23" s="520"/>
      <c r="AX23" s="520"/>
      <c r="AY23" s="520"/>
      <c r="AZ23" s="520"/>
      <c r="BA23" s="520"/>
      <c r="BB23" s="520"/>
      <c r="BC23" s="520"/>
      <c r="BD23" s="521"/>
      <c r="BE23" s="486"/>
      <c r="BF23" s="487"/>
      <c r="BG23" s="487"/>
      <c r="BH23" s="487"/>
      <c r="BI23" s="487"/>
      <c r="BJ23" s="488"/>
      <c r="BK23" s="494"/>
      <c r="BL23" s="487"/>
      <c r="BM23" s="487"/>
      <c r="BN23" s="487"/>
      <c r="BO23" s="487"/>
      <c r="BP23" s="487"/>
      <c r="BQ23" s="495"/>
      <c r="BR23" s="486"/>
      <c r="BS23" s="487"/>
      <c r="BT23" s="487"/>
      <c r="BU23" s="487"/>
      <c r="BV23" s="487"/>
      <c r="BW23" s="487"/>
      <c r="BX23" s="499"/>
      <c r="BY23" s="416"/>
      <c r="BZ23" s="416"/>
      <c r="CA23" s="416"/>
      <c r="CB23" s="416"/>
      <c r="CC23" s="416"/>
      <c r="CD23" s="416"/>
      <c r="CE23" s="416"/>
      <c r="CF23" s="416"/>
      <c r="CG23" s="452"/>
      <c r="CH23" s="528"/>
      <c r="CI23" s="528"/>
      <c r="CJ23" s="528"/>
      <c r="CK23" s="528"/>
      <c r="CL23" s="529"/>
      <c r="CM23" s="533"/>
      <c r="CN23" s="416"/>
      <c r="CO23" s="416"/>
      <c r="CP23" s="416"/>
      <c r="CQ23" s="416"/>
      <c r="CR23" s="416"/>
      <c r="CS23" s="416"/>
      <c r="CT23" s="416"/>
      <c r="CU23" s="416"/>
      <c r="CV23" s="416"/>
      <c r="CW23" s="416"/>
      <c r="CX23" s="416"/>
      <c r="CY23" s="416"/>
      <c r="CZ23" s="416"/>
      <c r="DA23" s="416"/>
      <c r="DB23" s="416"/>
      <c r="DC23" s="452"/>
      <c r="DD23" s="537"/>
      <c r="DE23" s="528"/>
      <c r="DF23" s="528"/>
      <c r="DG23" s="528"/>
      <c r="DH23" s="528"/>
      <c r="DI23" s="538"/>
      <c r="DJ23" s="544"/>
      <c r="DK23" s="545"/>
      <c r="DL23" s="545"/>
      <c r="DM23" s="545"/>
      <c r="DN23" s="545"/>
      <c r="DO23" s="545"/>
      <c r="DP23" s="545"/>
      <c r="DQ23" s="545"/>
      <c r="DR23" s="545"/>
      <c r="DS23" s="545"/>
      <c r="DT23" s="545"/>
      <c r="DU23" s="545"/>
      <c r="DV23" s="545"/>
      <c r="DW23" s="545"/>
      <c r="DX23" s="545"/>
      <c r="DY23" s="545"/>
      <c r="DZ23" s="546"/>
      <c r="EA23" s="507" t="s">
        <v>208</v>
      </c>
      <c r="EB23" s="507"/>
      <c r="EC23" s="507"/>
      <c r="ED23" s="507"/>
      <c r="EE23" s="507"/>
      <c r="EF23" s="507"/>
      <c r="EG23" s="507"/>
      <c r="EH23" s="507"/>
      <c r="EI23" s="507"/>
      <c r="EJ23" s="507"/>
      <c r="EK23" s="507"/>
      <c r="EL23" s="507"/>
      <c r="EM23" s="507"/>
      <c r="EN23" s="507"/>
      <c r="EO23" s="507"/>
      <c r="EP23" s="507"/>
      <c r="EQ23" s="507"/>
      <c r="ER23" s="525">
        <v>3.64</v>
      </c>
      <c r="ES23" s="525"/>
      <c r="ET23" s="525"/>
      <c r="EU23" s="525"/>
      <c r="EV23" s="525"/>
      <c r="EW23" s="525"/>
      <c r="EX23" s="525"/>
      <c r="EY23" s="525"/>
      <c r="EZ23" s="514"/>
      <c r="FA23" s="514"/>
      <c r="FB23" s="514"/>
      <c r="FC23" s="514"/>
      <c r="FD23" s="514"/>
      <c r="FE23" s="514"/>
      <c r="FF23" s="514"/>
      <c r="FG23" s="515"/>
    </row>
    <row r="24" spans="2:163" ht="8.65" customHeight="1">
      <c r="B24" s="519"/>
      <c r="C24" s="520"/>
      <c r="D24" s="520"/>
      <c r="E24" s="520"/>
      <c r="F24" s="520"/>
      <c r="G24" s="520"/>
      <c r="H24" s="520"/>
      <c r="I24" s="520"/>
      <c r="J24" s="520"/>
      <c r="K24" s="520"/>
      <c r="L24" s="520"/>
      <c r="M24" s="421"/>
      <c r="N24" s="418"/>
      <c r="O24" s="418"/>
      <c r="P24" s="418"/>
      <c r="Q24" s="418"/>
      <c r="R24" s="418"/>
      <c r="S24" s="418"/>
      <c r="T24" s="418"/>
      <c r="U24" s="418"/>
      <c r="V24" s="418"/>
      <c r="W24" s="418"/>
      <c r="X24" s="418"/>
      <c r="Y24" s="418"/>
      <c r="Z24" s="418"/>
      <c r="AA24" s="418"/>
      <c r="AB24" s="422"/>
      <c r="AC24" s="465"/>
      <c r="AD24" s="433"/>
      <c r="AE24" s="433"/>
      <c r="AF24" s="433"/>
      <c r="AG24" s="466"/>
      <c r="AH24" s="432"/>
      <c r="AI24" s="433"/>
      <c r="AJ24" s="433"/>
      <c r="AK24" s="434"/>
      <c r="AL24" s="465"/>
      <c r="AM24" s="433"/>
      <c r="AN24" s="433"/>
      <c r="AO24" s="433"/>
      <c r="AP24" s="466"/>
      <c r="AQ24" s="432"/>
      <c r="AR24" s="433"/>
      <c r="AS24" s="433"/>
      <c r="AT24" s="450"/>
      <c r="AU24" s="519"/>
      <c r="AV24" s="520"/>
      <c r="AW24" s="520"/>
      <c r="AX24" s="520"/>
      <c r="AY24" s="520"/>
      <c r="AZ24" s="520"/>
      <c r="BA24" s="520"/>
      <c r="BB24" s="520"/>
      <c r="BC24" s="520"/>
      <c r="BD24" s="521"/>
      <c r="BE24" s="486"/>
      <c r="BF24" s="487"/>
      <c r="BG24" s="487"/>
      <c r="BH24" s="487"/>
      <c r="BI24" s="487"/>
      <c r="BJ24" s="488"/>
      <c r="BK24" s="494"/>
      <c r="BL24" s="487"/>
      <c r="BM24" s="487"/>
      <c r="BN24" s="487"/>
      <c r="BO24" s="487"/>
      <c r="BP24" s="487"/>
      <c r="BQ24" s="495"/>
      <c r="BR24" s="486"/>
      <c r="BS24" s="487"/>
      <c r="BT24" s="487"/>
      <c r="BU24" s="487"/>
      <c r="BV24" s="487"/>
      <c r="BW24" s="487"/>
      <c r="BX24" s="499"/>
      <c r="BY24" s="418"/>
      <c r="BZ24" s="418"/>
      <c r="CA24" s="418"/>
      <c r="CB24" s="418"/>
      <c r="CC24" s="418"/>
      <c r="CD24" s="418"/>
      <c r="CE24" s="418"/>
      <c r="CF24" s="418"/>
      <c r="CG24" s="453"/>
      <c r="CH24" s="530"/>
      <c r="CI24" s="530"/>
      <c r="CJ24" s="530"/>
      <c r="CK24" s="530"/>
      <c r="CL24" s="531"/>
      <c r="CM24" s="534"/>
      <c r="CN24" s="418"/>
      <c r="CO24" s="418"/>
      <c r="CP24" s="418"/>
      <c r="CQ24" s="418"/>
      <c r="CR24" s="418"/>
      <c r="CS24" s="418"/>
      <c r="CT24" s="418"/>
      <c r="CU24" s="418"/>
      <c r="CV24" s="418"/>
      <c r="CW24" s="418"/>
      <c r="CX24" s="418"/>
      <c r="CY24" s="418"/>
      <c r="CZ24" s="418"/>
      <c r="DA24" s="418"/>
      <c r="DB24" s="418"/>
      <c r="DC24" s="453"/>
      <c r="DD24" s="539"/>
      <c r="DE24" s="530"/>
      <c r="DF24" s="530"/>
      <c r="DG24" s="530"/>
      <c r="DH24" s="530"/>
      <c r="DI24" s="540"/>
      <c r="DJ24" s="544"/>
      <c r="DK24" s="545"/>
      <c r="DL24" s="545"/>
      <c r="DM24" s="545"/>
      <c r="DN24" s="545"/>
      <c r="DO24" s="545"/>
      <c r="DP24" s="545"/>
      <c r="DQ24" s="545"/>
      <c r="DR24" s="545"/>
      <c r="DS24" s="545"/>
      <c r="DT24" s="545"/>
      <c r="DU24" s="545"/>
      <c r="DV24" s="545"/>
      <c r="DW24" s="545"/>
      <c r="DX24" s="545"/>
      <c r="DY24" s="545"/>
      <c r="DZ24" s="546"/>
      <c r="EA24" s="507"/>
      <c r="EB24" s="507"/>
      <c r="EC24" s="507"/>
      <c r="ED24" s="507"/>
      <c r="EE24" s="507"/>
      <c r="EF24" s="507"/>
      <c r="EG24" s="507"/>
      <c r="EH24" s="507"/>
      <c r="EI24" s="507"/>
      <c r="EJ24" s="507"/>
      <c r="EK24" s="507"/>
      <c r="EL24" s="507"/>
      <c r="EM24" s="507"/>
      <c r="EN24" s="507"/>
      <c r="EO24" s="507"/>
      <c r="EP24" s="507"/>
      <c r="EQ24" s="507"/>
      <c r="ER24" s="525"/>
      <c r="ES24" s="525"/>
      <c r="ET24" s="525"/>
      <c r="EU24" s="525"/>
      <c r="EV24" s="525"/>
      <c r="EW24" s="525"/>
      <c r="EX24" s="525"/>
      <c r="EY24" s="525"/>
      <c r="EZ24" s="514"/>
      <c r="FA24" s="514"/>
      <c r="FB24" s="514"/>
      <c r="FC24" s="514"/>
      <c r="FD24" s="514"/>
      <c r="FE24" s="514"/>
      <c r="FF24" s="514"/>
      <c r="FG24" s="515"/>
    </row>
    <row r="25" spans="2:163" ht="8.65" customHeight="1">
      <c r="B25" s="519"/>
      <c r="C25" s="520"/>
      <c r="D25" s="520"/>
      <c r="E25" s="520"/>
      <c r="F25" s="520"/>
      <c r="G25" s="520"/>
      <c r="H25" s="520"/>
      <c r="I25" s="520"/>
      <c r="J25" s="520"/>
      <c r="K25" s="520"/>
      <c r="L25" s="520"/>
      <c r="M25" s="419" t="s">
        <v>199</v>
      </c>
      <c r="N25" s="414"/>
      <c r="O25" s="414"/>
      <c r="P25" s="414"/>
      <c r="Q25" s="414"/>
      <c r="R25" s="414"/>
      <c r="S25" s="414"/>
      <c r="T25" s="414"/>
      <c r="U25" s="414"/>
      <c r="V25" s="414"/>
      <c r="W25" s="414"/>
      <c r="X25" s="414"/>
      <c r="Y25" s="414"/>
      <c r="Z25" s="414"/>
      <c r="AA25" s="414"/>
      <c r="AB25" s="420"/>
      <c r="AC25" s="463">
        <v>17.8</v>
      </c>
      <c r="AD25" s="430"/>
      <c r="AE25" s="430"/>
      <c r="AF25" s="430"/>
      <c r="AG25" s="464"/>
      <c r="AH25" s="429">
        <f t="shared" ref="AH25" si="8">AC25</f>
        <v>17.8</v>
      </c>
      <c r="AI25" s="430"/>
      <c r="AJ25" s="430"/>
      <c r="AK25" s="431"/>
      <c r="AL25" s="463">
        <v>5.4</v>
      </c>
      <c r="AM25" s="430"/>
      <c r="AN25" s="430"/>
      <c r="AO25" s="430"/>
      <c r="AP25" s="464"/>
      <c r="AQ25" s="429">
        <f t="shared" ref="AQ25" si="9">AL25</f>
        <v>5.4</v>
      </c>
      <c r="AR25" s="430"/>
      <c r="AS25" s="430"/>
      <c r="AT25" s="449"/>
      <c r="AU25" s="519"/>
      <c r="AV25" s="520"/>
      <c r="AW25" s="520"/>
      <c r="AX25" s="520"/>
      <c r="AY25" s="520"/>
      <c r="AZ25" s="520"/>
      <c r="BA25" s="520"/>
      <c r="BB25" s="520"/>
      <c r="BC25" s="520"/>
      <c r="BD25" s="521"/>
      <c r="BE25" s="486"/>
      <c r="BF25" s="487"/>
      <c r="BG25" s="487"/>
      <c r="BH25" s="487"/>
      <c r="BI25" s="487"/>
      <c r="BJ25" s="488"/>
      <c r="BK25" s="494"/>
      <c r="BL25" s="487"/>
      <c r="BM25" s="487"/>
      <c r="BN25" s="487"/>
      <c r="BO25" s="487"/>
      <c r="BP25" s="487"/>
      <c r="BQ25" s="495"/>
      <c r="BR25" s="486"/>
      <c r="BS25" s="487"/>
      <c r="BT25" s="487"/>
      <c r="BU25" s="487"/>
      <c r="BV25" s="487"/>
      <c r="BW25" s="487"/>
      <c r="BX25" s="499"/>
      <c r="BY25" s="501" t="s">
        <v>214</v>
      </c>
      <c r="BZ25" s="501"/>
      <c r="CA25" s="501"/>
      <c r="CB25" s="501"/>
      <c r="CC25" s="501"/>
      <c r="CD25" s="501"/>
      <c r="CE25" s="501"/>
      <c r="CF25" s="501"/>
      <c r="CG25" s="502"/>
      <c r="CH25" s="526">
        <v>0.16</v>
      </c>
      <c r="CI25" s="526"/>
      <c r="CJ25" s="526"/>
      <c r="CK25" s="526"/>
      <c r="CL25" s="527"/>
      <c r="CM25" s="550" t="s">
        <v>351</v>
      </c>
      <c r="CN25" s="414"/>
      <c r="CO25" s="414"/>
      <c r="CP25" s="414"/>
      <c r="CQ25" s="414"/>
      <c r="CR25" s="414"/>
      <c r="CS25" s="414"/>
      <c r="CT25" s="414"/>
      <c r="CU25" s="414"/>
      <c r="CV25" s="414"/>
      <c r="CW25" s="414"/>
      <c r="CX25" s="414"/>
      <c r="CY25" s="414"/>
      <c r="CZ25" s="414"/>
      <c r="DA25" s="414"/>
      <c r="DB25" s="414"/>
      <c r="DC25" s="451"/>
      <c r="DD25" s="535">
        <v>0.32</v>
      </c>
      <c r="DE25" s="526"/>
      <c r="DF25" s="526"/>
      <c r="DG25" s="526"/>
      <c r="DH25" s="526"/>
      <c r="DI25" s="536"/>
      <c r="DJ25" s="544"/>
      <c r="DK25" s="545"/>
      <c r="DL25" s="545"/>
      <c r="DM25" s="545"/>
      <c r="DN25" s="545"/>
      <c r="DO25" s="545"/>
      <c r="DP25" s="545"/>
      <c r="DQ25" s="545"/>
      <c r="DR25" s="545"/>
      <c r="DS25" s="545"/>
      <c r="DT25" s="545"/>
      <c r="DU25" s="545"/>
      <c r="DV25" s="545"/>
      <c r="DW25" s="545"/>
      <c r="DX25" s="545"/>
      <c r="DY25" s="545"/>
      <c r="DZ25" s="546"/>
      <c r="EA25" s="507" t="s">
        <v>209</v>
      </c>
      <c r="EB25" s="507"/>
      <c r="EC25" s="507"/>
      <c r="ED25" s="507"/>
      <c r="EE25" s="507"/>
      <c r="EF25" s="507"/>
      <c r="EG25" s="507"/>
      <c r="EH25" s="507"/>
      <c r="EI25" s="507"/>
      <c r="EJ25" s="507"/>
      <c r="EK25" s="507"/>
      <c r="EL25" s="507"/>
      <c r="EM25" s="507"/>
      <c r="EN25" s="507"/>
      <c r="EO25" s="507"/>
      <c r="EP25" s="507"/>
      <c r="EQ25" s="507"/>
      <c r="ER25" s="525">
        <v>2.0699999999999998</v>
      </c>
      <c r="ES25" s="525"/>
      <c r="ET25" s="525"/>
      <c r="EU25" s="525"/>
      <c r="EV25" s="525"/>
      <c r="EW25" s="525"/>
      <c r="EX25" s="525"/>
      <c r="EY25" s="525"/>
      <c r="EZ25" s="514"/>
      <c r="FA25" s="514"/>
      <c r="FB25" s="514"/>
      <c r="FC25" s="514"/>
      <c r="FD25" s="514"/>
      <c r="FE25" s="514"/>
      <c r="FF25" s="514"/>
      <c r="FG25" s="515"/>
    </row>
    <row r="26" spans="2:163" ht="8.65" customHeight="1">
      <c r="B26" s="519"/>
      <c r="C26" s="520"/>
      <c r="D26" s="520"/>
      <c r="E26" s="520"/>
      <c r="F26" s="520"/>
      <c r="G26" s="520"/>
      <c r="H26" s="520"/>
      <c r="I26" s="520"/>
      <c r="J26" s="520"/>
      <c r="K26" s="520"/>
      <c r="L26" s="520"/>
      <c r="M26" s="421"/>
      <c r="N26" s="418"/>
      <c r="O26" s="418"/>
      <c r="P26" s="418"/>
      <c r="Q26" s="418"/>
      <c r="R26" s="418"/>
      <c r="S26" s="418"/>
      <c r="T26" s="418"/>
      <c r="U26" s="418"/>
      <c r="V26" s="418"/>
      <c r="W26" s="418"/>
      <c r="X26" s="418"/>
      <c r="Y26" s="418"/>
      <c r="Z26" s="418"/>
      <c r="AA26" s="418"/>
      <c r="AB26" s="422"/>
      <c r="AC26" s="465"/>
      <c r="AD26" s="433"/>
      <c r="AE26" s="433"/>
      <c r="AF26" s="433"/>
      <c r="AG26" s="466"/>
      <c r="AH26" s="432"/>
      <c r="AI26" s="433"/>
      <c r="AJ26" s="433"/>
      <c r="AK26" s="434"/>
      <c r="AL26" s="465"/>
      <c r="AM26" s="433"/>
      <c r="AN26" s="433"/>
      <c r="AO26" s="433"/>
      <c r="AP26" s="466"/>
      <c r="AQ26" s="432"/>
      <c r="AR26" s="433"/>
      <c r="AS26" s="433"/>
      <c r="AT26" s="450"/>
      <c r="AU26" s="522"/>
      <c r="AV26" s="523"/>
      <c r="AW26" s="523"/>
      <c r="AX26" s="523"/>
      <c r="AY26" s="523"/>
      <c r="AZ26" s="523"/>
      <c r="BA26" s="523"/>
      <c r="BB26" s="523"/>
      <c r="BC26" s="523"/>
      <c r="BD26" s="524"/>
      <c r="BE26" s="486"/>
      <c r="BF26" s="487"/>
      <c r="BG26" s="487"/>
      <c r="BH26" s="487"/>
      <c r="BI26" s="487"/>
      <c r="BJ26" s="488"/>
      <c r="BK26" s="496"/>
      <c r="BL26" s="490"/>
      <c r="BM26" s="490"/>
      <c r="BN26" s="490"/>
      <c r="BO26" s="490"/>
      <c r="BP26" s="490"/>
      <c r="BQ26" s="497"/>
      <c r="BR26" s="486"/>
      <c r="BS26" s="487"/>
      <c r="BT26" s="487"/>
      <c r="BU26" s="487"/>
      <c r="BV26" s="487"/>
      <c r="BW26" s="487"/>
      <c r="BX26" s="499"/>
      <c r="BY26" s="503"/>
      <c r="BZ26" s="503"/>
      <c r="CA26" s="503"/>
      <c r="CB26" s="503"/>
      <c r="CC26" s="503"/>
      <c r="CD26" s="503"/>
      <c r="CE26" s="503"/>
      <c r="CF26" s="503"/>
      <c r="CG26" s="504"/>
      <c r="CH26" s="528"/>
      <c r="CI26" s="528"/>
      <c r="CJ26" s="528"/>
      <c r="CK26" s="528"/>
      <c r="CL26" s="529"/>
      <c r="CM26" s="533"/>
      <c r="CN26" s="416"/>
      <c r="CO26" s="416"/>
      <c r="CP26" s="416"/>
      <c r="CQ26" s="416"/>
      <c r="CR26" s="416"/>
      <c r="CS26" s="416"/>
      <c r="CT26" s="416"/>
      <c r="CU26" s="416"/>
      <c r="CV26" s="416"/>
      <c r="CW26" s="416"/>
      <c r="CX26" s="416"/>
      <c r="CY26" s="416"/>
      <c r="CZ26" s="416"/>
      <c r="DA26" s="416"/>
      <c r="DB26" s="416"/>
      <c r="DC26" s="452"/>
      <c r="DD26" s="537"/>
      <c r="DE26" s="528"/>
      <c r="DF26" s="528"/>
      <c r="DG26" s="528"/>
      <c r="DH26" s="528"/>
      <c r="DI26" s="538"/>
      <c r="DJ26" s="547"/>
      <c r="DK26" s="548"/>
      <c r="DL26" s="548"/>
      <c r="DM26" s="548"/>
      <c r="DN26" s="548"/>
      <c r="DO26" s="548"/>
      <c r="DP26" s="548"/>
      <c r="DQ26" s="548"/>
      <c r="DR26" s="548"/>
      <c r="DS26" s="548"/>
      <c r="DT26" s="548"/>
      <c r="DU26" s="548"/>
      <c r="DV26" s="548"/>
      <c r="DW26" s="548"/>
      <c r="DX26" s="548"/>
      <c r="DY26" s="548"/>
      <c r="DZ26" s="549"/>
      <c r="EA26" s="507"/>
      <c r="EB26" s="507"/>
      <c r="EC26" s="507"/>
      <c r="ED26" s="507"/>
      <c r="EE26" s="507"/>
      <c r="EF26" s="507"/>
      <c r="EG26" s="507"/>
      <c r="EH26" s="507"/>
      <c r="EI26" s="507"/>
      <c r="EJ26" s="507"/>
      <c r="EK26" s="507"/>
      <c r="EL26" s="507"/>
      <c r="EM26" s="507"/>
      <c r="EN26" s="507"/>
      <c r="EO26" s="507"/>
      <c r="EP26" s="507"/>
      <c r="EQ26" s="507"/>
      <c r="ER26" s="525"/>
      <c r="ES26" s="525"/>
      <c r="ET26" s="525"/>
      <c r="EU26" s="525"/>
      <c r="EV26" s="525"/>
      <c r="EW26" s="525"/>
      <c r="EX26" s="525"/>
      <c r="EY26" s="525"/>
      <c r="EZ26" s="514"/>
      <c r="FA26" s="514"/>
      <c r="FB26" s="514"/>
      <c r="FC26" s="514"/>
      <c r="FD26" s="514"/>
      <c r="FE26" s="514"/>
      <c r="FF26" s="514"/>
      <c r="FG26" s="515"/>
    </row>
    <row r="27" spans="2:163" ht="8.65" customHeight="1">
      <c r="B27" s="519"/>
      <c r="C27" s="520"/>
      <c r="D27" s="520"/>
      <c r="E27" s="520"/>
      <c r="F27" s="520"/>
      <c r="G27" s="520"/>
      <c r="H27" s="520"/>
      <c r="I27" s="520"/>
      <c r="J27" s="520"/>
      <c r="K27" s="520"/>
      <c r="L27" s="520"/>
      <c r="M27" s="419" t="s">
        <v>200</v>
      </c>
      <c r="N27" s="414"/>
      <c r="O27" s="414"/>
      <c r="P27" s="414"/>
      <c r="Q27" s="414"/>
      <c r="R27" s="414"/>
      <c r="S27" s="414"/>
      <c r="T27" s="414"/>
      <c r="U27" s="414"/>
      <c r="V27" s="414"/>
      <c r="W27" s="414"/>
      <c r="X27" s="414"/>
      <c r="Y27" s="414"/>
      <c r="Z27" s="414"/>
      <c r="AA27" s="414"/>
      <c r="AB27" s="420"/>
      <c r="AC27" s="463">
        <v>18.100000000000001</v>
      </c>
      <c r="AD27" s="430"/>
      <c r="AE27" s="430"/>
      <c r="AF27" s="430"/>
      <c r="AG27" s="464"/>
      <c r="AH27" s="429">
        <f t="shared" ref="AH27" si="10">AC27</f>
        <v>18.100000000000001</v>
      </c>
      <c r="AI27" s="430"/>
      <c r="AJ27" s="430"/>
      <c r="AK27" s="431"/>
      <c r="AL27" s="463">
        <v>5.7</v>
      </c>
      <c r="AM27" s="430"/>
      <c r="AN27" s="430"/>
      <c r="AO27" s="430"/>
      <c r="AP27" s="464"/>
      <c r="AQ27" s="429">
        <f t="shared" ref="AQ27" si="11">AL27</f>
        <v>5.7</v>
      </c>
      <c r="AR27" s="430"/>
      <c r="AS27" s="430"/>
      <c r="AT27" s="449"/>
      <c r="AU27" s="516" t="s">
        <v>210</v>
      </c>
      <c r="AV27" s="517"/>
      <c r="AW27" s="517"/>
      <c r="AX27" s="517"/>
      <c r="AY27" s="517"/>
      <c r="AZ27" s="517"/>
      <c r="BA27" s="517"/>
      <c r="BB27" s="517"/>
      <c r="BC27" s="517"/>
      <c r="BD27" s="518"/>
      <c r="BE27" s="486"/>
      <c r="BF27" s="487"/>
      <c r="BG27" s="487"/>
      <c r="BH27" s="487"/>
      <c r="BI27" s="487"/>
      <c r="BJ27" s="488"/>
      <c r="BK27" s="492">
        <v>5</v>
      </c>
      <c r="BL27" s="484"/>
      <c r="BM27" s="484"/>
      <c r="BN27" s="484"/>
      <c r="BO27" s="484"/>
      <c r="BP27" s="484"/>
      <c r="BQ27" s="493"/>
      <c r="BR27" s="486"/>
      <c r="BS27" s="487"/>
      <c r="BT27" s="487"/>
      <c r="BU27" s="487"/>
      <c r="BV27" s="487"/>
      <c r="BW27" s="487"/>
      <c r="BX27" s="499"/>
      <c r="BY27" s="503"/>
      <c r="BZ27" s="503"/>
      <c r="CA27" s="503"/>
      <c r="CB27" s="503"/>
      <c r="CC27" s="503"/>
      <c r="CD27" s="503"/>
      <c r="CE27" s="503"/>
      <c r="CF27" s="503"/>
      <c r="CG27" s="504"/>
      <c r="CH27" s="528"/>
      <c r="CI27" s="528"/>
      <c r="CJ27" s="528"/>
      <c r="CK27" s="528"/>
      <c r="CL27" s="529"/>
      <c r="CM27" s="533"/>
      <c r="CN27" s="416"/>
      <c r="CO27" s="416"/>
      <c r="CP27" s="416"/>
      <c r="CQ27" s="416"/>
      <c r="CR27" s="416"/>
      <c r="CS27" s="416"/>
      <c r="CT27" s="416"/>
      <c r="CU27" s="416"/>
      <c r="CV27" s="416"/>
      <c r="CW27" s="416"/>
      <c r="CX27" s="416"/>
      <c r="CY27" s="416"/>
      <c r="CZ27" s="416"/>
      <c r="DA27" s="416"/>
      <c r="DB27" s="416"/>
      <c r="DC27" s="452"/>
      <c r="DD27" s="537"/>
      <c r="DE27" s="528"/>
      <c r="DF27" s="528"/>
      <c r="DG27" s="528"/>
      <c r="DH27" s="528"/>
      <c r="DI27" s="538"/>
      <c r="DJ27" s="551" t="s">
        <v>211</v>
      </c>
      <c r="DK27" s="552"/>
      <c r="DL27" s="552"/>
      <c r="DM27" s="552"/>
      <c r="DN27" s="552"/>
      <c r="DO27" s="552"/>
      <c r="DP27" s="552"/>
      <c r="DQ27" s="552"/>
      <c r="DR27" s="552"/>
      <c r="DS27" s="552"/>
      <c r="DT27" s="552"/>
      <c r="DU27" s="552"/>
      <c r="DV27" s="552"/>
      <c r="DW27" s="552"/>
      <c r="DX27" s="552"/>
      <c r="DY27" s="552"/>
      <c r="DZ27" s="553"/>
      <c r="EA27" s="507" t="s">
        <v>201</v>
      </c>
      <c r="EB27" s="507"/>
      <c r="EC27" s="507"/>
      <c r="ED27" s="507"/>
      <c r="EE27" s="507"/>
      <c r="EF27" s="507"/>
      <c r="EG27" s="507"/>
      <c r="EH27" s="507"/>
      <c r="EI27" s="507"/>
      <c r="EJ27" s="507"/>
      <c r="EK27" s="507"/>
      <c r="EL27" s="507"/>
      <c r="EM27" s="507"/>
      <c r="EN27" s="507"/>
      <c r="EO27" s="507"/>
      <c r="EP27" s="507"/>
      <c r="EQ27" s="507"/>
      <c r="ER27" s="508">
        <v>2.2799999999999998</v>
      </c>
      <c r="ES27" s="509"/>
      <c r="ET27" s="509"/>
      <c r="EU27" s="509"/>
      <c r="EV27" s="509"/>
      <c r="EW27" s="509"/>
      <c r="EX27" s="509"/>
      <c r="EY27" s="510"/>
      <c r="EZ27" s="560">
        <v>4325</v>
      </c>
      <c r="FA27" s="561"/>
      <c r="FB27" s="561"/>
      <c r="FC27" s="561"/>
      <c r="FD27" s="561"/>
      <c r="FE27" s="561"/>
      <c r="FF27" s="561"/>
      <c r="FG27" s="562"/>
    </row>
    <row r="28" spans="2:163" ht="8.65" customHeight="1">
      <c r="B28" s="519"/>
      <c r="C28" s="520"/>
      <c r="D28" s="520"/>
      <c r="E28" s="520"/>
      <c r="F28" s="520"/>
      <c r="G28" s="520"/>
      <c r="H28" s="520"/>
      <c r="I28" s="520"/>
      <c r="J28" s="520"/>
      <c r="K28" s="520"/>
      <c r="L28" s="520"/>
      <c r="M28" s="421"/>
      <c r="N28" s="418"/>
      <c r="O28" s="418"/>
      <c r="P28" s="418"/>
      <c r="Q28" s="418"/>
      <c r="R28" s="418"/>
      <c r="S28" s="418"/>
      <c r="T28" s="418"/>
      <c r="U28" s="418"/>
      <c r="V28" s="418"/>
      <c r="W28" s="418"/>
      <c r="X28" s="418"/>
      <c r="Y28" s="418"/>
      <c r="Z28" s="418"/>
      <c r="AA28" s="418"/>
      <c r="AB28" s="422"/>
      <c r="AC28" s="465"/>
      <c r="AD28" s="433"/>
      <c r="AE28" s="433"/>
      <c r="AF28" s="433"/>
      <c r="AG28" s="466"/>
      <c r="AH28" s="432"/>
      <c r="AI28" s="433"/>
      <c r="AJ28" s="433"/>
      <c r="AK28" s="434"/>
      <c r="AL28" s="465"/>
      <c r="AM28" s="433"/>
      <c r="AN28" s="433"/>
      <c r="AO28" s="433"/>
      <c r="AP28" s="466"/>
      <c r="AQ28" s="432"/>
      <c r="AR28" s="433"/>
      <c r="AS28" s="433"/>
      <c r="AT28" s="450"/>
      <c r="AU28" s="519"/>
      <c r="AV28" s="520"/>
      <c r="AW28" s="520"/>
      <c r="AX28" s="520"/>
      <c r="AY28" s="520"/>
      <c r="AZ28" s="520"/>
      <c r="BA28" s="520"/>
      <c r="BB28" s="520"/>
      <c r="BC28" s="520"/>
      <c r="BD28" s="521"/>
      <c r="BE28" s="486"/>
      <c r="BF28" s="487"/>
      <c r="BG28" s="487"/>
      <c r="BH28" s="487"/>
      <c r="BI28" s="487"/>
      <c r="BJ28" s="488"/>
      <c r="BK28" s="494"/>
      <c r="BL28" s="487"/>
      <c r="BM28" s="487"/>
      <c r="BN28" s="487"/>
      <c r="BO28" s="487"/>
      <c r="BP28" s="487"/>
      <c r="BQ28" s="495"/>
      <c r="BR28" s="486"/>
      <c r="BS28" s="487"/>
      <c r="BT28" s="487"/>
      <c r="BU28" s="487"/>
      <c r="BV28" s="487"/>
      <c r="BW28" s="487"/>
      <c r="BX28" s="499"/>
      <c r="BY28" s="503"/>
      <c r="BZ28" s="503"/>
      <c r="CA28" s="503"/>
      <c r="CB28" s="503"/>
      <c r="CC28" s="503"/>
      <c r="CD28" s="503"/>
      <c r="CE28" s="503"/>
      <c r="CF28" s="503"/>
      <c r="CG28" s="504"/>
      <c r="CH28" s="528"/>
      <c r="CI28" s="528"/>
      <c r="CJ28" s="528"/>
      <c r="CK28" s="528"/>
      <c r="CL28" s="529"/>
      <c r="CM28" s="533"/>
      <c r="CN28" s="416"/>
      <c r="CO28" s="416"/>
      <c r="CP28" s="416"/>
      <c r="CQ28" s="416"/>
      <c r="CR28" s="416"/>
      <c r="CS28" s="416"/>
      <c r="CT28" s="416"/>
      <c r="CU28" s="416"/>
      <c r="CV28" s="416"/>
      <c r="CW28" s="416"/>
      <c r="CX28" s="416"/>
      <c r="CY28" s="416"/>
      <c r="CZ28" s="416"/>
      <c r="DA28" s="416"/>
      <c r="DB28" s="416"/>
      <c r="DC28" s="452"/>
      <c r="DD28" s="537"/>
      <c r="DE28" s="528"/>
      <c r="DF28" s="528"/>
      <c r="DG28" s="528"/>
      <c r="DH28" s="528"/>
      <c r="DI28" s="538"/>
      <c r="DJ28" s="554"/>
      <c r="DK28" s="555"/>
      <c r="DL28" s="555"/>
      <c r="DM28" s="555"/>
      <c r="DN28" s="555"/>
      <c r="DO28" s="555"/>
      <c r="DP28" s="555"/>
      <c r="DQ28" s="555"/>
      <c r="DR28" s="555"/>
      <c r="DS28" s="555"/>
      <c r="DT28" s="555"/>
      <c r="DU28" s="555"/>
      <c r="DV28" s="555"/>
      <c r="DW28" s="555"/>
      <c r="DX28" s="555"/>
      <c r="DY28" s="555"/>
      <c r="DZ28" s="556"/>
      <c r="EA28" s="507"/>
      <c r="EB28" s="507"/>
      <c r="EC28" s="507"/>
      <c r="ED28" s="507"/>
      <c r="EE28" s="507"/>
      <c r="EF28" s="507"/>
      <c r="EG28" s="507"/>
      <c r="EH28" s="507"/>
      <c r="EI28" s="507"/>
      <c r="EJ28" s="507"/>
      <c r="EK28" s="507"/>
      <c r="EL28" s="507"/>
      <c r="EM28" s="507"/>
      <c r="EN28" s="507"/>
      <c r="EO28" s="507"/>
      <c r="EP28" s="507"/>
      <c r="EQ28" s="507"/>
      <c r="ER28" s="511"/>
      <c r="ES28" s="512"/>
      <c r="ET28" s="512"/>
      <c r="EU28" s="512"/>
      <c r="EV28" s="512"/>
      <c r="EW28" s="512"/>
      <c r="EX28" s="512"/>
      <c r="EY28" s="513"/>
      <c r="EZ28" s="563"/>
      <c r="FA28" s="564"/>
      <c r="FB28" s="564"/>
      <c r="FC28" s="564"/>
      <c r="FD28" s="564"/>
      <c r="FE28" s="564"/>
      <c r="FF28" s="564"/>
      <c r="FG28" s="565"/>
    </row>
    <row r="29" spans="2:163" ht="8.65" customHeight="1">
      <c r="B29" s="519"/>
      <c r="C29" s="520"/>
      <c r="D29" s="520"/>
      <c r="E29" s="520"/>
      <c r="F29" s="520"/>
      <c r="G29" s="520"/>
      <c r="H29" s="520"/>
      <c r="I29" s="520"/>
      <c r="J29" s="520"/>
      <c r="K29" s="520"/>
      <c r="L29" s="520"/>
      <c r="M29" s="419" t="s">
        <v>204</v>
      </c>
      <c r="N29" s="414"/>
      <c r="O29" s="414"/>
      <c r="P29" s="414"/>
      <c r="Q29" s="414"/>
      <c r="R29" s="414"/>
      <c r="S29" s="414"/>
      <c r="T29" s="414"/>
      <c r="U29" s="414"/>
      <c r="V29" s="414"/>
      <c r="W29" s="414"/>
      <c r="X29" s="414"/>
      <c r="Y29" s="414"/>
      <c r="Z29" s="414"/>
      <c r="AA29" s="414"/>
      <c r="AB29" s="420"/>
      <c r="AC29" s="463">
        <v>19.2</v>
      </c>
      <c r="AD29" s="430"/>
      <c r="AE29" s="430"/>
      <c r="AF29" s="430"/>
      <c r="AG29" s="464"/>
      <c r="AH29" s="429">
        <f t="shared" ref="AH29" si="12">AC29</f>
        <v>19.2</v>
      </c>
      <c r="AI29" s="430"/>
      <c r="AJ29" s="430"/>
      <c r="AK29" s="431"/>
      <c r="AL29" s="463">
        <v>6.4</v>
      </c>
      <c r="AM29" s="430"/>
      <c r="AN29" s="430"/>
      <c r="AO29" s="430"/>
      <c r="AP29" s="464"/>
      <c r="AQ29" s="429">
        <f t="shared" ref="AQ29" si="13">AL29</f>
        <v>6.4</v>
      </c>
      <c r="AR29" s="430"/>
      <c r="AS29" s="430"/>
      <c r="AT29" s="449"/>
      <c r="AU29" s="519"/>
      <c r="AV29" s="520"/>
      <c r="AW29" s="520"/>
      <c r="AX29" s="520"/>
      <c r="AY29" s="520"/>
      <c r="AZ29" s="520"/>
      <c r="BA29" s="520"/>
      <c r="BB29" s="520"/>
      <c r="BC29" s="520"/>
      <c r="BD29" s="521"/>
      <c r="BE29" s="486"/>
      <c r="BF29" s="487"/>
      <c r="BG29" s="487"/>
      <c r="BH29" s="487"/>
      <c r="BI29" s="487"/>
      <c r="BJ29" s="488"/>
      <c r="BK29" s="494"/>
      <c r="BL29" s="487"/>
      <c r="BM29" s="487"/>
      <c r="BN29" s="487"/>
      <c r="BO29" s="487"/>
      <c r="BP29" s="487"/>
      <c r="BQ29" s="495"/>
      <c r="BR29" s="486"/>
      <c r="BS29" s="487"/>
      <c r="BT29" s="487"/>
      <c r="BU29" s="487"/>
      <c r="BV29" s="487"/>
      <c r="BW29" s="487"/>
      <c r="BX29" s="499"/>
      <c r="BY29" s="503"/>
      <c r="BZ29" s="503"/>
      <c r="CA29" s="503"/>
      <c r="CB29" s="503"/>
      <c r="CC29" s="503"/>
      <c r="CD29" s="503"/>
      <c r="CE29" s="503"/>
      <c r="CF29" s="503"/>
      <c r="CG29" s="504"/>
      <c r="CH29" s="528"/>
      <c r="CI29" s="528"/>
      <c r="CJ29" s="528"/>
      <c r="CK29" s="528"/>
      <c r="CL29" s="529"/>
      <c r="CM29" s="533"/>
      <c r="CN29" s="416"/>
      <c r="CO29" s="416"/>
      <c r="CP29" s="416"/>
      <c r="CQ29" s="416"/>
      <c r="CR29" s="416"/>
      <c r="CS29" s="416"/>
      <c r="CT29" s="416"/>
      <c r="CU29" s="416"/>
      <c r="CV29" s="416"/>
      <c r="CW29" s="416"/>
      <c r="CX29" s="416"/>
      <c r="CY29" s="416"/>
      <c r="CZ29" s="416"/>
      <c r="DA29" s="416"/>
      <c r="DB29" s="416"/>
      <c r="DC29" s="452"/>
      <c r="DD29" s="537"/>
      <c r="DE29" s="528"/>
      <c r="DF29" s="528"/>
      <c r="DG29" s="528"/>
      <c r="DH29" s="528"/>
      <c r="DI29" s="538"/>
      <c r="DJ29" s="554"/>
      <c r="DK29" s="555"/>
      <c r="DL29" s="555"/>
      <c r="DM29" s="555"/>
      <c r="DN29" s="555"/>
      <c r="DO29" s="555"/>
      <c r="DP29" s="555"/>
      <c r="DQ29" s="555"/>
      <c r="DR29" s="555"/>
      <c r="DS29" s="555"/>
      <c r="DT29" s="555"/>
      <c r="DU29" s="555"/>
      <c r="DV29" s="555"/>
      <c r="DW29" s="555"/>
      <c r="DX29" s="555"/>
      <c r="DY29" s="555"/>
      <c r="DZ29" s="556"/>
      <c r="EA29" s="507" t="s">
        <v>206</v>
      </c>
      <c r="EB29" s="507"/>
      <c r="EC29" s="507"/>
      <c r="ED29" s="507"/>
      <c r="EE29" s="507"/>
      <c r="EF29" s="507"/>
      <c r="EG29" s="507"/>
      <c r="EH29" s="507"/>
      <c r="EI29" s="507"/>
      <c r="EJ29" s="507"/>
      <c r="EK29" s="507"/>
      <c r="EL29" s="507"/>
      <c r="EM29" s="507"/>
      <c r="EN29" s="507"/>
      <c r="EO29" s="507"/>
      <c r="EP29" s="507"/>
      <c r="EQ29" s="507"/>
      <c r="ER29" s="508">
        <v>2.5299999999999998</v>
      </c>
      <c r="ES29" s="509"/>
      <c r="ET29" s="509"/>
      <c r="EU29" s="509"/>
      <c r="EV29" s="509"/>
      <c r="EW29" s="509"/>
      <c r="EX29" s="509"/>
      <c r="EY29" s="510"/>
      <c r="EZ29" s="560">
        <v>3300</v>
      </c>
      <c r="FA29" s="561"/>
      <c r="FB29" s="561"/>
      <c r="FC29" s="561"/>
      <c r="FD29" s="561"/>
      <c r="FE29" s="561"/>
      <c r="FF29" s="561"/>
      <c r="FG29" s="562"/>
    </row>
    <row r="30" spans="2:163" ht="8.65" customHeight="1">
      <c r="B30" s="522"/>
      <c r="C30" s="523"/>
      <c r="D30" s="523"/>
      <c r="E30" s="523"/>
      <c r="F30" s="523"/>
      <c r="G30" s="523"/>
      <c r="H30" s="523"/>
      <c r="I30" s="523"/>
      <c r="J30" s="523"/>
      <c r="K30" s="523"/>
      <c r="L30" s="523"/>
      <c r="M30" s="421"/>
      <c r="N30" s="418"/>
      <c r="O30" s="418"/>
      <c r="P30" s="418"/>
      <c r="Q30" s="418"/>
      <c r="R30" s="418"/>
      <c r="S30" s="418"/>
      <c r="T30" s="418"/>
      <c r="U30" s="418"/>
      <c r="V30" s="418"/>
      <c r="W30" s="418"/>
      <c r="X30" s="418"/>
      <c r="Y30" s="418"/>
      <c r="Z30" s="418"/>
      <c r="AA30" s="418"/>
      <c r="AB30" s="422"/>
      <c r="AC30" s="465"/>
      <c r="AD30" s="433"/>
      <c r="AE30" s="433"/>
      <c r="AF30" s="433"/>
      <c r="AG30" s="466"/>
      <c r="AH30" s="432"/>
      <c r="AI30" s="433"/>
      <c r="AJ30" s="433"/>
      <c r="AK30" s="434"/>
      <c r="AL30" s="465"/>
      <c r="AM30" s="433"/>
      <c r="AN30" s="433"/>
      <c r="AO30" s="433"/>
      <c r="AP30" s="466"/>
      <c r="AQ30" s="432"/>
      <c r="AR30" s="433"/>
      <c r="AS30" s="433"/>
      <c r="AT30" s="450"/>
      <c r="AU30" s="522"/>
      <c r="AV30" s="523"/>
      <c r="AW30" s="523"/>
      <c r="AX30" s="523"/>
      <c r="AY30" s="523"/>
      <c r="AZ30" s="523"/>
      <c r="BA30" s="523"/>
      <c r="BB30" s="523"/>
      <c r="BC30" s="523"/>
      <c r="BD30" s="524"/>
      <c r="BE30" s="489"/>
      <c r="BF30" s="490"/>
      <c r="BG30" s="490"/>
      <c r="BH30" s="490"/>
      <c r="BI30" s="490"/>
      <c r="BJ30" s="491"/>
      <c r="BK30" s="494"/>
      <c r="BL30" s="487"/>
      <c r="BM30" s="487"/>
      <c r="BN30" s="487"/>
      <c r="BO30" s="487"/>
      <c r="BP30" s="487"/>
      <c r="BQ30" s="495"/>
      <c r="BR30" s="489"/>
      <c r="BS30" s="490"/>
      <c r="BT30" s="490"/>
      <c r="BU30" s="490"/>
      <c r="BV30" s="490"/>
      <c r="BW30" s="490"/>
      <c r="BX30" s="500"/>
      <c r="BY30" s="505"/>
      <c r="BZ30" s="505"/>
      <c r="CA30" s="505"/>
      <c r="CB30" s="505"/>
      <c r="CC30" s="505"/>
      <c r="CD30" s="505"/>
      <c r="CE30" s="505"/>
      <c r="CF30" s="505"/>
      <c r="CG30" s="506"/>
      <c r="CH30" s="530"/>
      <c r="CI30" s="530"/>
      <c r="CJ30" s="530"/>
      <c r="CK30" s="530"/>
      <c r="CL30" s="531"/>
      <c r="CM30" s="534"/>
      <c r="CN30" s="418"/>
      <c r="CO30" s="418"/>
      <c r="CP30" s="418"/>
      <c r="CQ30" s="418"/>
      <c r="CR30" s="418"/>
      <c r="CS30" s="418"/>
      <c r="CT30" s="418"/>
      <c r="CU30" s="418"/>
      <c r="CV30" s="418"/>
      <c r="CW30" s="418"/>
      <c r="CX30" s="418"/>
      <c r="CY30" s="418"/>
      <c r="CZ30" s="418"/>
      <c r="DA30" s="418"/>
      <c r="DB30" s="418"/>
      <c r="DC30" s="453"/>
      <c r="DD30" s="539"/>
      <c r="DE30" s="530"/>
      <c r="DF30" s="530"/>
      <c r="DG30" s="530"/>
      <c r="DH30" s="530"/>
      <c r="DI30" s="540"/>
      <c r="DJ30" s="554"/>
      <c r="DK30" s="555"/>
      <c r="DL30" s="555"/>
      <c r="DM30" s="555"/>
      <c r="DN30" s="555"/>
      <c r="DO30" s="555"/>
      <c r="DP30" s="555"/>
      <c r="DQ30" s="555"/>
      <c r="DR30" s="555"/>
      <c r="DS30" s="555"/>
      <c r="DT30" s="555"/>
      <c r="DU30" s="555"/>
      <c r="DV30" s="555"/>
      <c r="DW30" s="555"/>
      <c r="DX30" s="555"/>
      <c r="DY30" s="555"/>
      <c r="DZ30" s="556"/>
      <c r="EA30" s="507"/>
      <c r="EB30" s="507"/>
      <c r="EC30" s="507"/>
      <c r="ED30" s="507"/>
      <c r="EE30" s="507"/>
      <c r="EF30" s="507"/>
      <c r="EG30" s="507"/>
      <c r="EH30" s="507"/>
      <c r="EI30" s="507"/>
      <c r="EJ30" s="507"/>
      <c r="EK30" s="507"/>
      <c r="EL30" s="507"/>
      <c r="EM30" s="507"/>
      <c r="EN30" s="507"/>
      <c r="EO30" s="507"/>
      <c r="EP30" s="507"/>
      <c r="EQ30" s="507"/>
      <c r="ER30" s="511"/>
      <c r="ES30" s="512"/>
      <c r="ET30" s="512"/>
      <c r="EU30" s="512"/>
      <c r="EV30" s="512"/>
      <c r="EW30" s="512"/>
      <c r="EX30" s="512"/>
      <c r="EY30" s="513"/>
      <c r="EZ30" s="563"/>
      <c r="FA30" s="564"/>
      <c r="FB30" s="564"/>
      <c r="FC30" s="564"/>
      <c r="FD30" s="564"/>
      <c r="FE30" s="564"/>
      <c r="FF30" s="564"/>
      <c r="FG30" s="565"/>
    </row>
    <row r="31" spans="2:163" ht="8.65" customHeight="1">
      <c r="B31" s="516" t="s">
        <v>212</v>
      </c>
      <c r="C31" s="517"/>
      <c r="D31" s="517"/>
      <c r="E31" s="517"/>
      <c r="F31" s="517"/>
      <c r="G31" s="517"/>
      <c r="H31" s="517"/>
      <c r="I31" s="517"/>
      <c r="J31" s="517"/>
      <c r="K31" s="517"/>
      <c r="L31" s="517"/>
      <c r="M31" s="419" t="s">
        <v>192</v>
      </c>
      <c r="N31" s="414"/>
      <c r="O31" s="414"/>
      <c r="P31" s="414"/>
      <c r="Q31" s="414"/>
      <c r="R31" s="414"/>
      <c r="S31" s="414"/>
      <c r="T31" s="414"/>
      <c r="U31" s="414"/>
      <c r="V31" s="414"/>
      <c r="W31" s="414"/>
      <c r="X31" s="414"/>
      <c r="Y31" s="414"/>
      <c r="Z31" s="414"/>
      <c r="AA31" s="414"/>
      <c r="AB31" s="420"/>
      <c r="AC31" s="463">
        <v>17.5</v>
      </c>
      <c r="AD31" s="430"/>
      <c r="AE31" s="430"/>
      <c r="AF31" s="430"/>
      <c r="AG31" s="464"/>
      <c r="AH31" s="429">
        <f t="shared" ref="AH31" si="14">AC31</f>
        <v>17.5</v>
      </c>
      <c r="AI31" s="430"/>
      <c r="AJ31" s="430"/>
      <c r="AK31" s="431"/>
      <c r="AL31" s="463">
        <v>5.9</v>
      </c>
      <c r="AM31" s="430"/>
      <c r="AN31" s="430"/>
      <c r="AO31" s="430"/>
      <c r="AP31" s="464"/>
      <c r="AQ31" s="429">
        <f t="shared" ref="AQ31" si="15">AL31</f>
        <v>5.9</v>
      </c>
      <c r="AR31" s="430"/>
      <c r="AS31" s="430"/>
      <c r="AT31" s="449"/>
      <c r="AU31" s="516" t="s">
        <v>213</v>
      </c>
      <c r="AV31" s="517"/>
      <c r="AW31" s="517"/>
      <c r="AX31" s="517"/>
      <c r="AY31" s="517"/>
      <c r="AZ31" s="517"/>
      <c r="BA31" s="517"/>
      <c r="BB31" s="517"/>
      <c r="BC31" s="517"/>
      <c r="BD31" s="518"/>
      <c r="BE31" s="483">
        <v>6.5</v>
      </c>
      <c r="BF31" s="484"/>
      <c r="BG31" s="484"/>
      <c r="BH31" s="484"/>
      <c r="BI31" s="484"/>
      <c r="BJ31" s="485"/>
      <c r="BK31" s="494"/>
      <c r="BL31" s="487"/>
      <c r="BM31" s="487"/>
      <c r="BN31" s="487"/>
      <c r="BO31" s="487"/>
      <c r="BP31" s="487"/>
      <c r="BQ31" s="495"/>
      <c r="BR31" s="483">
        <v>12</v>
      </c>
      <c r="BS31" s="484"/>
      <c r="BT31" s="484"/>
      <c r="BU31" s="484"/>
      <c r="BV31" s="484"/>
      <c r="BW31" s="484"/>
      <c r="BX31" s="498"/>
      <c r="BY31" s="148"/>
      <c r="BZ31" s="148"/>
      <c r="CA31" s="148"/>
      <c r="CB31" s="148"/>
      <c r="CC31" s="148"/>
      <c r="CD31" s="148"/>
      <c r="CE31" s="148"/>
      <c r="CF31" s="148"/>
      <c r="CG31" s="148"/>
      <c r="CH31" s="148"/>
      <c r="CI31" s="148"/>
      <c r="CJ31" s="148"/>
      <c r="CK31" s="148"/>
      <c r="CL31" s="148"/>
      <c r="CM31" s="532" t="s">
        <v>215</v>
      </c>
      <c r="CN31" s="414"/>
      <c r="CO31" s="414"/>
      <c r="CP31" s="414"/>
      <c r="CQ31" s="414"/>
      <c r="CR31" s="414"/>
      <c r="CS31" s="414"/>
      <c r="CT31" s="414"/>
      <c r="CU31" s="414"/>
      <c r="CV31" s="414"/>
      <c r="CW31" s="414"/>
      <c r="CX31" s="414"/>
      <c r="CY31" s="414"/>
      <c r="CZ31" s="414"/>
      <c r="DA31" s="414"/>
      <c r="DB31" s="414"/>
      <c r="DC31" s="451"/>
      <c r="DD31" s="535">
        <v>0.16</v>
      </c>
      <c r="DE31" s="526"/>
      <c r="DF31" s="526"/>
      <c r="DG31" s="526"/>
      <c r="DH31" s="526"/>
      <c r="DI31" s="536"/>
      <c r="DJ31" s="554"/>
      <c r="DK31" s="555"/>
      <c r="DL31" s="555"/>
      <c r="DM31" s="555"/>
      <c r="DN31" s="555"/>
      <c r="DO31" s="555"/>
      <c r="DP31" s="555"/>
      <c r="DQ31" s="555"/>
      <c r="DR31" s="555"/>
      <c r="DS31" s="555"/>
      <c r="DT31" s="555"/>
      <c r="DU31" s="555"/>
      <c r="DV31" s="555"/>
      <c r="DW31" s="555"/>
      <c r="DX31" s="555"/>
      <c r="DY31" s="555"/>
      <c r="DZ31" s="556"/>
      <c r="EA31" s="507" t="s">
        <v>208</v>
      </c>
      <c r="EB31" s="507"/>
      <c r="EC31" s="507"/>
      <c r="ED31" s="507"/>
      <c r="EE31" s="507"/>
      <c r="EF31" s="507"/>
      <c r="EG31" s="507"/>
      <c r="EH31" s="507"/>
      <c r="EI31" s="507"/>
      <c r="EJ31" s="507"/>
      <c r="EK31" s="507"/>
      <c r="EL31" s="507"/>
      <c r="EM31" s="507"/>
      <c r="EN31" s="507"/>
      <c r="EO31" s="507"/>
      <c r="EP31" s="507"/>
      <c r="EQ31" s="507"/>
      <c r="ER31" s="525">
        <v>3.05</v>
      </c>
      <c r="ES31" s="525"/>
      <c r="ET31" s="525"/>
      <c r="EU31" s="525"/>
      <c r="EV31" s="525"/>
      <c r="EW31" s="525"/>
      <c r="EX31" s="525"/>
      <c r="EY31" s="525"/>
      <c r="EZ31" s="569">
        <v>2975</v>
      </c>
      <c r="FA31" s="569"/>
      <c r="FB31" s="569"/>
      <c r="FC31" s="569"/>
      <c r="FD31" s="569"/>
      <c r="FE31" s="569"/>
      <c r="FF31" s="569"/>
      <c r="FG31" s="570"/>
    </row>
    <row r="32" spans="2:163" ht="8.65" customHeight="1">
      <c r="B32" s="519"/>
      <c r="C32" s="520"/>
      <c r="D32" s="520"/>
      <c r="E32" s="520"/>
      <c r="F32" s="520"/>
      <c r="G32" s="520"/>
      <c r="H32" s="520"/>
      <c r="I32" s="520"/>
      <c r="J32" s="520"/>
      <c r="K32" s="520"/>
      <c r="L32" s="520"/>
      <c r="M32" s="421"/>
      <c r="N32" s="418"/>
      <c r="O32" s="418"/>
      <c r="P32" s="418"/>
      <c r="Q32" s="418"/>
      <c r="R32" s="418"/>
      <c r="S32" s="418"/>
      <c r="T32" s="418"/>
      <c r="U32" s="418"/>
      <c r="V32" s="418"/>
      <c r="W32" s="418"/>
      <c r="X32" s="418"/>
      <c r="Y32" s="418"/>
      <c r="Z32" s="418"/>
      <c r="AA32" s="418"/>
      <c r="AB32" s="422"/>
      <c r="AC32" s="465"/>
      <c r="AD32" s="433"/>
      <c r="AE32" s="433"/>
      <c r="AF32" s="433"/>
      <c r="AG32" s="466"/>
      <c r="AH32" s="432"/>
      <c r="AI32" s="433"/>
      <c r="AJ32" s="433"/>
      <c r="AK32" s="434"/>
      <c r="AL32" s="465"/>
      <c r="AM32" s="433"/>
      <c r="AN32" s="433"/>
      <c r="AO32" s="433"/>
      <c r="AP32" s="466"/>
      <c r="AQ32" s="432"/>
      <c r="AR32" s="433"/>
      <c r="AS32" s="433"/>
      <c r="AT32" s="450"/>
      <c r="AU32" s="519"/>
      <c r="AV32" s="520"/>
      <c r="AW32" s="520"/>
      <c r="AX32" s="520"/>
      <c r="AY32" s="520"/>
      <c r="AZ32" s="520"/>
      <c r="BA32" s="520"/>
      <c r="BB32" s="520"/>
      <c r="BC32" s="520"/>
      <c r="BD32" s="521"/>
      <c r="BE32" s="486"/>
      <c r="BF32" s="487"/>
      <c r="BG32" s="487"/>
      <c r="BH32" s="487"/>
      <c r="BI32" s="487"/>
      <c r="BJ32" s="488"/>
      <c r="BK32" s="494"/>
      <c r="BL32" s="487"/>
      <c r="BM32" s="487"/>
      <c r="BN32" s="487"/>
      <c r="BO32" s="487"/>
      <c r="BP32" s="487"/>
      <c r="BQ32" s="495"/>
      <c r="BR32" s="486"/>
      <c r="BS32" s="487"/>
      <c r="BT32" s="487"/>
      <c r="BU32" s="487"/>
      <c r="BV32" s="487"/>
      <c r="BW32" s="487"/>
      <c r="BX32" s="499"/>
      <c r="BY32" s="148"/>
      <c r="BZ32" s="148"/>
      <c r="CA32" s="148"/>
      <c r="CB32" s="148"/>
      <c r="CC32" s="148"/>
      <c r="CD32" s="148"/>
      <c r="CE32" s="148"/>
      <c r="CF32" s="148"/>
      <c r="CG32" s="148"/>
      <c r="CH32" s="148"/>
      <c r="CI32" s="148"/>
      <c r="CJ32" s="148"/>
      <c r="CK32" s="148"/>
      <c r="CL32" s="148"/>
      <c r="CM32" s="533"/>
      <c r="CN32" s="416"/>
      <c r="CO32" s="416"/>
      <c r="CP32" s="416"/>
      <c r="CQ32" s="416"/>
      <c r="CR32" s="416"/>
      <c r="CS32" s="416"/>
      <c r="CT32" s="416"/>
      <c r="CU32" s="416"/>
      <c r="CV32" s="416"/>
      <c r="CW32" s="416"/>
      <c r="CX32" s="416"/>
      <c r="CY32" s="416"/>
      <c r="CZ32" s="416"/>
      <c r="DA32" s="416"/>
      <c r="DB32" s="416"/>
      <c r="DC32" s="452"/>
      <c r="DD32" s="537"/>
      <c r="DE32" s="528"/>
      <c r="DF32" s="528"/>
      <c r="DG32" s="528"/>
      <c r="DH32" s="528"/>
      <c r="DI32" s="538"/>
      <c r="DJ32" s="554"/>
      <c r="DK32" s="555"/>
      <c r="DL32" s="555"/>
      <c r="DM32" s="555"/>
      <c r="DN32" s="555"/>
      <c r="DO32" s="555"/>
      <c r="DP32" s="555"/>
      <c r="DQ32" s="555"/>
      <c r="DR32" s="555"/>
      <c r="DS32" s="555"/>
      <c r="DT32" s="555"/>
      <c r="DU32" s="555"/>
      <c r="DV32" s="555"/>
      <c r="DW32" s="555"/>
      <c r="DX32" s="555"/>
      <c r="DY32" s="555"/>
      <c r="DZ32" s="556"/>
      <c r="EA32" s="507"/>
      <c r="EB32" s="507"/>
      <c r="EC32" s="507"/>
      <c r="ED32" s="507"/>
      <c r="EE32" s="507"/>
      <c r="EF32" s="507"/>
      <c r="EG32" s="507"/>
      <c r="EH32" s="507"/>
      <c r="EI32" s="507"/>
      <c r="EJ32" s="507"/>
      <c r="EK32" s="507"/>
      <c r="EL32" s="507"/>
      <c r="EM32" s="507"/>
      <c r="EN32" s="507"/>
      <c r="EO32" s="507"/>
      <c r="EP32" s="507"/>
      <c r="EQ32" s="507"/>
      <c r="ER32" s="525"/>
      <c r="ES32" s="525"/>
      <c r="ET32" s="525"/>
      <c r="EU32" s="525"/>
      <c r="EV32" s="525"/>
      <c r="EW32" s="525"/>
      <c r="EX32" s="525"/>
      <c r="EY32" s="525"/>
      <c r="EZ32" s="569"/>
      <c r="FA32" s="569"/>
      <c r="FB32" s="569"/>
      <c r="FC32" s="569"/>
      <c r="FD32" s="569"/>
      <c r="FE32" s="569"/>
      <c r="FF32" s="569"/>
      <c r="FG32" s="570"/>
    </row>
    <row r="33" spans="2:163" ht="8.65" customHeight="1">
      <c r="B33" s="519"/>
      <c r="C33" s="520"/>
      <c r="D33" s="520"/>
      <c r="E33" s="520"/>
      <c r="F33" s="520"/>
      <c r="G33" s="520"/>
      <c r="H33" s="520"/>
      <c r="I33" s="520"/>
      <c r="J33" s="520"/>
      <c r="K33" s="520"/>
      <c r="L33" s="520"/>
      <c r="M33" s="419" t="s">
        <v>199</v>
      </c>
      <c r="N33" s="414"/>
      <c r="O33" s="414"/>
      <c r="P33" s="414"/>
      <c r="Q33" s="414"/>
      <c r="R33" s="414"/>
      <c r="S33" s="414"/>
      <c r="T33" s="414"/>
      <c r="U33" s="414"/>
      <c r="V33" s="414"/>
      <c r="W33" s="414"/>
      <c r="X33" s="414"/>
      <c r="Y33" s="414"/>
      <c r="Z33" s="414"/>
      <c r="AA33" s="414"/>
      <c r="AB33" s="420"/>
      <c r="AC33" s="463">
        <v>17.899999999999999</v>
      </c>
      <c r="AD33" s="430"/>
      <c r="AE33" s="430"/>
      <c r="AF33" s="430"/>
      <c r="AG33" s="464"/>
      <c r="AH33" s="429">
        <f t="shared" ref="AH33" si="16">AC33</f>
        <v>17.899999999999999</v>
      </c>
      <c r="AI33" s="430"/>
      <c r="AJ33" s="430"/>
      <c r="AK33" s="431"/>
      <c r="AL33" s="463">
        <v>6</v>
      </c>
      <c r="AM33" s="430"/>
      <c r="AN33" s="430"/>
      <c r="AO33" s="430"/>
      <c r="AP33" s="464"/>
      <c r="AQ33" s="429">
        <f t="shared" ref="AQ33" si="17">AL33</f>
        <v>6</v>
      </c>
      <c r="AR33" s="430"/>
      <c r="AS33" s="430"/>
      <c r="AT33" s="449"/>
      <c r="AU33" s="519"/>
      <c r="AV33" s="520"/>
      <c r="AW33" s="520"/>
      <c r="AX33" s="520"/>
      <c r="AY33" s="520"/>
      <c r="AZ33" s="520"/>
      <c r="BA33" s="520"/>
      <c r="BB33" s="520"/>
      <c r="BC33" s="520"/>
      <c r="BD33" s="521"/>
      <c r="BE33" s="486"/>
      <c r="BF33" s="487"/>
      <c r="BG33" s="487"/>
      <c r="BH33" s="487"/>
      <c r="BI33" s="487"/>
      <c r="BJ33" s="488"/>
      <c r="BK33" s="494"/>
      <c r="BL33" s="487"/>
      <c r="BM33" s="487"/>
      <c r="BN33" s="487"/>
      <c r="BO33" s="487"/>
      <c r="BP33" s="487"/>
      <c r="BQ33" s="495"/>
      <c r="BR33" s="486"/>
      <c r="BS33" s="487"/>
      <c r="BT33" s="487"/>
      <c r="BU33" s="487"/>
      <c r="BV33" s="487"/>
      <c r="BW33" s="487"/>
      <c r="BX33" s="499"/>
      <c r="BY33" s="148"/>
      <c r="BZ33" s="148"/>
      <c r="CA33" s="148"/>
      <c r="CB33" s="148"/>
      <c r="CC33" s="148"/>
      <c r="CD33" s="148"/>
      <c r="CE33" s="148"/>
      <c r="CF33" s="148"/>
      <c r="CG33" s="148"/>
      <c r="CH33" s="148"/>
      <c r="CI33" s="148"/>
      <c r="CJ33" s="148"/>
      <c r="CK33" s="148"/>
      <c r="CL33" s="148"/>
      <c r="CM33" s="533"/>
      <c r="CN33" s="416"/>
      <c r="CO33" s="416"/>
      <c r="CP33" s="416"/>
      <c r="CQ33" s="416"/>
      <c r="CR33" s="416"/>
      <c r="CS33" s="416"/>
      <c r="CT33" s="416"/>
      <c r="CU33" s="416"/>
      <c r="CV33" s="416"/>
      <c r="CW33" s="416"/>
      <c r="CX33" s="416"/>
      <c r="CY33" s="416"/>
      <c r="CZ33" s="416"/>
      <c r="DA33" s="416"/>
      <c r="DB33" s="416"/>
      <c r="DC33" s="452"/>
      <c r="DD33" s="537"/>
      <c r="DE33" s="528"/>
      <c r="DF33" s="528"/>
      <c r="DG33" s="528"/>
      <c r="DH33" s="528"/>
      <c r="DI33" s="538"/>
      <c r="DJ33" s="554"/>
      <c r="DK33" s="555"/>
      <c r="DL33" s="555"/>
      <c r="DM33" s="555"/>
      <c r="DN33" s="555"/>
      <c r="DO33" s="555"/>
      <c r="DP33" s="555"/>
      <c r="DQ33" s="555"/>
      <c r="DR33" s="555"/>
      <c r="DS33" s="555"/>
      <c r="DT33" s="555"/>
      <c r="DU33" s="555"/>
      <c r="DV33" s="555"/>
      <c r="DW33" s="555"/>
      <c r="DX33" s="555"/>
      <c r="DY33" s="555"/>
      <c r="DZ33" s="556"/>
      <c r="EA33" s="507" t="s">
        <v>209</v>
      </c>
      <c r="EB33" s="507"/>
      <c r="EC33" s="507"/>
      <c r="ED33" s="507"/>
      <c r="EE33" s="507"/>
      <c r="EF33" s="507"/>
      <c r="EG33" s="507"/>
      <c r="EH33" s="507"/>
      <c r="EI33" s="507"/>
      <c r="EJ33" s="507"/>
      <c r="EK33" s="507"/>
      <c r="EL33" s="507"/>
      <c r="EM33" s="507"/>
      <c r="EN33" s="507"/>
      <c r="EO33" s="507"/>
      <c r="EP33" s="507"/>
      <c r="EQ33" s="507"/>
      <c r="ER33" s="525">
        <v>1.59</v>
      </c>
      <c r="ES33" s="525"/>
      <c r="ET33" s="525"/>
      <c r="EU33" s="525"/>
      <c r="EV33" s="525"/>
      <c r="EW33" s="525"/>
      <c r="EX33" s="525"/>
      <c r="EY33" s="525"/>
      <c r="EZ33" s="569">
        <v>2450</v>
      </c>
      <c r="FA33" s="569"/>
      <c r="FB33" s="569"/>
      <c r="FC33" s="569"/>
      <c r="FD33" s="569"/>
      <c r="FE33" s="569"/>
      <c r="FF33" s="569"/>
      <c r="FG33" s="570"/>
    </row>
    <row r="34" spans="2:163" ht="8.65" customHeight="1">
      <c r="B34" s="519"/>
      <c r="C34" s="520"/>
      <c r="D34" s="520"/>
      <c r="E34" s="520"/>
      <c r="F34" s="520"/>
      <c r="G34" s="520"/>
      <c r="H34" s="520"/>
      <c r="I34" s="520"/>
      <c r="J34" s="520"/>
      <c r="K34" s="520"/>
      <c r="L34" s="520"/>
      <c r="M34" s="421"/>
      <c r="N34" s="418"/>
      <c r="O34" s="418"/>
      <c r="P34" s="418"/>
      <c r="Q34" s="418"/>
      <c r="R34" s="418"/>
      <c r="S34" s="418"/>
      <c r="T34" s="418"/>
      <c r="U34" s="418"/>
      <c r="V34" s="418"/>
      <c r="W34" s="418"/>
      <c r="X34" s="418"/>
      <c r="Y34" s="418"/>
      <c r="Z34" s="418"/>
      <c r="AA34" s="418"/>
      <c r="AB34" s="422"/>
      <c r="AC34" s="465"/>
      <c r="AD34" s="433"/>
      <c r="AE34" s="433"/>
      <c r="AF34" s="433"/>
      <c r="AG34" s="466"/>
      <c r="AH34" s="432"/>
      <c r="AI34" s="433"/>
      <c r="AJ34" s="433"/>
      <c r="AK34" s="434"/>
      <c r="AL34" s="465"/>
      <c r="AM34" s="433"/>
      <c r="AN34" s="433"/>
      <c r="AO34" s="433"/>
      <c r="AP34" s="466"/>
      <c r="AQ34" s="432"/>
      <c r="AR34" s="433"/>
      <c r="AS34" s="433"/>
      <c r="AT34" s="450"/>
      <c r="AU34" s="522"/>
      <c r="AV34" s="523"/>
      <c r="AW34" s="523"/>
      <c r="AX34" s="523"/>
      <c r="AY34" s="523"/>
      <c r="AZ34" s="523"/>
      <c r="BA34" s="523"/>
      <c r="BB34" s="523"/>
      <c r="BC34" s="523"/>
      <c r="BD34" s="524"/>
      <c r="BE34" s="486"/>
      <c r="BF34" s="487"/>
      <c r="BG34" s="487"/>
      <c r="BH34" s="487"/>
      <c r="BI34" s="487"/>
      <c r="BJ34" s="488"/>
      <c r="BK34" s="496"/>
      <c r="BL34" s="490"/>
      <c r="BM34" s="490"/>
      <c r="BN34" s="490"/>
      <c r="BO34" s="490"/>
      <c r="BP34" s="490"/>
      <c r="BQ34" s="497"/>
      <c r="BR34" s="486"/>
      <c r="BS34" s="487"/>
      <c r="BT34" s="487"/>
      <c r="BU34" s="487"/>
      <c r="BV34" s="487"/>
      <c r="BW34" s="487"/>
      <c r="BX34" s="499"/>
      <c r="BY34" s="148"/>
      <c r="BZ34" s="148"/>
      <c r="CA34" s="148"/>
      <c r="CB34" s="148"/>
      <c r="CC34" s="148"/>
      <c r="CD34" s="148"/>
      <c r="CE34" s="148"/>
      <c r="CF34" s="148"/>
      <c r="CG34" s="148"/>
      <c r="CH34" s="148"/>
      <c r="CI34" s="148"/>
      <c r="CJ34" s="148"/>
      <c r="CK34" s="148"/>
      <c r="CL34" s="148"/>
      <c r="CM34" s="533"/>
      <c r="CN34" s="416"/>
      <c r="CO34" s="416"/>
      <c r="CP34" s="416"/>
      <c r="CQ34" s="416"/>
      <c r="CR34" s="416"/>
      <c r="CS34" s="416"/>
      <c r="CT34" s="416"/>
      <c r="CU34" s="416"/>
      <c r="CV34" s="416"/>
      <c r="CW34" s="416"/>
      <c r="CX34" s="416"/>
      <c r="CY34" s="416"/>
      <c r="CZ34" s="416"/>
      <c r="DA34" s="416"/>
      <c r="DB34" s="416"/>
      <c r="DC34" s="452"/>
      <c r="DD34" s="537"/>
      <c r="DE34" s="528"/>
      <c r="DF34" s="528"/>
      <c r="DG34" s="528"/>
      <c r="DH34" s="528"/>
      <c r="DI34" s="538"/>
      <c r="DJ34" s="557"/>
      <c r="DK34" s="558"/>
      <c r="DL34" s="558"/>
      <c r="DM34" s="558"/>
      <c r="DN34" s="558"/>
      <c r="DO34" s="558"/>
      <c r="DP34" s="558"/>
      <c r="DQ34" s="558"/>
      <c r="DR34" s="558"/>
      <c r="DS34" s="558"/>
      <c r="DT34" s="558"/>
      <c r="DU34" s="558"/>
      <c r="DV34" s="558"/>
      <c r="DW34" s="558"/>
      <c r="DX34" s="558"/>
      <c r="DY34" s="558"/>
      <c r="DZ34" s="559"/>
      <c r="EA34" s="507"/>
      <c r="EB34" s="507"/>
      <c r="EC34" s="507"/>
      <c r="ED34" s="507"/>
      <c r="EE34" s="507"/>
      <c r="EF34" s="507"/>
      <c r="EG34" s="507"/>
      <c r="EH34" s="507"/>
      <c r="EI34" s="507"/>
      <c r="EJ34" s="507"/>
      <c r="EK34" s="507"/>
      <c r="EL34" s="507"/>
      <c r="EM34" s="507"/>
      <c r="EN34" s="507"/>
      <c r="EO34" s="507"/>
      <c r="EP34" s="507"/>
      <c r="EQ34" s="507"/>
      <c r="ER34" s="525"/>
      <c r="ES34" s="525"/>
      <c r="ET34" s="525"/>
      <c r="EU34" s="525"/>
      <c r="EV34" s="525"/>
      <c r="EW34" s="525"/>
      <c r="EX34" s="525"/>
      <c r="EY34" s="525"/>
      <c r="EZ34" s="569"/>
      <c r="FA34" s="569"/>
      <c r="FB34" s="569"/>
      <c r="FC34" s="569"/>
      <c r="FD34" s="569"/>
      <c r="FE34" s="569"/>
      <c r="FF34" s="569"/>
      <c r="FG34" s="570"/>
    </row>
    <row r="35" spans="2:163" ht="8.65" customHeight="1">
      <c r="B35" s="519"/>
      <c r="C35" s="520"/>
      <c r="D35" s="520"/>
      <c r="E35" s="520"/>
      <c r="F35" s="520"/>
      <c r="G35" s="520"/>
      <c r="H35" s="520"/>
      <c r="I35" s="520"/>
      <c r="J35" s="520"/>
      <c r="K35" s="520"/>
      <c r="L35" s="520"/>
      <c r="M35" s="419" t="s">
        <v>200</v>
      </c>
      <c r="N35" s="414"/>
      <c r="O35" s="414"/>
      <c r="P35" s="414"/>
      <c r="Q35" s="414"/>
      <c r="R35" s="414"/>
      <c r="S35" s="414"/>
      <c r="T35" s="414"/>
      <c r="U35" s="414"/>
      <c r="V35" s="414"/>
      <c r="W35" s="414"/>
      <c r="X35" s="414"/>
      <c r="Y35" s="414"/>
      <c r="Z35" s="414"/>
      <c r="AA35" s="414"/>
      <c r="AB35" s="420"/>
      <c r="AC35" s="463">
        <v>18.2</v>
      </c>
      <c r="AD35" s="430"/>
      <c r="AE35" s="430"/>
      <c r="AF35" s="430"/>
      <c r="AG35" s="464"/>
      <c r="AH35" s="429">
        <f t="shared" ref="AH35" si="18">AC35</f>
        <v>18.2</v>
      </c>
      <c r="AI35" s="430"/>
      <c r="AJ35" s="430"/>
      <c r="AK35" s="431"/>
      <c r="AL35" s="463">
        <v>6.4</v>
      </c>
      <c r="AM35" s="430"/>
      <c r="AN35" s="430"/>
      <c r="AO35" s="430"/>
      <c r="AP35" s="464"/>
      <c r="AQ35" s="429">
        <f t="shared" ref="AQ35" si="19">AL35</f>
        <v>6.4</v>
      </c>
      <c r="AR35" s="430"/>
      <c r="AS35" s="430"/>
      <c r="AT35" s="449"/>
      <c r="AU35" s="516" t="s">
        <v>219</v>
      </c>
      <c r="AV35" s="517"/>
      <c r="AW35" s="517"/>
      <c r="AX35" s="517"/>
      <c r="AY35" s="517"/>
      <c r="AZ35" s="517"/>
      <c r="BA35" s="517"/>
      <c r="BB35" s="517"/>
      <c r="BC35" s="517"/>
      <c r="BD35" s="518"/>
      <c r="BE35" s="486"/>
      <c r="BF35" s="487"/>
      <c r="BG35" s="487"/>
      <c r="BH35" s="487"/>
      <c r="BI35" s="487"/>
      <c r="BJ35" s="488"/>
      <c r="BK35" s="492">
        <v>4.5</v>
      </c>
      <c r="BL35" s="484"/>
      <c r="BM35" s="484"/>
      <c r="BN35" s="484"/>
      <c r="BO35" s="484"/>
      <c r="BP35" s="484"/>
      <c r="BQ35" s="493"/>
      <c r="BR35" s="486"/>
      <c r="BS35" s="487"/>
      <c r="BT35" s="487"/>
      <c r="BU35" s="487"/>
      <c r="BV35" s="487"/>
      <c r="BW35" s="487"/>
      <c r="BX35" s="499"/>
      <c r="BY35" s="148"/>
      <c r="BZ35" s="148"/>
      <c r="CA35" s="148"/>
      <c r="CB35" s="148"/>
      <c r="CC35" s="148"/>
      <c r="CD35" s="148"/>
      <c r="CE35" s="148"/>
      <c r="CF35" s="148"/>
      <c r="CG35" s="148"/>
      <c r="CH35" s="148"/>
      <c r="CI35" s="148"/>
      <c r="CJ35" s="148"/>
      <c r="CK35" s="148"/>
      <c r="CL35" s="148"/>
      <c r="CM35" s="534"/>
      <c r="CN35" s="418"/>
      <c r="CO35" s="418"/>
      <c r="CP35" s="418"/>
      <c r="CQ35" s="418"/>
      <c r="CR35" s="418"/>
      <c r="CS35" s="418"/>
      <c r="CT35" s="418"/>
      <c r="CU35" s="418"/>
      <c r="CV35" s="418"/>
      <c r="CW35" s="418"/>
      <c r="CX35" s="418"/>
      <c r="CY35" s="418"/>
      <c r="CZ35" s="418"/>
      <c r="DA35" s="418"/>
      <c r="DB35" s="418"/>
      <c r="DC35" s="453"/>
      <c r="DD35" s="539"/>
      <c r="DE35" s="530"/>
      <c r="DF35" s="530"/>
      <c r="DG35" s="530"/>
      <c r="DH35" s="530"/>
      <c r="DI35" s="540"/>
      <c r="DJ35" s="541" t="s">
        <v>216</v>
      </c>
      <c r="DK35" s="542"/>
      <c r="DL35" s="542"/>
      <c r="DM35" s="542"/>
      <c r="DN35" s="542"/>
      <c r="DO35" s="542"/>
      <c r="DP35" s="543"/>
      <c r="DQ35" s="571" t="s">
        <v>217</v>
      </c>
      <c r="DR35" s="552"/>
      <c r="DS35" s="552"/>
      <c r="DT35" s="552"/>
      <c r="DU35" s="552"/>
      <c r="DV35" s="552"/>
      <c r="DW35" s="552"/>
      <c r="DX35" s="552"/>
      <c r="DY35" s="552"/>
      <c r="DZ35" s="553"/>
      <c r="EA35" s="507" t="s">
        <v>201</v>
      </c>
      <c r="EB35" s="507"/>
      <c r="EC35" s="507"/>
      <c r="ED35" s="507"/>
      <c r="EE35" s="507"/>
      <c r="EF35" s="507"/>
      <c r="EG35" s="507"/>
      <c r="EH35" s="507"/>
      <c r="EI35" s="507"/>
      <c r="EJ35" s="507"/>
      <c r="EK35" s="507"/>
      <c r="EL35" s="507"/>
      <c r="EM35" s="507"/>
      <c r="EN35" s="507"/>
      <c r="EO35" s="507"/>
      <c r="EP35" s="507"/>
      <c r="EQ35" s="507"/>
      <c r="ER35" s="525">
        <v>2.37</v>
      </c>
      <c r="ES35" s="525"/>
      <c r="ET35" s="525"/>
      <c r="EU35" s="525"/>
      <c r="EV35" s="525"/>
      <c r="EW35" s="525"/>
      <c r="EX35" s="525"/>
      <c r="EY35" s="525"/>
      <c r="EZ35" s="569"/>
      <c r="FA35" s="569"/>
      <c r="FB35" s="569"/>
      <c r="FC35" s="569"/>
      <c r="FD35" s="569"/>
      <c r="FE35" s="569"/>
      <c r="FF35" s="569"/>
      <c r="FG35" s="570"/>
    </row>
    <row r="36" spans="2:163" ht="8.65" customHeight="1">
      <c r="B36" s="519"/>
      <c r="C36" s="520"/>
      <c r="D36" s="520"/>
      <c r="E36" s="520"/>
      <c r="F36" s="520"/>
      <c r="G36" s="520"/>
      <c r="H36" s="520"/>
      <c r="I36" s="520"/>
      <c r="J36" s="520"/>
      <c r="K36" s="520"/>
      <c r="L36" s="520"/>
      <c r="M36" s="421"/>
      <c r="N36" s="418"/>
      <c r="O36" s="418"/>
      <c r="P36" s="418"/>
      <c r="Q36" s="418"/>
      <c r="R36" s="418"/>
      <c r="S36" s="418"/>
      <c r="T36" s="418"/>
      <c r="U36" s="418"/>
      <c r="V36" s="418"/>
      <c r="W36" s="418"/>
      <c r="X36" s="418"/>
      <c r="Y36" s="418"/>
      <c r="Z36" s="418"/>
      <c r="AA36" s="418"/>
      <c r="AB36" s="422"/>
      <c r="AC36" s="465"/>
      <c r="AD36" s="433"/>
      <c r="AE36" s="433"/>
      <c r="AF36" s="433"/>
      <c r="AG36" s="466"/>
      <c r="AH36" s="432"/>
      <c r="AI36" s="433"/>
      <c r="AJ36" s="433"/>
      <c r="AK36" s="434"/>
      <c r="AL36" s="465"/>
      <c r="AM36" s="433"/>
      <c r="AN36" s="433"/>
      <c r="AO36" s="433"/>
      <c r="AP36" s="466"/>
      <c r="AQ36" s="432"/>
      <c r="AR36" s="433"/>
      <c r="AS36" s="433"/>
      <c r="AT36" s="450"/>
      <c r="AU36" s="519"/>
      <c r="AV36" s="520"/>
      <c r="AW36" s="520"/>
      <c r="AX36" s="520"/>
      <c r="AY36" s="520"/>
      <c r="AZ36" s="520"/>
      <c r="BA36" s="520"/>
      <c r="BB36" s="520"/>
      <c r="BC36" s="520"/>
      <c r="BD36" s="521"/>
      <c r="BE36" s="486"/>
      <c r="BF36" s="487"/>
      <c r="BG36" s="487"/>
      <c r="BH36" s="487"/>
      <c r="BI36" s="487"/>
      <c r="BJ36" s="488"/>
      <c r="BK36" s="494"/>
      <c r="BL36" s="487"/>
      <c r="BM36" s="487"/>
      <c r="BN36" s="487"/>
      <c r="BO36" s="487"/>
      <c r="BP36" s="487"/>
      <c r="BQ36" s="495"/>
      <c r="BR36" s="486"/>
      <c r="BS36" s="487"/>
      <c r="BT36" s="487"/>
      <c r="BU36" s="487"/>
      <c r="BV36" s="487"/>
      <c r="BW36" s="487"/>
      <c r="BX36" s="499"/>
      <c r="BY36" s="148"/>
      <c r="BZ36" s="148"/>
      <c r="CA36" s="148"/>
      <c r="CB36" s="148"/>
      <c r="CC36" s="148"/>
      <c r="CD36" s="148"/>
      <c r="CE36" s="148"/>
      <c r="CF36" s="148"/>
      <c r="CG36" s="148"/>
      <c r="CH36" s="148"/>
      <c r="CI36" s="148"/>
      <c r="CJ36" s="148"/>
      <c r="CK36" s="148"/>
      <c r="CL36" s="148"/>
      <c r="CM36" s="533" t="s">
        <v>220</v>
      </c>
      <c r="CN36" s="416"/>
      <c r="CO36" s="416"/>
      <c r="CP36" s="416"/>
      <c r="CQ36" s="416"/>
      <c r="CR36" s="416"/>
      <c r="CS36" s="416"/>
      <c r="CT36" s="416"/>
      <c r="CU36" s="416"/>
      <c r="CV36" s="416"/>
      <c r="CW36" s="416"/>
      <c r="CX36" s="416"/>
      <c r="CY36" s="416"/>
      <c r="CZ36" s="416"/>
      <c r="DA36" s="416"/>
      <c r="DB36" s="416"/>
      <c r="DC36" s="452"/>
      <c r="DD36" s="537">
        <v>0.1</v>
      </c>
      <c r="DE36" s="528"/>
      <c r="DF36" s="528"/>
      <c r="DG36" s="528"/>
      <c r="DH36" s="528"/>
      <c r="DI36" s="538"/>
      <c r="DJ36" s="544"/>
      <c r="DK36" s="545"/>
      <c r="DL36" s="545"/>
      <c r="DM36" s="545"/>
      <c r="DN36" s="545"/>
      <c r="DO36" s="545"/>
      <c r="DP36" s="546"/>
      <c r="DQ36" s="572"/>
      <c r="DR36" s="555"/>
      <c r="DS36" s="555"/>
      <c r="DT36" s="555"/>
      <c r="DU36" s="555"/>
      <c r="DV36" s="555"/>
      <c r="DW36" s="555"/>
      <c r="DX36" s="555"/>
      <c r="DY36" s="555"/>
      <c r="DZ36" s="556"/>
      <c r="EA36" s="507"/>
      <c r="EB36" s="507"/>
      <c r="EC36" s="507"/>
      <c r="ED36" s="507"/>
      <c r="EE36" s="507"/>
      <c r="EF36" s="507"/>
      <c r="EG36" s="507"/>
      <c r="EH36" s="507"/>
      <c r="EI36" s="507"/>
      <c r="EJ36" s="507"/>
      <c r="EK36" s="507"/>
      <c r="EL36" s="507"/>
      <c r="EM36" s="507"/>
      <c r="EN36" s="507"/>
      <c r="EO36" s="507"/>
      <c r="EP36" s="507"/>
      <c r="EQ36" s="507"/>
      <c r="ER36" s="525"/>
      <c r="ES36" s="525"/>
      <c r="ET36" s="525"/>
      <c r="EU36" s="525"/>
      <c r="EV36" s="525"/>
      <c r="EW36" s="525"/>
      <c r="EX36" s="525"/>
      <c r="EY36" s="525"/>
      <c r="EZ36" s="569"/>
      <c r="FA36" s="569"/>
      <c r="FB36" s="569"/>
      <c r="FC36" s="569"/>
      <c r="FD36" s="569"/>
      <c r="FE36" s="569"/>
      <c r="FF36" s="569"/>
      <c r="FG36" s="570"/>
    </row>
    <row r="37" spans="2:163" ht="8.65" customHeight="1">
      <c r="B37" s="519"/>
      <c r="C37" s="520"/>
      <c r="D37" s="520"/>
      <c r="E37" s="520"/>
      <c r="F37" s="520"/>
      <c r="G37" s="520"/>
      <c r="H37" s="520"/>
      <c r="I37" s="520"/>
      <c r="J37" s="520"/>
      <c r="K37" s="520"/>
      <c r="L37" s="520"/>
      <c r="M37" s="419" t="s">
        <v>204</v>
      </c>
      <c r="N37" s="414"/>
      <c r="O37" s="414"/>
      <c r="P37" s="414"/>
      <c r="Q37" s="414"/>
      <c r="R37" s="414"/>
      <c r="S37" s="414"/>
      <c r="T37" s="414"/>
      <c r="U37" s="414"/>
      <c r="V37" s="414"/>
      <c r="W37" s="414"/>
      <c r="X37" s="414"/>
      <c r="Y37" s="414"/>
      <c r="Z37" s="414"/>
      <c r="AA37" s="414"/>
      <c r="AB37" s="420"/>
      <c r="AC37" s="463">
        <v>19.399999999999999</v>
      </c>
      <c r="AD37" s="430"/>
      <c r="AE37" s="430"/>
      <c r="AF37" s="430"/>
      <c r="AG37" s="464"/>
      <c r="AH37" s="429">
        <f t="shared" ref="AH37" si="20">AC37</f>
        <v>19.399999999999999</v>
      </c>
      <c r="AI37" s="430"/>
      <c r="AJ37" s="430"/>
      <c r="AK37" s="431"/>
      <c r="AL37" s="463">
        <v>7</v>
      </c>
      <c r="AM37" s="430"/>
      <c r="AN37" s="430"/>
      <c r="AO37" s="430"/>
      <c r="AP37" s="464"/>
      <c r="AQ37" s="429">
        <f t="shared" ref="AQ37" si="21">AL37</f>
        <v>7</v>
      </c>
      <c r="AR37" s="430"/>
      <c r="AS37" s="430"/>
      <c r="AT37" s="449"/>
      <c r="AU37" s="519"/>
      <c r="AV37" s="520"/>
      <c r="AW37" s="520"/>
      <c r="AX37" s="520"/>
      <c r="AY37" s="520"/>
      <c r="AZ37" s="520"/>
      <c r="BA37" s="520"/>
      <c r="BB37" s="520"/>
      <c r="BC37" s="520"/>
      <c r="BD37" s="521"/>
      <c r="BE37" s="486"/>
      <c r="BF37" s="487"/>
      <c r="BG37" s="487"/>
      <c r="BH37" s="487"/>
      <c r="BI37" s="487"/>
      <c r="BJ37" s="488"/>
      <c r="BK37" s="494"/>
      <c r="BL37" s="487"/>
      <c r="BM37" s="487"/>
      <c r="BN37" s="487"/>
      <c r="BO37" s="487"/>
      <c r="BP37" s="487"/>
      <c r="BQ37" s="495"/>
      <c r="BR37" s="486"/>
      <c r="BS37" s="487"/>
      <c r="BT37" s="487"/>
      <c r="BU37" s="487"/>
      <c r="BV37" s="487"/>
      <c r="BW37" s="487"/>
      <c r="BX37" s="499"/>
      <c r="BY37" s="148"/>
      <c r="BZ37" s="148"/>
      <c r="CA37" s="148"/>
      <c r="CB37" s="148"/>
      <c r="CC37" s="148"/>
      <c r="CD37" s="148"/>
      <c r="CE37" s="148"/>
      <c r="CF37" s="148"/>
      <c r="CG37" s="148"/>
      <c r="CH37" s="148"/>
      <c r="CI37" s="148"/>
      <c r="CJ37" s="148"/>
      <c r="CK37" s="148"/>
      <c r="CL37" s="148"/>
      <c r="CM37" s="533"/>
      <c r="CN37" s="416"/>
      <c r="CO37" s="416"/>
      <c r="CP37" s="416"/>
      <c r="CQ37" s="416"/>
      <c r="CR37" s="416"/>
      <c r="CS37" s="416"/>
      <c r="CT37" s="416"/>
      <c r="CU37" s="416"/>
      <c r="CV37" s="416"/>
      <c r="CW37" s="416"/>
      <c r="CX37" s="416"/>
      <c r="CY37" s="416"/>
      <c r="CZ37" s="416"/>
      <c r="DA37" s="416"/>
      <c r="DB37" s="416"/>
      <c r="DC37" s="452"/>
      <c r="DD37" s="537"/>
      <c r="DE37" s="528"/>
      <c r="DF37" s="528"/>
      <c r="DG37" s="528"/>
      <c r="DH37" s="528"/>
      <c r="DI37" s="538"/>
      <c r="DJ37" s="544"/>
      <c r="DK37" s="545"/>
      <c r="DL37" s="545"/>
      <c r="DM37" s="545"/>
      <c r="DN37" s="545"/>
      <c r="DO37" s="545"/>
      <c r="DP37" s="546"/>
      <c r="DQ37" s="572"/>
      <c r="DR37" s="555"/>
      <c r="DS37" s="555"/>
      <c r="DT37" s="555"/>
      <c r="DU37" s="555"/>
      <c r="DV37" s="555"/>
      <c r="DW37" s="555"/>
      <c r="DX37" s="555"/>
      <c r="DY37" s="555"/>
      <c r="DZ37" s="556"/>
      <c r="EA37" s="507" t="s">
        <v>206</v>
      </c>
      <c r="EB37" s="507"/>
      <c r="EC37" s="507"/>
      <c r="ED37" s="507"/>
      <c r="EE37" s="507"/>
      <c r="EF37" s="507"/>
      <c r="EG37" s="507"/>
      <c r="EH37" s="507"/>
      <c r="EI37" s="507"/>
      <c r="EJ37" s="507"/>
      <c r="EK37" s="507"/>
      <c r="EL37" s="507"/>
      <c r="EM37" s="507"/>
      <c r="EN37" s="507"/>
      <c r="EO37" s="507"/>
      <c r="EP37" s="507"/>
      <c r="EQ37" s="507"/>
      <c r="ER37" s="525">
        <v>2.6</v>
      </c>
      <c r="ES37" s="525"/>
      <c r="ET37" s="525"/>
      <c r="EU37" s="525"/>
      <c r="EV37" s="525"/>
      <c r="EW37" s="525"/>
      <c r="EX37" s="525"/>
      <c r="EY37" s="525"/>
      <c r="EZ37" s="569"/>
      <c r="FA37" s="569"/>
      <c r="FB37" s="569"/>
      <c r="FC37" s="569"/>
      <c r="FD37" s="569"/>
      <c r="FE37" s="569"/>
      <c r="FF37" s="569"/>
      <c r="FG37" s="570"/>
    </row>
    <row r="38" spans="2:163" ht="8.65" customHeight="1">
      <c r="B38" s="522"/>
      <c r="C38" s="523"/>
      <c r="D38" s="523"/>
      <c r="E38" s="523"/>
      <c r="F38" s="523"/>
      <c r="G38" s="523"/>
      <c r="H38" s="523"/>
      <c r="I38" s="523"/>
      <c r="J38" s="523"/>
      <c r="K38" s="523"/>
      <c r="L38" s="523"/>
      <c r="M38" s="421"/>
      <c r="N38" s="418"/>
      <c r="O38" s="418"/>
      <c r="P38" s="418"/>
      <c r="Q38" s="418"/>
      <c r="R38" s="418"/>
      <c r="S38" s="418"/>
      <c r="T38" s="418"/>
      <c r="U38" s="418"/>
      <c r="V38" s="418"/>
      <c r="W38" s="418"/>
      <c r="X38" s="418"/>
      <c r="Y38" s="418"/>
      <c r="Z38" s="418"/>
      <c r="AA38" s="418"/>
      <c r="AB38" s="422"/>
      <c r="AC38" s="465"/>
      <c r="AD38" s="433"/>
      <c r="AE38" s="433"/>
      <c r="AF38" s="433"/>
      <c r="AG38" s="466"/>
      <c r="AH38" s="432"/>
      <c r="AI38" s="433"/>
      <c r="AJ38" s="433"/>
      <c r="AK38" s="434"/>
      <c r="AL38" s="465"/>
      <c r="AM38" s="433"/>
      <c r="AN38" s="433"/>
      <c r="AO38" s="433"/>
      <c r="AP38" s="466"/>
      <c r="AQ38" s="432"/>
      <c r="AR38" s="433"/>
      <c r="AS38" s="433"/>
      <c r="AT38" s="450"/>
      <c r="AU38" s="522"/>
      <c r="AV38" s="523"/>
      <c r="AW38" s="523"/>
      <c r="AX38" s="523"/>
      <c r="AY38" s="523"/>
      <c r="AZ38" s="523"/>
      <c r="BA38" s="523"/>
      <c r="BB38" s="523"/>
      <c r="BC38" s="523"/>
      <c r="BD38" s="524"/>
      <c r="BE38" s="489"/>
      <c r="BF38" s="490"/>
      <c r="BG38" s="490"/>
      <c r="BH38" s="490"/>
      <c r="BI38" s="490"/>
      <c r="BJ38" s="491"/>
      <c r="BK38" s="494"/>
      <c r="BL38" s="487"/>
      <c r="BM38" s="487"/>
      <c r="BN38" s="487"/>
      <c r="BO38" s="487"/>
      <c r="BP38" s="487"/>
      <c r="BQ38" s="495"/>
      <c r="BR38" s="489"/>
      <c r="BS38" s="490"/>
      <c r="BT38" s="490"/>
      <c r="BU38" s="490"/>
      <c r="BV38" s="490"/>
      <c r="BW38" s="490"/>
      <c r="BX38" s="500"/>
      <c r="BY38" s="148"/>
      <c r="BZ38" s="148"/>
      <c r="CA38" s="148"/>
      <c r="CB38" s="148"/>
      <c r="CC38" s="148"/>
      <c r="CD38" s="148"/>
      <c r="CE38" s="148"/>
      <c r="CF38" s="148"/>
      <c r="CG38" s="148"/>
      <c r="CH38" s="148"/>
      <c r="CI38" s="148"/>
      <c r="CJ38" s="148"/>
      <c r="CK38" s="148"/>
      <c r="CL38" s="148"/>
      <c r="CM38" s="533"/>
      <c r="CN38" s="416"/>
      <c r="CO38" s="416"/>
      <c r="CP38" s="416"/>
      <c r="CQ38" s="416"/>
      <c r="CR38" s="416"/>
      <c r="CS38" s="416"/>
      <c r="CT38" s="416"/>
      <c r="CU38" s="416"/>
      <c r="CV38" s="416"/>
      <c r="CW38" s="416"/>
      <c r="CX38" s="416"/>
      <c r="CY38" s="416"/>
      <c r="CZ38" s="416"/>
      <c r="DA38" s="416"/>
      <c r="DB38" s="416"/>
      <c r="DC38" s="452"/>
      <c r="DD38" s="537"/>
      <c r="DE38" s="528"/>
      <c r="DF38" s="528"/>
      <c r="DG38" s="528"/>
      <c r="DH38" s="528"/>
      <c r="DI38" s="538"/>
      <c r="DJ38" s="544"/>
      <c r="DK38" s="545"/>
      <c r="DL38" s="545"/>
      <c r="DM38" s="545"/>
      <c r="DN38" s="545"/>
      <c r="DO38" s="545"/>
      <c r="DP38" s="546"/>
      <c r="DQ38" s="572"/>
      <c r="DR38" s="555"/>
      <c r="DS38" s="555"/>
      <c r="DT38" s="555"/>
      <c r="DU38" s="555"/>
      <c r="DV38" s="555"/>
      <c r="DW38" s="555"/>
      <c r="DX38" s="555"/>
      <c r="DY38" s="555"/>
      <c r="DZ38" s="556"/>
      <c r="EA38" s="507"/>
      <c r="EB38" s="507"/>
      <c r="EC38" s="507"/>
      <c r="ED38" s="507"/>
      <c r="EE38" s="507"/>
      <c r="EF38" s="507"/>
      <c r="EG38" s="507"/>
      <c r="EH38" s="507"/>
      <c r="EI38" s="507"/>
      <c r="EJ38" s="507"/>
      <c r="EK38" s="507"/>
      <c r="EL38" s="507"/>
      <c r="EM38" s="507"/>
      <c r="EN38" s="507"/>
      <c r="EO38" s="507"/>
      <c r="EP38" s="507"/>
      <c r="EQ38" s="507"/>
      <c r="ER38" s="525"/>
      <c r="ES38" s="525"/>
      <c r="ET38" s="525"/>
      <c r="EU38" s="525"/>
      <c r="EV38" s="525"/>
      <c r="EW38" s="525"/>
      <c r="EX38" s="525"/>
      <c r="EY38" s="525"/>
      <c r="EZ38" s="569"/>
      <c r="FA38" s="569"/>
      <c r="FB38" s="569"/>
      <c r="FC38" s="569"/>
      <c r="FD38" s="569"/>
      <c r="FE38" s="569"/>
      <c r="FF38" s="569"/>
      <c r="FG38" s="570"/>
    </row>
    <row r="39" spans="2:163" ht="8.65" customHeight="1">
      <c r="B39" s="516" t="s">
        <v>218</v>
      </c>
      <c r="C39" s="517"/>
      <c r="D39" s="517"/>
      <c r="E39" s="517"/>
      <c r="F39" s="517"/>
      <c r="G39" s="517"/>
      <c r="H39" s="517"/>
      <c r="I39" s="517"/>
      <c r="J39" s="517"/>
      <c r="K39" s="517"/>
      <c r="L39" s="517"/>
      <c r="M39" s="419" t="s">
        <v>192</v>
      </c>
      <c r="N39" s="414"/>
      <c r="O39" s="414"/>
      <c r="P39" s="414"/>
      <c r="Q39" s="414"/>
      <c r="R39" s="414"/>
      <c r="S39" s="414"/>
      <c r="T39" s="414"/>
      <c r="U39" s="414"/>
      <c r="V39" s="414"/>
      <c r="W39" s="414"/>
      <c r="X39" s="414"/>
      <c r="Y39" s="414"/>
      <c r="Z39" s="414"/>
      <c r="AA39" s="414"/>
      <c r="AB39" s="420"/>
      <c r="AC39" s="463">
        <v>17.5</v>
      </c>
      <c r="AD39" s="430"/>
      <c r="AE39" s="430"/>
      <c r="AF39" s="430"/>
      <c r="AG39" s="464"/>
      <c r="AH39" s="429">
        <f t="shared" ref="AH39" si="22">AC39</f>
        <v>17.5</v>
      </c>
      <c r="AI39" s="430"/>
      <c r="AJ39" s="430"/>
      <c r="AK39" s="431"/>
      <c r="AL39" s="463">
        <v>6.1</v>
      </c>
      <c r="AM39" s="430"/>
      <c r="AN39" s="430"/>
      <c r="AO39" s="430"/>
      <c r="AP39" s="464"/>
      <c r="AQ39" s="429">
        <f t="shared" ref="AQ39" si="23">AL39</f>
        <v>6.1</v>
      </c>
      <c r="AR39" s="430"/>
      <c r="AS39" s="430"/>
      <c r="AT39" s="449"/>
      <c r="AU39" s="516" t="s">
        <v>218</v>
      </c>
      <c r="AV39" s="517"/>
      <c r="AW39" s="517"/>
      <c r="AX39" s="517"/>
      <c r="AY39" s="517"/>
      <c r="AZ39" s="517"/>
      <c r="BA39" s="517"/>
      <c r="BB39" s="517"/>
      <c r="BC39" s="517"/>
      <c r="BD39" s="518"/>
      <c r="BE39" s="483">
        <v>5</v>
      </c>
      <c r="BF39" s="484"/>
      <c r="BG39" s="484"/>
      <c r="BH39" s="484"/>
      <c r="BI39" s="484"/>
      <c r="BJ39" s="485"/>
      <c r="BK39" s="494"/>
      <c r="BL39" s="487"/>
      <c r="BM39" s="487"/>
      <c r="BN39" s="487"/>
      <c r="BO39" s="487"/>
      <c r="BP39" s="487"/>
      <c r="BQ39" s="495"/>
      <c r="BR39" s="483">
        <v>10</v>
      </c>
      <c r="BS39" s="484"/>
      <c r="BT39" s="484"/>
      <c r="BU39" s="484"/>
      <c r="BV39" s="484"/>
      <c r="BW39" s="484"/>
      <c r="BX39" s="498"/>
      <c r="BY39" s="148"/>
      <c r="BZ39" s="148"/>
      <c r="CA39" s="148"/>
      <c r="CB39" s="148"/>
      <c r="CC39" s="148"/>
      <c r="CD39" s="148"/>
      <c r="CE39" s="148"/>
      <c r="CF39" s="148"/>
      <c r="CG39" s="148"/>
      <c r="CH39" s="148"/>
      <c r="CI39" s="148"/>
      <c r="CJ39" s="148"/>
      <c r="CK39" s="148"/>
      <c r="CL39" s="148"/>
      <c r="CM39" s="533"/>
      <c r="CN39" s="416"/>
      <c r="CO39" s="416"/>
      <c r="CP39" s="416"/>
      <c r="CQ39" s="416"/>
      <c r="CR39" s="416"/>
      <c r="CS39" s="416"/>
      <c r="CT39" s="416"/>
      <c r="CU39" s="416"/>
      <c r="CV39" s="416"/>
      <c r="CW39" s="416"/>
      <c r="CX39" s="416"/>
      <c r="CY39" s="416"/>
      <c r="CZ39" s="416"/>
      <c r="DA39" s="416"/>
      <c r="DB39" s="416"/>
      <c r="DC39" s="452"/>
      <c r="DD39" s="537"/>
      <c r="DE39" s="528"/>
      <c r="DF39" s="528"/>
      <c r="DG39" s="528"/>
      <c r="DH39" s="528"/>
      <c r="DI39" s="538"/>
      <c r="DJ39" s="544"/>
      <c r="DK39" s="545"/>
      <c r="DL39" s="545"/>
      <c r="DM39" s="545"/>
      <c r="DN39" s="545"/>
      <c r="DO39" s="545"/>
      <c r="DP39" s="546"/>
      <c r="DQ39" s="572"/>
      <c r="DR39" s="555"/>
      <c r="DS39" s="555"/>
      <c r="DT39" s="555"/>
      <c r="DU39" s="555"/>
      <c r="DV39" s="555"/>
      <c r="DW39" s="555"/>
      <c r="DX39" s="555"/>
      <c r="DY39" s="555"/>
      <c r="DZ39" s="556"/>
      <c r="EA39" s="507" t="s">
        <v>208</v>
      </c>
      <c r="EB39" s="507"/>
      <c r="EC39" s="507"/>
      <c r="ED39" s="507"/>
      <c r="EE39" s="507"/>
      <c r="EF39" s="507"/>
      <c r="EG39" s="507"/>
      <c r="EH39" s="507"/>
      <c r="EI39" s="507"/>
      <c r="EJ39" s="507"/>
      <c r="EK39" s="507"/>
      <c r="EL39" s="507"/>
      <c r="EM39" s="507"/>
      <c r="EN39" s="507"/>
      <c r="EO39" s="507"/>
      <c r="EP39" s="507"/>
      <c r="EQ39" s="507"/>
      <c r="ER39" s="525">
        <v>3.11</v>
      </c>
      <c r="ES39" s="525"/>
      <c r="ET39" s="525"/>
      <c r="EU39" s="525"/>
      <c r="EV39" s="525"/>
      <c r="EW39" s="525"/>
      <c r="EX39" s="525"/>
      <c r="EY39" s="525"/>
      <c r="EZ39" s="514"/>
      <c r="FA39" s="514"/>
      <c r="FB39" s="514"/>
      <c r="FC39" s="514"/>
      <c r="FD39" s="514"/>
      <c r="FE39" s="514"/>
      <c r="FF39" s="514"/>
      <c r="FG39" s="515"/>
    </row>
    <row r="40" spans="2:163" ht="8.65" customHeight="1">
      <c r="B40" s="519"/>
      <c r="C40" s="520"/>
      <c r="D40" s="520"/>
      <c r="E40" s="520"/>
      <c r="F40" s="520"/>
      <c r="G40" s="520"/>
      <c r="H40" s="520"/>
      <c r="I40" s="520"/>
      <c r="J40" s="520"/>
      <c r="K40" s="520"/>
      <c r="L40" s="520"/>
      <c r="M40" s="421"/>
      <c r="N40" s="418"/>
      <c r="O40" s="418"/>
      <c r="P40" s="418"/>
      <c r="Q40" s="418"/>
      <c r="R40" s="418"/>
      <c r="S40" s="418"/>
      <c r="T40" s="418"/>
      <c r="U40" s="418"/>
      <c r="V40" s="418"/>
      <c r="W40" s="418"/>
      <c r="X40" s="418"/>
      <c r="Y40" s="418"/>
      <c r="Z40" s="418"/>
      <c r="AA40" s="418"/>
      <c r="AB40" s="422"/>
      <c r="AC40" s="465"/>
      <c r="AD40" s="433"/>
      <c r="AE40" s="433"/>
      <c r="AF40" s="433"/>
      <c r="AG40" s="466"/>
      <c r="AH40" s="432"/>
      <c r="AI40" s="433"/>
      <c r="AJ40" s="433"/>
      <c r="AK40" s="434"/>
      <c r="AL40" s="465"/>
      <c r="AM40" s="433"/>
      <c r="AN40" s="433"/>
      <c r="AO40" s="433"/>
      <c r="AP40" s="466"/>
      <c r="AQ40" s="432"/>
      <c r="AR40" s="433"/>
      <c r="AS40" s="433"/>
      <c r="AT40" s="450"/>
      <c r="AU40" s="519"/>
      <c r="AV40" s="520"/>
      <c r="AW40" s="520"/>
      <c r="AX40" s="520"/>
      <c r="AY40" s="520"/>
      <c r="AZ40" s="520"/>
      <c r="BA40" s="520"/>
      <c r="BB40" s="520"/>
      <c r="BC40" s="520"/>
      <c r="BD40" s="521"/>
      <c r="BE40" s="486"/>
      <c r="BF40" s="487"/>
      <c r="BG40" s="487"/>
      <c r="BH40" s="487"/>
      <c r="BI40" s="487"/>
      <c r="BJ40" s="488"/>
      <c r="BK40" s="494"/>
      <c r="BL40" s="487"/>
      <c r="BM40" s="487"/>
      <c r="BN40" s="487"/>
      <c r="BO40" s="487"/>
      <c r="BP40" s="487"/>
      <c r="BQ40" s="495"/>
      <c r="BR40" s="486"/>
      <c r="BS40" s="487"/>
      <c r="BT40" s="487"/>
      <c r="BU40" s="487"/>
      <c r="BV40" s="487"/>
      <c r="BW40" s="487"/>
      <c r="BX40" s="499"/>
      <c r="BY40" s="149"/>
      <c r="BZ40" s="149"/>
      <c r="CA40" s="149"/>
      <c r="CB40" s="149"/>
      <c r="CC40" s="149"/>
      <c r="CD40" s="149"/>
      <c r="CE40" s="149"/>
      <c r="CF40" s="149"/>
      <c r="CG40" s="149"/>
      <c r="CH40" s="149"/>
      <c r="CI40" s="149"/>
      <c r="CJ40" s="149"/>
      <c r="CK40" s="149"/>
      <c r="CL40" s="149"/>
      <c r="CM40" s="534"/>
      <c r="CN40" s="418"/>
      <c r="CO40" s="418"/>
      <c r="CP40" s="418"/>
      <c r="CQ40" s="418"/>
      <c r="CR40" s="418"/>
      <c r="CS40" s="418"/>
      <c r="CT40" s="418"/>
      <c r="CU40" s="418"/>
      <c r="CV40" s="418"/>
      <c r="CW40" s="418"/>
      <c r="CX40" s="418"/>
      <c r="CY40" s="418"/>
      <c r="CZ40" s="418"/>
      <c r="DA40" s="418"/>
      <c r="DB40" s="418"/>
      <c r="DC40" s="453"/>
      <c r="DD40" s="539"/>
      <c r="DE40" s="530"/>
      <c r="DF40" s="530"/>
      <c r="DG40" s="530"/>
      <c r="DH40" s="530"/>
      <c r="DI40" s="540"/>
      <c r="DJ40" s="544"/>
      <c r="DK40" s="545"/>
      <c r="DL40" s="545"/>
      <c r="DM40" s="545"/>
      <c r="DN40" s="545"/>
      <c r="DO40" s="545"/>
      <c r="DP40" s="546"/>
      <c r="DQ40" s="572"/>
      <c r="DR40" s="555"/>
      <c r="DS40" s="555"/>
      <c r="DT40" s="555"/>
      <c r="DU40" s="555"/>
      <c r="DV40" s="555"/>
      <c r="DW40" s="555"/>
      <c r="DX40" s="555"/>
      <c r="DY40" s="555"/>
      <c r="DZ40" s="556"/>
      <c r="EA40" s="507"/>
      <c r="EB40" s="507"/>
      <c r="EC40" s="507"/>
      <c r="ED40" s="507"/>
      <c r="EE40" s="507"/>
      <c r="EF40" s="507"/>
      <c r="EG40" s="507"/>
      <c r="EH40" s="507"/>
      <c r="EI40" s="507"/>
      <c r="EJ40" s="507"/>
      <c r="EK40" s="507"/>
      <c r="EL40" s="507"/>
      <c r="EM40" s="507"/>
      <c r="EN40" s="507"/>
      <c r="EO40" s="507"/>
      <c r="EP40" s="507"/>
      <c r="EQ40" s="507"/>
      <c r="ER40" s="525"/>
      <c r="ES40" s="525"/>
      <c r="ET40" s="525"/>
      <c r="EU40" s="525"/>
      <c r="EV40" s="525"/>
      <c r="EW40" s="525"/>
      <c r="EX40" s="525"/>
      <c r="EY40" s="525"/>
      <c r="EZ40" s="514"/>
      <c r="FA40" s="514"/>
      <c r="FB40" s="514"/>
      <c r="FC40" s="514"/>
      <c r="FD40" s="514"/>
      <c r="FE40" s="514"/>
      <c r="FF40" s="514"/>
      <c r="FG40" s="515"/>
    </row>
    <row r="41" spans="2:163" ht="8.65" customHeight="1">
      <c r="B41" s="519"/>
      <c r="C41" s="520"/>
      <c r="D41" s="520"/>
      <c r="E41" s="520"/>
      <c r="F41" s="520"/>
      <c r="G41" s="520"/>
      <c r="H41" s="520"/>
      <c r="I41" s="520"/>
      <c r="J41" s="520"/>
      <c r="K41" s="520"/>
      <c r="L41" s="520"/>
      <c r="M41" s="419" t="s">
        <v>199</v>
      </c>
      <c r="N41" s="414"/>
      <c r="O41" s="414"/>
      <c r="P41" s="414"/>
      <c r="Q41" s="414"/>
      <c r="R41" s="414"/>
      <c r="S41" s="414"/>
      <c r="T41" s="414"/>
      <c r="U41" s="414"/>
      <c r="V41" s="414"/>
      <c r="W41" s="414"/>
      <c r="X41" s="414"/>
      <c r="Y41" s="414"/>
      <c r="Z41" s="414"/>
      <c r="AA41" s="414"/>
      <c r="AB41" s="420"/>
      <c r="AC41" s="463">
        <v>17.899999999999999</v>
      </c>
      <c r="AD41" s="430"/>
      <c r="AE41" s="430"/>
      <c r="AF41" s="430"/>
      <c r="AG41" s="464"/>
      <c r="AH41" s="429">
        <f t="shared" ref="AH41" si="24">AC41</f>
        <v>17.899999999999999</v>
      </c>
      <c r="AI41" s="430"/>
      <c r="AJ41" s="430"/>
      <c r="AK41" s="431"/>
      <c r="AL41" s="463">
        <v>6.3</v>
      </c>
      <c r="AM41" s="430"/>
      <c r="AN41" s="430"/>
      <c r="AO41" s="430"/>
      <c r="AP41" s="464"/>
      <c r="AQ41" s="429">
        <f t="shared" ref="AQ41" si="25">AL41</f>
        <v>6.3</v>
      </c>
      <c r="AR41" s="430"/>
      <c r="AS41" s="430"/>
      <c r="AT41" s="449"/>
      <c r="AU41" s="519"/>
      <c r="AV41" s="520"/>
      <c r="AW41" s="520"/>
      <c r="AX41" s="520"/>
      <c r="AY41" s="520"/>
      <c r="AZ41" s="520"/>
      <c r="BA41" s="520"/>
      <c r="BB41" s="520"/>
      <c r="BC41" s="520"/>
      <c r="BD41" s="521"/>
      <c r="BE41" s="486"/>
      <c r="BF41" s="487"/>
      <c r="BG41" s="487"/>
      <c r="BH41" s="487"/>
      <c r="BI41" s="487"/>
      <c r="BJ41" s="488"/>
      <c r="BK41" s="494"/>
      <c r="BL41" s="487"/>
      <c r="BM41" s="487"/>
      <c r="BN41" s="487"/>
      <c r="BO41" s="487"/>
      <c r="BP41" s="487"/>
      <c r="BQ41" s="495"/>
      <c r="BR41" s="486"/>
      <c r="BS41" s="487"/>
      <c r="BT41" s="487"/>
      <c r="BU41" s="487"/>
      <c r="BV41" s="487"/>
      <c r="BW41" s="487"/>
      <c r="BX41" s="499"/>
      <c r="BY41" s="573" t="s">
        <v>223</v>
      </c>
      <c r="BZ41" s="574"/>
      <c r="CA41" s="574"/>
      <c r="CB41" s="574"/>
      <c r="CC41" s="574"/>
      <c r="CD41" s="574"/>
      <c r="CE41" s="574"/>
      <c r="CF41" s="574"/>
      <c r="CG41" s="574"/>
      <c r="CH41" s="574"/>
      <c r="CI41" s="574"/>
      <c r="CJ41" s="574"/>
      <c r="CK41" s="574"/>
      <c r="CL41" s="574"/>
      <c r="CM41" s="574"/>
      <c r="CN41" s="574"/>
      <c r="CO41" s="574"/>
      <c r="CP41" s="574"/>
      <c r="CQ41" s="574"/>
      <c r="CR41" s="574"/>
      <c r="CS41" s="574"/>
      <c r="CT41" s="574"/>
      <c r="CU41" s="574"/>
      <c r="CV41" s="574"/>
      <c r="CW41" s="574"/>
      <c r="CX41" s="574"/>
      <c r="CY41" s="574"/>
      <c r="CZ41" s="574"/>
      <c r="DA41" s="574"/>
      <c r="DB41" s="574"/>
      <c r="DC41" s="574"/>
      <c r="DD41" s="574"/>
      <c r="DE41" s="574"/>
      <c r="DF41" s="574"/>
      <c r="DG41" s="574"/>
      <c r="DH41" s="574"/>
      <c r="DI41" s="575"/>
      <c r="DJ41" s="544"/>
      <c r="DK41" s="545"/>
      <c r="DL41" s="545"/>
      <c r="DM41" s="545"/>
      <c r="DN41" s="545"/>
      <c r="DO41" s="545"/>
      <c r="DP41" s="546"/>
      <c r="DQ41" s="572"/>
      <c r="DR41" s="555"/>
      <c r="DS41" s="555"/>
      <c r="DT41" s="555"/>
      <c r="DU41" s="555"/>
      <c r="DV41" s="555"/>
      <c r="DW41" s="555"/>
      <c r="DX41" s="555"/>
      <c r="DY41" s="555"/>
      <c r="DZ41" s="556"/>
      <c r="EA41" s="507" t="s">
        <v>209</v>
      </c>
      <c r="EB41" s="507"/>
      <c r="EC41" s="507"/>
      <c r="ED41" s="507"/>
      <c r="EE41" s="507"/>
      <c r="EF41" s="507"/>
      <c r="EG41" s="507"/>
      <c r="EH41" s="507"/>
      <c r="EI41" s="507"/>
      <c r="EJ41" s="507"/>
      <c r="EK41" s="507"/>
      <c r="EL41" s="507"/>
      <c r="EM41" s="507"/>
      <c r="EN41" s="507"/>
      <c r="EO41" s="507"/>
      <c r="EP41" s="507"/>
      <c r="EQ41" s="507"/>
      <c r="ER41" s="525">
        <v>1.64</v>
      </c>
      <c r="ES41" s="525"/>
      <c r="ET41" s="525"/>
      <c r="EU41" s="525"/>
      <c r="EV41" s="525"/>
      <c r="EW41" s="525"/>
      <c r="EX41" s="525"/>
      <c r="EY41" s="525"/>
      <c r="EZ41" s="514"/>
      <c r="FA41" s="514"/>
      <c r="FB41" s="514"/>
      <c r="FC41" s="514"/>
      <c r="FD41" s="514"/>
      <c r="FE41" s="514"/>
      <c r="FF41" s="514"/>
      <c r="FG41" s="515"/>
    </row>
    <row r="42" spans="2:163" ht="8.65" customHeight="1">
      <c r="B42" s="519"/>
      <c r="C42" s="520"/>
      <c r="D42" s="520"/>
      <c r="E42" s="520"/>
      <c r="F42" s="520"/>
      <c r="G42" s="520"/>
      <c r="H42" s="520"/>
      <c r="I42" s="520"/>
      <c r="J42" s="520"/>
      <c r="K42" s="520"/>
      <c r="L42" s="520"/>
      <c r="M42" s="421"/>
      <c r="N42" s="418"/>
      <c r="O42" s="418"/>
      <c r="P42" s="418"/>
      <c r="Q42" s="418"/>
      <c r="R42" s="418"/>
      <c r="S42" s="418"/>
      <c r="T42" s="418"/>
      <c r="U42" s="418"/>
      <c r="V42" s="418"/>
      <c r="W42" s="418"/>
      <c r="X42" s="418"/>
      <c r="Y42" s="418"/>
      <c r="Z42" s="418"/>
      <c r="AA42" s="418"/>
      <c r="AB42" s="422"/>
      <c r="AC42" s="465"/>
      <c r="AD42" s="433"/>
      <c r="AE42" s="433"/>
      <c r="AF42" s="433"/>
      <c r="AG42" s="466"/>
      <c r="AH42" s="432"/>
      <c r="AI42" s="433"/>
      <c r="AJ42" s="433"/>
      <c r="AK42" s="434"/>
      <c r="AL42" s="465"/>
      <c r="AM42" s="433"/>
      <c r="AN42" s="433"/>
      <c r="AO42" s="433"/>
      <c r="AP42" s="466"/>
      <c r="AQ42" s="432"/>
      <c r="AR42" s="433"/>
      <c r="AS42" s="433"/>
      <c r="AT42" s="450"/>
      <c r="AU42" s="519"/>
      <c r="AV42" s="520"/>
      <c r="AW42" s="520"/>
      <c r="AX42" s="520"/>
      <c r="AY42" s="520"/>
      <c r="AZ42" s="520"/>
      <c r="BA42" s="520"/>
      <c r="BB42" s="520"/>
      <c r="BC42" s="520"/>
      <c r="BD42" s="521"/>
      <c r="BE42" s="486"/>
      <c r="BF42" s="487"/>
      <c r="BG42" s="487"/>
      <c r="BH42" s="487"/>
      <c r="BI42" s="487"/>
      <c r="BJ42" s="488"/>
      <c r="BK42" s="494"/>
      <c r="BL42" s="487"/>
      <c r="BM42" s="487"/>
      <c r="BN42" s="487"/>
      <c r="BO42" s="487"/>
      <c r="BP42" s="487"/>
      <c r="BQ42" s="495"/>
      <c r="BR42" s="486"/>
      <c r="BS42" s="487"/>
      <c r="BT42" s="487"/>
      <c r="BU42" s="487"/>
      <c r="BV42" s="487"/>
      <c r="BW42" s="487"/>
      <c r="BX42" s="499"/>
      <c r="BY42" s="576"/>
      <c r="BZ42" s="577"/>
      <c r="CA42" s="577"/>
      <c r="CB42" s="577"/>
      <c r="CC42" s="577"/>
      <c r="CD42" s="577"/>
      <c r="CE42" s="577"/>
      <c r="CF42" s="577"/>
      <c r="CG42" s="577"/>
      <c r="CH42" s="577"/>
      <c r="CI42" s="577"/>
      <c r="CJ42" s="577"/>
      <c r="CK42" s="577"/>
      <c r="CL42" s="577"/>
      <c r="CM42" s="577"/>
      <c r="CN42" s="577"/>
      <c r="CO42" s="577"/>
      <c r="CP42" s="577"/>
      <c r="CQ42" s="577"/>
      <c r="CR42" s="577"/>
      <c r="CS42" s="577"/>
      <c r="CT42" s="577"/>
      <c r="CU42" s="577"/>
      <c r="CV42" s="577"/>
      <c r="CW42" s="577"/>
      <c r="CX42" s="577"/>
      <c r="CY42" s="577"/>
      <c r="CZ42" s="577"/>
      <c r="DA42" s="577"/>
      <c r="DB42" s="577"/>
      <c r="DC42" s="577"/>
      <c r="DD42" s="577"/>
      <c r="DE42" s="577"/>
      <c r="DF42" s="577"/>
      <c r="DG42" s="577"/>
      <c r="DH42" s="577"/>
      <c r="DI42" s="578"/>
      <c r="DJ42" s="544"/>
      <c r="DK42" s="545"/>
      <c r="DL42" s="545"/>
      <c r="DM42" s="545"/>
      <c r="DN42" s="545"/>
      <c r="DO42" s="545"/>
      <c r="DP42" s="546"/>
      <c r="DQ42" s="572"/>
      <c r="DR42" s="555"/>
      <c r="DS42" s="555"/>
      <c r="DT42" s="555"/>
      <c r="DU42" s="555"/>
      <c r="DV42" s="555"/>
      <c r="DW42" s="555"/>
      <c r="DX42" s="555"/>
      <c r="DY42" s="555"/>
      <c r="DZ42" s="556"/>
      <c r="EA42" s="507"/>
      <c r="EB42" s="507"/>
      <c r="EC42" s="507"/>
      <c r="ED42" s="507"/>
      <c r="EE42" s="507"/>
      <c r="EF42" s="507"/>
      <c r="EG42" s="507"/>
      <c r="EH42" s="507"/>
      <c r="EI42" s="507"/>
      <c r="EJ42" s="507"/>
      <c r="EK42" s="507"/>
      <c r="EL42" s="507"/>
      <c r="EM42" s="507"/>
      <c r="EN42" s="507"/>
      <c r="EO42" s="507"/>
      <c r="EP42" s="507"/>
      <c r="EQ42" s="507"/>
      <c r="ER42" s="525"/>
      <c r="ES42" s="525"/>
      <c r="ET42" s="525"/>
      <c r="EU42" s="525"/>
      <c r="EV42" s="525"/>
      <c r="EW42" s="525"/>
      <c r="EX42" s="525"/>
      <c r="EY42" s="525"/>
      <c r="EZ42" s="514"/>
      <c r="FA42" s="514"/>
      <c r="FB42" s="514"/>
      <c r="FC42" s="514"/>
      <c r="FD42" s="514"/>
      <c r="FE42" s="514"/>
      <c r="FF42" s="514"/>
      <c r="FG42" s="515"/>
    </row>
    <row r="43" spans="2:163" ht="8.65" customHeight="1">
      <c r="B43" s="519"/>
      <c r="C43" s="520"/>
      <c r="D43" s="520"/>
      <c r="E43" s="520"/>
      <c r="F43" s="520"/>
      <c r="G43" s="520"/>
      <c r="H43" s="520"/>
      <c r="I43" s="520"/>
      <c r="J43" s="520"/>
      <c r="K43" s="520"/>
      <c r="L43" s="520"/>
      <c r="M43" s="419" t="s">
        <v>200</v>
      </c>
      <c r="N43" s="414"/>
      <c r="O43" s="414"/>
      <c r="P43" s="414"/>
      <c r="Q43" s="414"/>
      <c r="R43" s="414"/>
      <c r="S43" s="414"/>
      <c r="T43" s="414"/>
      <c r="U43" s="414"/>
      <c r="V43" s="414"/>
      <c r="W43" s="414"/>
      <c r="X43" s="414"/>
      <c r="Y43" s="414"/>
      <c r="Z43" s="414"/>
      <c r="AA43" s="414"/>
      <c r="AB43" s="420"/>
      <c r="AC43" s="463">
        <v>18.2</v>
      </c>
      <c r="AD43" s="430"/>
      <c r="AE43" s="430"/>
      <c r="AF43" s="430"/>
      <c r="AG43" s="464"/>
      <c r="AH43" s="429">
        <f t="shared" ref="AH43" si="26">AC43</f>
        <v>18.2</v>
      </c>
      <c r="AI43" s="430"/>
      <c r="AJ43" s="430"/>
      <c r="AK43" s="431"/>
      <c r="AL43" s="463">
        <v>6.6</v>
      </c>
      <c r="AM43" s="430"/>
      <c r="AN43" s="430"/>
      <c r="AO43" s="430"/>
      <c r="AP43" s="464"/>
      <c r="AQ43" s="429">
        <f t="shared" ref="AQ43" si="27">AL43</f>
        <v>6.6</v>
      </c>
      <c r="AR43" s="430"/>
      <c r="AS43" s="430"/>
      <c r="AT43" s="449"/>
      <c r="AU43" s="413" t="s">
        <v>222</v>
      </c>
      <c r="AV43" s="414"/>
      <c r="AW43" s="414"/>
      <c r="AX43" s="414"/>
      <c r="AY43" s="414"/>
      <c r="AZ43" s="414"/>
      <c r="BA43" s="414"/>
      <c r="BB43" s="414"/>
      <c r="BC43" s="414"/>
      <c r="BD43" s="420"/>
      <c r="BE43" s="483">
        <v>4.5</v>
      </c>
      <c r="BF43" s="484"/>
      <c r="BG43" s="484"/>
      <c r="BH43" s="484"/>
      <c r="BI43" s="484"/>
      <c r="BJ43" s="485"/>
      <c r="BK43" s="494"/>
      <c r="BL43" s="487"/>
      <c r="BM43" s="487"/>
      <c r="BN43" s="487"/>
      <c r="BO43" s="487"/>
      <c r="BP43" s="487"/>
      <c r="BQ43" s="495"/>
      <c r="BR43" s="483">
        <v>9</v>
      </c>
      <c r="BS43" s="484"/>
      <c r="BT43" s="484"/>
      <c r="BU43" s="484"/>
      <c r="BV43" s="484"/>
      <c r="BW43" s="484"/>
      <c r="BX43" s="498"/>
      <c r="BY43" s="591" t="s">
        <v>224</v>
      </c>
      <c r="BZ43" s="592"/>
      <c r="CA43" s="592"/>
      <c r="CB43" s="592"/>
      <c r="CC43" s="592"/>
      <c r="CD43" s="592"/>
      <c r="CE43" s="592"/>
      <c r="CF43" s="592"/>
      <c r="CG43" s="592"/>
      <c r="CH43" s="592"/>
      <c r="CI43" s="592"/>
      <c r="CJ43" s="592"/>
      <c r="CK43" s="592"/>
      <c r="CL43" s="592"/>
      <c r="CM43" s="592"/>
      <c r="CN43" s="592"/>
      <c r="CO43" s="592"/>
      <c r="CP43" s="592"/>
      <c r="CQ43" s="592"/>
      <c r="CR43" s="592"/>
      <c r="CS43" s="592"/>
      <c r="CT43" s="592"/>
      <c r="CU43" s="592"/>
      <c r="CV43" s="592"/>
      <c r="CW43" s="592"/>
      <c r="CX43" s="592"/>
      <c r="CY43" s="592"/>
      <c r="CZ43" s="592"/>
      <c r="DA43" s="592"/>
      <c r="DB43" s="592"/>
      <c r="DC43" s="592"/>
      <c r="DD43" s="592"/>
      <c r="DE43" s="592"/>
      <c r="DF43" s="592"/>
      <c r="DG43" s="592"/>
      <c r="DH43" s="592"/>
      <c r="DI43" s="593"/>
      <c r="DJ43" s="544"/>
      <c r="DK43" s="545"/>
      <c r="DL43" s="545"/>
      <c r="DM43" s="545"/>
      <c r="DN43" s="545"/>
      <c r="DO43" s="545"/>
      <c r="DP43" s="546"/>
      <c r="DQ43" s="550" t="s">
        <v>221</v>
      </c>
      <c r="DR43" s="517"/>
      <c r="DS43" s="517"/>
      <c r="DT43" s="517"/>
      <c r="DU43" s="517"/>
      <c r="DV43" s="517"/>
      <c r="DW43" s="517"/>
      <c r="DX43" s="517"/>
      <c r="DY43" s="517"/>
      <c r="DZ43" s="594"/>
      <c r="EA43" s="507" t="s">
        <v>201</v>
      </c>
      <c r="EB43" s="507"/>
      <c r="EC43" s="507"/>
      <c r="ED43" s="507"/>
      <c r="EE43" s="507"/>
      <c r="EF43" s="507"/>
      <c r="EG43" s="507"/>
      <c r="EH43" s="507"/>
      <c r="EI43" s="507"/>
      <c r="EJ43" s="507"/>
      <c r="EK43" s="507"/>
      <c r="EL43" s="507"/>
      <c r="EM43" s="507"/>
      <c r="EN43" s="507"/>
      <c r="EO43" s="507"/>
      <c r="EP43" s="507"/>
      <c r="EQ43" s="507"/>
      <c r="ER43" s="525">
        <v>2.64</v>
      </c>
      <c r="ES43" s="525"/>
      <c r="ET43" s="525"/>
      <c r="EU43" s="525"/>
      <c r="EV43" s="525"/>
      <c r="EW43" s="525"/>
      <c r="EX43" s="525"/>
      <c r="EY43" s="525"/>
      <c r="EZ43" s="514"/>
      <c r="FA43" s="514"/>
      <c r="FB43" s="514"/>
      <c r="FC43" s="514"/>
      <c r="FD43" s="514"/>
      <c r="FE43" s="514"/>
      <c r="FF43" s="514"/>
      <c r="FG43" s="515"/>
    </row>
    <row r="44" spans="2:163" ht="8.65" customHeight="1">
      <c r="B44" s="519"/>
      <c r="C44" s="520"/>
      <c r="D44" s="520"/>
      <c r="E44" s="520"/>
      <c r="F44" s="520"/>
      <c r="G44" s="520"/>
      <c r="H44" s="520"/>
      <c r="I44" s="520"/>
      <c r="J44" s="520"/>
      <c r="K44" s="520"/>
      <c r="L44" s="520"/>
      <c r="M44" s="421"/>
      <c r="N44" s="418"/>
      <c r="O44" s="418"/>
      <c r="P44" s="418"/>
      <c r="Q44" s="418"/>
      <c r="R44" s="418"/>
      <c r="S44" s="418"/>
      <c r="T44" s="418"/>
      <c r="U44" s="418"/>
      <c r="V44" s="418"/>
      <c r="W44" s="418"/>
      <c r="X44" s="418"/>
      <c r="Y44" s="418"/>
      <c r="Z44" s="418"/>
      <c r="AA44" s="418"/>
      <c r="AB44" s="422"/>
      <c r="AC44" s="465"/>
      <c r="AD44" s="433"/>
      <c r="AE44" s="433"/>
      <c r="AF44" s="433"/>
      <c r="AG44" s="466"/>
      <c r="AH44" s="432"/>
      <c r="AI44" s="433"/>
      <c r="AJ44" s="433"/>
      <c r="AK44" s="434"/>
      <c r="AL44" s="465"/>
      <c r="AM44" s="433"/>
      <c r="AN44" s="433"/>
      <c r="AO44" s="433"/>
      <c r="AP44" s="466"/>
      <c r="AQ44" s="432"/>
      <c r="AR44" s="433"/>
      <c r="AS44" s="433"/>
      <c r="AT44" s="450"/>
      <c r="AU44" s="415"/>
      <c r="AV44" s="416"/>
      <c r="AW44" s="416"/>
      <c r="AX44" s="416"/>
      <c r="AY44" s="416"/>
      <c r="AZ44" s="416"/>
      <c r="BA44" s="416"/>
      <c r="BB44" s="416"/>
      <c r="BC44" s="416"/>
      <c r="BD44" s="482"/>
      <c r="BE44" s="486"/>
      <c r="BF44" s="487"/>
      <c r="BG44" s="487"/>
      <c r="BH44" s="487"/>
      <c r="BI44" s="487"/>
      <c r="BJ44" s="488"/>
      <c r="BK44" s="494"/>
      <c r="BL44" s="487"/>
      <c r="BM44" s="487"/>
      <c r="BN44" s="487"/>
      <c r="BO44" s="487"/>
      <c r="BP44" s="487"/>
      <c r="BQ44" s="495"/>
      <c r="BR44" s="486"/>
      <c r="BS44" s="487"/>
      <c r="BT44" s="487"/>
      <c r="BU44" s="487"/>
      <c r="BV44" s="487"/>
      <c r="BW44" s="487"/>
      <c r="BX44" s="499"/>
      <c r="BY44" s="591"/>
      <c r="BZ44" s="592"/>
      <c r="CA44" s="592"/>
      <c r="CB44" s="592"/>
      <c r="CC44" s="592"/>
      <c r="CD44" s="592"/>
      <c r="CE44" s="592"/>
      <c r="CF44" s="592"/>
      <c r="CG44" s="592"/>
      <c r="CH44" s="592"/>
      <c r="CI44" s="592"/>
      <c r="CJ44" s="592"/>
      <c r="CK44" s="592"/>
      <c r="CL44" s="592"/>
      <c r="CM44" s="592"/>
      <c r="CN44" s="592"/>
      <c r="CO44" s="592"/>
      <c r="CP44" s="592"/>
      <c r="CQ44" s="592"/>
      <c r="CR44" s="592"/>
      <c r="CS44" s="592"/>
      <c r="CT44" s="592"/>
      <c r="CU44" s="592"/>
      <c r="CV44" s="592"/>
      <c r="CW44" s="592"/>
      <c r="CX44" s="592"/>
      <c r="CY44" s="592"/>
      <c r="CZ44" s="592"/>
      <c r="DA44" s="592"/>
      <c r="DB44" s="592"/>
      <c r="DC44" s="592"/>
      <c r="DD44" s="592"/>
      <c r="DE44" s="592"/>
      <c r="DF44" s="592"/>
      <c r="DG44" s="592"/>
      <c r="DH44" s="592"/>
      <c r="DI44" s="593"/>
      <c r="DJ44" s="544"/>
      <c r="DK44" s="545"/>
      <c r="DL44" s="545"/>
      <c r="DM44" s="545"/>
      <c r="DN44" s="545"/>
      <c r="DO44" s="545"/>
      <c r="DP44" s="546"/>
      <c r="DQ44" s="595"/>
      <c r="DR44" s="520"/>
      <c r="DS44" s="520"/>
      <c r="DT44" s="520"/>
      <c r="DU44" s="520"/>
      <c r="DV44" s="520"/>
      <c r="DW44" s="520"/>
      <c r="DX44" s="520"/>
      <c r="DY44" s="520"/>
      <c r="DZ44" s="596"/>
      <c r="EA44" s="507"/>
      <c r="EB44" s="507"/>
      <c r="EC44" s="507"/>
      <c r="ED44" s="507"/>
      <c r="EE44" s="507"/>
      <c r="EF44" s="507"/>
      <c r="EG44" s="507"/>
      <c r="EH44" s="507"/>
      <c r="EI44" s="507"/>
      <c r="EJ44" s="507"/>
      <c r="EK44" s="507"/>
      <c r="EL44" s="507"/>
      <c r="EM44" s="507"/>
      <c r="EN44" s="507"/>
      <c r="EO44" s="507"/>
      <c r="EP44" s="507"/>
      <c r="EQ44" s="507"/>
      <c r="ER44" s="525"/>
      <c r="ES44" s="525"/>
      <c r="ET44" s="525"/>
      <c r="EU44" s="525"/>
      <c r="EV44" s="525"/>
      <c r="EW44" s="525"/>
      <c r="EX44" s="525"/>
      <c r="EY44" s="525"/>
      <c r="EZ44" s="514"/>
      <c r="FA44" s="514"/>
      <c r="FB44" s="514"/>
      <c r="FC44" s="514"/>
      <c r="FD44" s="514"/>
      <c r="FE44" s="514"/>
      <c r="FF44" s="514"/>
      <c r="FG44" s="515"/>
    </row>
    <row r="45" spans="2:163" ht="8.65" customHeight="1">
      <c r="B45" s="519"/>
      <c r="C45" s="520"/>
      <c r="D45" s="520"/>
      <c r="E45" s="520"/>
      <c r="F45" s="520"/>
      <c r="G45" s="520"/>
      <c r="H45" s="520"/>
      <c r="I45" s="520"/>
      <c r="J45" s="520"/>
      <c r="K45" s="520"/>
      <c r="L45" s="520"/>
      <c r="M45" s="419" t="s">
        <v>204</v>
      </c>
      <c r="N45" s="414"/>
      <c r="O45" s="414"/>
      <c r="P45" s="414"/>
      <c r="Q45" s="414"/>
      <c r="R45" s="414"/>
      <c r="S45" s="414"/>
      <c r="T45" s="414"/>
      <c r="U45" s="414"/>
      <c r="V45" s="414"/>
      <c r="W45" s="414"/>
      <c r="X45" s="414"/>
      <c r="Y45" s="414"/>
      <c r="Z45" s="414"/>
      <c r="AA45" s="414"/>
      <c r="AB45" s="420"/>
      <c r="AC45" s="463">
        <v>19.399999999999999</v>
      </c>
      <c r="AD45" s="430"/>
      <c r="AE45" s="430"/>
      <c r="AF45" s="430"/>
      <c r="AG45" s="464"/>
      <c r="AH45" s="429">
        <f t="shared" ref="AH45" si="28">AC45</f>
        <v>19.399999999999999</v>
      </c>
      <c r="AI45" s="430"/>
      <c r="AJ45" s="430"/>
      <c r="AK45" s="431"/>
      <c r="AL45" s="463">
        <v>7.2</v>
      </c>
      <c r="AM45" s="430"/>
      <c r="AN45" s="430"/>
      <c r="AO45" s="430"/>
      <c r="AP45" s="464"/>
      <c r="AQ45" s="429">
        <f t="shared" ref="AQ45" si="29">AL45</f>
        <v>7.2</v>
      </c>
      <c r="AR45" s="430"/>
      <c r="AS45" s="430"/>
      <c r="AT45" s="449"/>
      <c r="AU45" s="415"/>
      <c r="AV45" s="416"/>
      <c r="AW45" s="416"/>
      <c r="AX45" s="416"/>
      <c r="AY45" s="416"/>
      <c r="AZ45" s="416"/>
      <c r="BA45" s="416"/>
      <c r="BB45" s="416"/>
      <c r="BC45" s="416"/>
      <c r="BD45" s="482"/>
      <c r="BE45" s="486"/>
      <c r="BF45" s="487"/>
      <c r="BG45" s="487"/>
      <c r="BH45" s="487"/>
      <c r="BI45" s="487"/>
      <c r="BJ45" s="488"/>
      <c r="BK45" s="494"/>
      <c r="BL45" s="487"/>
      <c r="BM45" s="487"/>
      <c r="BN45" s="487"/>
      <c r="BO45" s="487"/>
      <c r="BP45" s="487"/>
      <c r="BQ45" s="495"/>
      <c r="BR45" s="486"/>
      <c r="BS45" s="487"/>
      <c r="BT45" s="487"/>
      <c r="BU45" s="487"/>
      <c r="BV45" s="487"/>
      <c r="BW45" s="487"/>
      <c r="BX45" s="499"/>
      <c r="BY45" s="579" t="s">
        <v>226</v>
      </c>
      <c r="BZ45" s="580"/>
      <c r="CA45" s="580"/>
      <c r="CB45" s="580"/>
      <c r="CC45" s="580"/>
      <c r="CD45" s="580"/>
      <c r="CE45" s="580"/>
      <c r="CF45" s="580"/>
      <c r="CG45" s="580"/>
      <c r="CH45" s="580"/>
      <c r="CI45" s="580"/>
      <c r="CJ45" s="580"/>
      <c r="CK45" s="580"/>
      <c r="CL45" s="580"/>
      <c r="CM45" s="580"/>
      <c r="CN45" s="580"/>
      <c r="CO45" s="580"/>
      <c r="CP45" s="580"/>
      <c r="CQ45" s="580"/>
      <c r="CR45" s="580"/>
      <c r="CS45" s="580"/>
      <c r="CT45" s="580"/>
      <c r="CU45" s="580"/>
      <c r="CV45" s="580"/>
      <c r="CW45" s="580"/>
      <c r="CX45" s="580"/>
      <c r="CY45" s="580"/>
      <c r="CZ45" s="580"/>
      <c r="DA45" s="580"/>
      <c r="DB45" s="580"/>
      <c r="DC45" s="580"/>
      <c r="DD45" s="580"/>
      <c r="DE45" s="580"/>
      <c r="DF45" s="580"/>
      <c r="DG45" s="580"/>
      <c r="DH45" s="580"/>
      <c r="DI45" s="581"/>
      <c r="DJ45" s="544"/>
      <c r="DK45" s="545"/>
      <c r="DL45" s="545"/>
      <c r="DM45" s="545"/>
      <c r="DN45" s="545"/>
      <c r="DO45" s="545"/>
      <c r="DP45" s="546"/>
      <c r="DQ45" s="595"/>
      <c r="DR45" s="520"/>
      <c r="DS45" s="520"/>
      <c r="DT45" s="520"/>
      <c r="DU45" s="520"/>
      <c r="DV45" s="520"/>
      <c r="DW45" s="520"/>
      <c r="DX45" s="520"/>
      <c r="DY45" s="520"/>
      <c r="DZ45" s="596"/>
      <c r="EA45" s="507" t="s">
        <v>206</v>
      </c>
      <c r="EB45" s="507"/>
      <c r="EC45" s="507"/>
      <c r="ED45" s="507"/>
      <c r="EE45" s="507"/>
      <c r="EF45" s="507"/>
      <c r="EG45" s="507"/>
      <c r="EH45" s="507"/>
      <c r="EI45" s="507"/>
      <c r="EJ45" s="507"/>
      <c r="EK45" s="507"/>
      <c r="EL45" s="507"/>
      <c r="EM45" s="507"/>
      <c r="EN45" s="507"/>
      <c r="EO45" s="507"/>
      <c r="EP45" s="507"/>
      <c r="EQ45" s="507"/>
      <c r="ER45" s="508">
        <v>2.73</v>
      </c>
      <c r="ES45" s="509"/>
      <c r="ET45" s="509"/>
      <c r="EU45" s="509"/>
      <c r="EV45" s="509"/>
      <c r="EW45" s="509"/>
      <c r="EX45" s="509"/>
      <c r="EY45" s="510"/>
      <c r="EZ45" s="514"/>
      <c r="FA45" s="514"/>
      <c r="FB45" s="514"/>
      <c r="FC45" s="514"/>
      <c r="FD45" s="514"/>
      <c r="FE45" s="514"/>
      <c r="FF45" s="514"/>
      <c r="FG45" s="515"/>
    </row>
    <row r="46" spans="2:163" ht="8.65" customHeight="1" thickBot="1">
      <c r="B46" s="522"/>
      <c r="C46" s="523"/>
      <c r="D46" s="523"/>
      <c r="E46" s="523"/>
      <c r="F46" s="523"/>
      <c r="G46" s="523"/>
      <c r="H46" s="523"/>
      <c r="I46" s="523"/>
      <c r="J46" s="523"/>
      <c r="K46" s="523"/>
      <c r="L46" s="523"/>
      <c r="M46" s="421"/>
      <c r="N46" s="418"/>
      <c r="O46" s="418"/>
      <c r="P46" s="418"/>
      <c r="Q46" s="418"/>
      <c r="R46" s="418"/>
      <c r="S46" s="418"/>
      <c r="T46" s="418"/>
      <c r="U46" s="418"/>
      <c r="V46" s="418"/>
      <c r="W46" s="418"/>
      <c r="X46" s="418"/>
      <c r="Y46" s="418"/>
      <c r="Z46" s="418"/>
      <c r="AA46" s="418"/>
      <c r="AB46" s="422"/>
      <c r="AC46" s="465"/>
      <c r="AD46" s="433"/>
      <c r="AE46" s="433"/>
      <c r="AF46" s="433"/>
      <c r="AG46" s="466"/>
      <c r="AH46" s="432"/>
      <c r="AI46" s="433"/>
      <c r="AJ46" s="433"/>
      <c r="AK46" s="434"/>
      <c r="AL46" s="465"/>
      <c r="AM46" s="433"/>
      <c r="AN46" s="433"/>
      <c r="AO46" s="433"/>
      <c r="AP46" s="466"/>
      <c r="AQ46" s="432"/>
      <c r="AR46" s="433"/>
      <c r="AS46" s="433"/>
      <c r="AT46" s="450"/>
      <c r="AU46" s="585"/>
      <c r="AV46" s="586"/>
      <c r="AW46" s="586"/>
      <c r="AX46" s="586"/>
      <c r="AY46" s="586"/>
      <c r="AZ46" s="586"/>
      <c r="BA46" s="586"/>
      <c r="BB46" s="586"/>
      <c r="BC46" s="586"/>
      <c r="BD46" s="587"/>
      <c r="BE46" s="588"/>
      <c r="BF46" s="567"/>
      <c r="BG46" s="567"/>
      <c r="BH46" s="567"/>
      <c r="BI46" s="567"/>
      <c r="BJ46" s="589"/>
      <c r="BK46" s="566"/>
      <c r="BL46" s="567"/>
      <c r="BM46" s="567"/>
      <c r="BN46" s="567"/>
      <c r="BO46" s="567"/>
      <c r="BP46" s="567"/>
      <c r="BQ46" s="568"/>
      <c r="BR46" s="588"/>
      <c r="BS46" s="567"/>
      <c r="BT46" s="567"/>
      <c r="BU46" s="567"/>
      <c r="BV46" s="567"/>
      <c r="BW46" s="567"/>
      <c r="BX46" s="590"/>
      <c r="BY46" s="579"/>
      <c r="BZ46" s="580"/>
      <c r="CA46" s="580"/>
      <c r="CB46" s="580"/>
      <c r="CC46" s="580"/>
      <c r="CD46" s="580"/>
      <c r="CE46" s="580"/>
      <c r="CF46" s="580"/>
      <c r="CG46" s="580"/>
      <c r="CH46" s="580"/>
      <c r="CI46" s="580"/>
      <c r="CJ46" s="580"/>
      <c r="CK46" s="580"/>
      <c r="CL46" s="580"/>
      <c r="CM46" s="580"/>
      <c r="CN46" s="580"/>
      <c r="CO46" s="580"/>
      <c r="CP46" s="580"/>
      <c r="CQ46" s="580"/>
      <c r="CR46" s="580"/>
      <c r="CS46" s="580"/>
      <c r="CT46" s="580"/>
      <c r="CU46" s="580"/>
      <c r="CV46" s="580"/>
      <c r="CW46" s="580"/>
      <c r="CX46" s="580"/>
      <c r="CY46" s="580"/>
      <c r="CZ46" s="580"/>
      <c r="DA46" s="580"/>
      <c r="DB46" s="580"/>
      <c r="DC46" s="580"/>
      <c r="DD46" s="580"/>
      <c r="DE46" s="580"/>
      <c r="DF46" s="580"/>
      <c r="DG46" s="580"/>
      <c r="DH46" s="580"/>
      <c r="DI46" s="581"/>
      <c r="DJ46" s="544"/>
      <c r="DK46" s="545"/>
      <c r="DL46" s="545"/>
      <c r="DM46" s="545"/>
      <c r="DN46" s="545"/>
      <c r="DO46" s="545"/>
      <c r="DP46" s="546"/>
      <c r="DQ46" s="595"/>
      <c r="DR46" s="520"/>
      <c r="DS46" s="520"/>
      <c r="DT46" s="520"/>
      <c r="DU46" s="520"/>
      <c r="DV46" s="520"/>
      <c r="DW46" s="520"/>
      <c r="DX46" s="520"/>
      <c r="DY46" s="520"/>
      <c r="DZ46" s="596"/>
      <c r="EA46" s="507"/>
      <c r="EB46" s="507"/>
      <c r="EC46" s="507"/>
      <c r="ED46" s="507"/>
      <c r="EE46" s="507"/>
      <c r="EF46" s="507"/>
      <c r="EG46" s="507"/>
      <c r="EH46" s="507"/>
      <c r="EI46" s="507"/>
      <c r="EJ46" s="507"/>
      <c r="EK46" s="507"/>
      <c r="EL46" s="507"/>
      <c r="EM46" s="507"/>
      <c r="EN46" s="507"/>
      <c r="EO46" s="507"/>
      <c r="EP46" s="507"/>
      <c r="EQ46" s="507"/>
      <c r="ER46" s="582"/>
      <c r="ES46" s="583"/>
      <c r="ET46" s="583"/>
      <c r="EU46" s="583"/>
      <c r="EV46" s="583"/>
      <c r="EW46" s="583"/>
      <c r="EX46" s="583"/>
      <c r="EY46" s="584"/>
      <c r="EZ46" s="514"/>
      <c r="FA46" s="514"/>
      <c r="FB46" s="514"/>
      <c r="FC46" s="514"/>
      <c r="FD46" s="514"/>
      <c r="FE46" s="514"/>
      <c r="FF46" s="514"/>
      <c r="FG46" s="515"/>
    </row>
    <row r="47" spans="2:163" ht="8.65" customHeight="1" thickTop="1">
      <c r="B47" s="413" t="s">
        <v>222</v>
      </c>
      <c r="C47" s="414"/>
      <c r="D47" s="414"/>
      <c r="E47" s="414"/>
      <c r="F47" s="414"/>
      <c r="G47" s="414"/>
      <c r="H47" s="414"/>
      <c r="I47" s="414"/>
      <c r="J47" s="414"/>
      <c r="K47" s="414"/>
      <c r="L47" s="414"/>
      <c r="M47" s="419" t="s">
        <v>192</v>
      </c>
      <c r="N47" s="414"/>
      <c r="O47" s="414"/>
      <c r="P47" s="414"/>
      <c r="Q47" s="414"/>
      <c r="R47" s="414"/>
      <c r="S47" s="414"/>
      <c r="T47" s="414"/>
      <c r="U47" s="414"/>
      <c r="V47" s="414"/>
      <c r="W47" s="414"/>
      <c r="X47" s="414"/>
      <c r="Y47" s="414"/>
      <c r="Z47" s="414"/>
      <c r="AA47" s="414"/>
      <c r="AB47" s="420"/>
      <c r="AC47" s="463">
        <v>17.399999999999999</v>
      </c>
      <c r="AD47" s="430"/>
      <c r="AE47" s="430"/>
      <c r="AF47" s="430"/>
      <c r="AG47" s="464"/>
      <c r="AH47" s="429">
        <f t="shared" ref="AH47" si="30">AC47</f>
        <v>17.399999999999999</v>
      </c>
      <c r="AI47" s="430"/>
      <c r="AJ47" s="430"/>
      <c r="AK47" s="431"/>
      <c r="AL47" s="463">
        <v>6.4</v>
      </c>
      <c r="AM47" s="430"/>
      <c r="AN47" s="430"/>
      <c r="AO47" s="430"/>
      <c r="AP47" s="464"/>
      <c r="AQ47" s="429">
        <f t="shared" ref="AQ47" si="31">AL47</f>
        <v>6.4</v>
      </c>
      <c r="AR47" s="430"/>
      <c r="AS47" s="430"/>
      <c r="AT47" s="449"/>
      <c r="AU47" s="390" t="s">
        <v>232</v>
      </c>
      <c r="AV47" s="377"/>
      <c r="AW47" s="377"/>
      <c r="AX47" s="377"/>
      <c r="AY47" s="377"/>
      <c r="AZ47" s="377"/>
      <c r="BA47" s="377"/>
      <c r="BB47" s="377"/>
      <c r="BC47" s="601" t="s">
        <v>233</v>
      </c>
      <c r="BD47" s="377"/>
      <c r="BE47" s="377"/>
      <c r="BF47" s="377"/>
      <c r="BG47" s="377"/>
      <c r="BH47" s="377"/>
      <c r="BI47" s="377"/>
      <c r="BJ47" s="377"/>
      <c r="BK47" s="377"/>
      <c r="BL47" s="377"/>
      <c r="BM47" s="377"/>
      <c r="BN47" s="377"/>
      <c r="BO47" s="377"/>
      <c r="BP47" s="377"/>
      <c r="BQ47" s="601" t="s">
        <v>234</v>
      </c>
      <c r="BR47" s="377"/>
      <c r="BS47" s="377"/>
      <c r="BT47" s="377"/>
      <c r="BU47" s="377"/>
      <c r="BV47" s="377"/>
      <c r="BW47" s="377"/>
      <c r="BX47" s="382"/>
      <c r="BY47" s="377" t="s">
        <v>235</v>
      </c>
      <c r="BZ47" s="377"/>
      <c r="CA47" s="377"/>
      <c r="CB47" s="377"/>
      <c r="CC47" s="377"/>
      <c r="CD47" s="377"/>
      <c r="CE47" s="377"/>
      <c r="CF47" s="377"/>
      <c r="CG47" s="377"/>
      <c r="CH47" s="377"/>
      <c r="CI47" s="377"/>
      <c r="CJ47" s="377"/>
      <c r="CK47" s="377"/>
      <c r="CL47" s="377"/>
      <c r="CM47" s="377"/>
      <c r="CN47" s="377"/>
      <c r="CO47" s="377"/>
      <c r="CP47" s="377"/>
      <c r="CQ47" s="377"/>
      <c r="CR47" s="377"/>
      <c r="CS47" s="377"/>
      <c r="CT47" s="377"/>
      <c r="CU47" s="377"/>
      <c r="CV47" s="377"/>
      <c r="CW47" s="377"/>
      <c r="CX47" s="377"/>
      <c r="CY47" s="377"/>
      <c r="CZ47" s="377"/>
      <c r="DA47" s="377"/>
      <c r="DB47" s="377"/>
      <c r="DC47" s="377"/>
      <c r="DD47" s="377"/>
      <c r="DE47" s="377"/>
      <c r="DF47" s="377"/>
      <c r="DG47" s="377"/>
      <c r="DH47" s="377"/>
      <c r="DI47" s="382"/>
      <c r="DJ47" s="544"/>
      <c r="DK47" s="545"/>
      <c r="DL47" s="545"/>
      <c r="DM47" s="545"/>
      <c r="DN47" s="545"/>
      <c r="DO47" s="545"/>
      <c r="DP47" s="546"/>
      <c r="DQ47" s="595"/>
      <c r="DR47" s="520"/>
      <c r="DS47" s="520"/>
      <c r="DT47" s="520"/>
      <c r="DU47" s="520"/>
      <c r="DV47" s="520"/>
      <c r="DW47" s="520"/>
      <c r="DX47" s="520"/>
      <c r="DY47" s="520"/>
      <c r="DZ47" s="596"/>
      <c r="EA47" s="507" t="s">
        <v>208</v>
      </c>
      <c r="EB47" s="507"/>
      <c r="EC47" s="507"/>
      <c r="ED47" s="507"/>
      <c r="EE47" s="507"/>
      <c r="EF47" s="507"/>
      <c r="EG47" s="507"/>
      <c r="EH47" s="507"/>
      <c r="EI47" s="507"/>
      <c r="EJ47" s="507"/>
      <c r="EK47" s="507"/>
      <c r="EL47" s="507"/>
      <c r="EM47" s="507"/>
      <c r="EN47" s="507"/>
      <c r="EO47" s="507"/>
      <c r="EP47" s="507"/>
      <c r="EQ47" s="507"/>
      <c r="ER47" s="508">
        <v>3.39</v>
      </c>
      <c r="ES47" s="509"/>
      <c r="ET47" s="509"/>
      <c r="EU47" s="509"/>
      <c r="EV47" s="509"/>
      <c r="EW47" s="509"/>
      <c r="EX47" s="509"/>
      <c r="EY47" s="510"/>
      <c r="EZ47" s="514"/>
      <c r="FA47" s="514"/>
      <c r="FB47" s="514"/>
      <c r="FC47" s="514"/>
      <c r="FD47" s="514"/>
      <c r="FE47" s="514"/>
      <c r="FF47" s="514"/>
      <c r="FG47" s="515"/>
    </row>
    <row r="48" spans="2:163" ht="8.65" customHeight="1">
      <c r="B48" s="415"/>
      <c r="C48" s="416"/>
      <c r="D48" s="416"/>
      <c r="E48" s="416"/>
      <c r="F48" s="416"/>
      <c r="G48" s="416"/>
      <c r="H48" s="416"/>
      <c r="I48" s="416"/>
      <c r="J48" s="416"/>
      <c r="K48" s="416"/>
      <c r="L48" s="416"/>
      <c r="M48" s="421"/>
      <c r="N48" s="418"/>
      <c r="O48" s="418"/>
      <c r="P48" s="418"/>
      <c r="Q48" s="418"/>
      <c r="R48" s="418"/>
      <c r="S48" s="418"/>
      <c r="T48" s="418"/>
      <c r="U48" s="418"/>
      <c r="V48" s="418"/>
      <c r="W48" s="418"/>
      <c r="X48" s="418"/>
      <c r="Y48" s="418"/>
      <c r="Z48" s="418"/>
      <c r="AA48" s="418"/>
      <c r="AB48" s="422"/>
      <c r="AC48" s="465"/>
      <c r="AD48" s="433"/>
      <c r="AE48" s="433"/>
      <c r="AF48" s="433"/>
      <c r="AG48" s="466"/>
      <c r="AH48" s="432"/>
      <c r="AI48" s="433"/>
      <c r="AJ48" s="433"/>
      <c r="AK48" s="434"/>
      <c r="AL48" s="465"/>
      <c r="AM48" s="433"/>
      <c r="AN48" s="433"/>
      <c r="AO48" s="433"/>
      <c r="AP48" s="466"/>
      <c r="AQ48" s="432"/>
      <c r="AR48" s="433"/>
      <c r="AS48" s="433"/>
      <c r="AT48" s="450"/>
      <c r="AU48" s="391"/>
      <c r="AV48" s="380"/>
      <c r="AW48" s="380"/>
      <c r="AX48" s="380"/>
      <c r="AY48" s="380"/>
      <c r="AZ48" s="380"/>
      <c r="BA48" s="380"/>
      <c r="BB48" s="380"/>
      <c r="BC48" s="602"/>
      <c r="BD48" s="380"/>
      <c r="BE48" s="380"/>
      <c r="BF48" s="380"/>
      <c r="BG48" s="380"/>
      <c r="BH48" s="380"/>
      <c r="BI48" s="380"/>
      <c r="BJ48" s="380"/>
      <c r="BK48" s="380"/>
      <c r="BL48" s="380"/>
      <c r="BM48" s="380"/>
      <c r="BN48" s="380"/>
      <c r="BO48" s="380"/>
      <c r="BP48" s="380"/>
      <c r="BQ48" s="602"/>
      <c r="BR48" s="380"/>
      <c r="BS48" s="380"/>
      <c r="BT48" s="380"/>
      <c r="BU48" s="380"/>
      <c r="BV48" s="380"/>
      <c r="BW48" s="380"/>
      <c r="BX48" s="383"/>
      <c r="BY48" s="380"/>
      <c r="BZ48" s="380"/>
      <c r="CA48" s="380"/>
      <c r="CB48" s="380"/>
      <c r="CC48" s="380"/>
      <c r="CD48" s="380"/>
      <c r="CE48" s="380"/>
      <c r="CF48" s="380"/>
      <c r="CG48" s="380"/>
      <c r="CH48" s="380"/>
      <c r="CI48" s="380"/>
      <c r="CJ48" s="380"/>
      <c r="CK48" s="380"/>
      <c r="CL48" s="380"/>
      <c r="CM48" s="380"/>
      <c r="CN48" s="380"/>
      <c r="CO48" s="380"/>
      <c r="CP48" s="380"/>
      <c r="CQ48" s="380"/>
      <c r="CR48" s="380"/>
      <c r="CS48" s="380"/>
      <c r="CT48" s="380"/>
      <c r="CU48" s="380"/>
      <c r="CV48" s="380"/>
      <c r="CW48" s="380"/>
      <c r="CX48" s="380"/>
      <c r="CY48" s="380"/>
      <c r="CZ48" s="380"/>
      <c r="DA48" s="380"/>
      <c r="DB48" s="380"/>
      <c r="DC48" s="380"/>
      <c r="DD48" s="380"/>
      <c r="DE48" s="380"/>
      <c r="DF48" s="380"/>
      <c r="DG48" s="380"/>
      <c r="DH48" s="380"/>
      <c r="DI48" s="383"/>
      <c r="DJ48" s="544"/>
      <c r="DK48" s="545"/>
      <c r="DL48" s="545"/>
      <c r="DM48" s="545"/>
      <c r="DN48" s="545"/>
      <c r="DO48" s="545"/>
      <c r="DP48" s="546"/>
      <c r="DQ48" s="595"/>
      <c r="DR48" s="520"/>
      <c r="DS48" s="520"/>
      <c r="DT48" s="520"/>
      <c r="DU48" s="520"/>
      <c r="DV48" s="520"/>
      <c r="DW48" s="520"/>
      <c r="DX48" s="520"/>
      <c r="DY48" s="520"/>
      <c r="DZ48" s="596"/>
      <c r="EA48" s="507"/>
      <c r="EB48" s="507"/>
      <c r="EC48" s="507"/>
      <c r="ED48" s="507"/>
      <c r="EE48" s="507"/>
      <c r="EF48" s="507"/>
      <c r="EG48" s="507"/>
      <c r="EH48" s="507"/>
      <c r="EI48" s="507"/>
      <c r="EJ48" s="507"/>
      <c r="EK48" s="507"/>
      <c r="EL48" s="507"/>
      <c r="EM48" s="507"/>
      <c r="EN48" s="507"/>
      <c r="EO48" s="507"/>
      <c r="EP48" s="507"/>
      <c r="EQ48" s="507"/>
      <c r="ER48" s="511"/>
      <c r="ES48" s="512"/>
      <c r="ET48" s="512"/>
      <c r="EU48" s="512"/>
      <c r="EV48" s="512"/>
      <c r="EW48" s="512"/>
      <c r="EX48" s="512"/>
      <c r="EY48" s="513"/>
      <c r="EZ48" s="514"/>
      <c r="FA48" s="514"/>
      <c r="FB48" s="514"/>
      <c r="FC48" s="514"/>
      <c r="FD48" s="514"/>
      <c r="FE48" s="514"/>
      <c r="FF48" s="514"/>
      <c r="FG48" s="515"/>
    </row>
    <row r="49" spans="2:163" ht="8.65" customHeight="1">
      <c r="B49" s="415"/>
      <c r="C49" s="416"/>
      <c r="D49" s="416"/>
      <c r="E49" s="416"/>
      <c r="F49" s="416"/>
      <c r="G49" s="416"/>
      <c r="H49" s="416"/>
      <c r="I49" s="416"/>
      <c r="J49" s="416"/>
      <c r="K49" s="416"/>
      <c r="L49" s="416"/>
      <c r="M49" s="419" t="s">
        <v>199</v>
      </c>
      <c r="N49" s="414"/>
      <c r="O49" s="414"/>
      <c r="P49" s="414"/>
      <c r="Q49" s="414"/>
      <c r="R49" s="414"/>
      <c r="S49" s="414"/>
      <c r="T49" s="414"/>
      <c r="U49" s="414"/>
      <c r="V49" s="414"/>
      <c r="W49" s="414"/>
      <c r="X49" s="414"/>
      <c r="Y49" s="414"/>
      <c r="Z49" s="414"/>
      <c r="AA49" s="414"/>
      <c r="AB49" s="420"/>
      <c r="AC49" s="463">
        <v>17.8</v>
      </c>
      <c r="AD49" s="430"/>
      <c r="AE49" s="430"/>
      <c r="AF49" s="430"/>
      <c r="AG49" s="464"/>
      <c r="AH49" s="429">
        <f t="shared" ref="AH49" si="32">AC49</f>
        <v>17.8</v>
      </c>
      <c r="AI49" s="430"/>
      <c r="AJ49" s="430"/>
      <c r="AK49" s="431"/>
      <c r="AL49" s="463">
        <v>6.5</v>
      </c>
      <c r="AM49" s="430"/>
      <c r="AN49" s="430"/>
      <c r="AO49" s="430"/>
      <c r="AP49" s="464"/>
      <c r="AQ49" s="429">
        <f t="shared" ref="AQ49" si="33">AL49</f>
        <v>6.5</v>
      </c>
      <c r="AR49" s="430"/>
      <c r="AS49" s="430"/>
      <c r="AT49" s="449"/>
      <c r="AU49" s="391"/>
      <c r="AV49" s="380"/>
      <c r="AW49" s="380"/>
      <c r="AX49" s="380"/>
      <c r="AY49" s="380"/>
      <c r="AZ49" s="380"/>
      <c r="BA49" s="380"/>
      <c r="BB49" s="380"/>
      <c r="BC49" s="602"/>
      <c r="BD49" s="380"/>
      <c r="BE49" s="380"/>
      <c r="BF49" s="380"/>
      <c r="BG49" s="380"/>
      <c r="BH49" s="380"/>
      <c r="BI49" s="380"/>
      <c r="BJ49" s="380"/>
      <c r="BK49" s="380"/>
      <c r="BL49" s="380"/>
      <c r="BM49" s="380"/>
      <c r="BN49" s="380"/>
      <c r="BO49" s="380"/>
      <c r="BP49" s="380"/>
      <c r="BQ49" s="602"/>
      <c r="BR49" s="380"/>
      <c r="BS49" s="380"/>
      <c r="BT49" s="380"/>
      <c r="BU49" s="380"/>
      <c r="BV49" s="380"/>
      <c r="BW49" s="380"/>
      <c r="BX49" s="383"/>
      <c r="BY49" s="380"/>
      <c r="BZ49" s="380"/>
      <c r="CA49" s="380"/>
      <c r="CB49" s="380"/>
      <c r="CC49" s="380"/>
      <c r="CD49" s="380"/>
      <c r="CE49" s="380"/>
      <c r="CF49" s="380"/>
      <c r="CG49" s="380"/>
      <c r="CH49" s="380"/>
      <c r="CI49" s="380"/>
      <c r="CJ49" s="380"/>
      <c r="CK49" s="380"/>
      <c r="CL49" s="380"/>
      <c r="CM49" s="380"/>
      <c r="CN49" s="380"/>
      <c r="CO49" s="380"/>
      <c r="CP49" s="380"/>
      <c r="CQ49" s="380"/>
      <c r="CR49" s="380"/>
      <c r="CS49" s="380"/>
      <c r="CT49" s="380"/>
      <c r="CU49" s="380"/>
      <c r="CV49" s="380"/>
      <c r="CW49" s="380"/>
      <c r="CX49" s="380"/>
      <c r="CY49" s="380"/>
      <c r="CZ49" s="380"/>
      <c r="DA49" s="380"/>
      <c r="DB49" s="380"/>
      <c r="DC49" s="380"/>
      <c r="DD49" s="380"/>
      <c r="DE49" s="380"/>
      <c r="DF49" s="380"/>
      <c r="DG49" s="380"/>
      <c r="DH49" s="380"/>
      <c r="DI49" s="383"/>
      <c r="DJ49" s="544"/>
      <c r="DK49" s="545"/>
      <c r="DL49" s="545"/>
      <c r="DM49" s="545"/>
      <c r="DN49" s="545"/>
      <c r="DO49" s="545"/>
      <c r="DP49" s="546"/>
      <c r="DQ49" s="595"/>
      <c r="DR49" s="520"/>
      <c r="DS49" s="520"/>
      <c r="DT49" s="520"/>
      <c r="DU49" s="520"/>
      <c r="DV49" s="520"/>
      <c r="DW49" s="520"/>
      <c r="DX49" s="520"/>
      <c r="DY49" s="520"/>
      <c r="DZ49" s="596"/>
      <c r="EA49" s="507" t="s">
        <v>209</v>
      </c>
      <c r="EB49" s="507"/>
      <c r="EC49" s="507"/>
      <c r="ED49" s="507"/>
      <c r="EE49" s="507"/>
      <c r="EF49" s="507"/>
      <c r="EG49" s="507"/>
      <c r="EH49" s="507"/>
      <c r="EI49" s="507"/>
      <c r="EJ49" s="507"/>
      <c r="EK49" s="507"/>
      <c r="EL49" s="507"/>
      <c r="EM49" s="507"/>
      <c r="EN49" s="507"/>
      <c r="EO49" s="507"/>
      <c r="EP49" s="507"/>
      <c r="EQ49" s="507"/>
      <c r="ER49" s="525">
        <v>1.78</v>
      </c>
      <c r="ES49" s="525"/>
      <c r="ET49" s="525"/>
      <c r="EU49" s="525"/>
      <c r="EV49" s="525"/>
      <c r="EW49" s="525"/>
      <c r="EX49" s="525"/>
      <c r="EY49" s="525"/>
      <c r="EZ49" s="514"/>
      <c r="FA49" s="514"/>
      <c r="FB49" s="514"/>
      <c r="FC49" s="514"/>
      <c r="FD49" s="514"/>
      <c r="FE49" s="514"/>
      <c r="FF49" s="514"/>
      <c r="FG49" s="515"/>
    </row>
    <row r="50" spans="2:163" ht="8.65" customHeight="1">
      <c r="B50" s="415"/>
      <c r="C50" s="416"/>
      <c r="D50" s="416"/>
      <c r="E50" s="416"/>
      <c r="F50" s="416"/>
      <c r="G50" s="416"/>
      <c r="H50" s="416"/>
      <c r="I50" s="416"/>
      <c r="J50" s="416"/>
      <c r="K50" s="416"/>
      <c r="L50" s="416"/>
      <c r="M50" s="421"/>
      <c r="N50" s="418"/>
      <c r="O50" s="418"/>
      <c r="P50" s="418"/>
      <c r="Q50" s="418"/>
      <c r="R50" s="418"/>
      <c r="S50" s="418"/>
      <c r="T50" s="418"/>
      <c r="U50" s="418"/>
      <c r="V50" s="418"/>
      <c r="W50" s="418"/>
      <c r="X50" s="418"/>
      <c r="Y50" s="418"/>
      <c r="Z50" s="418"/>
      <c r="AA50" s="418"/>
      <c r="AB50" s="422"/>
      <c r="AC50" s="465"/>
      <c r="AD50" s="433"/>
      <c r="AE50" s="433"/>
      <c r="AF50" s="433"/>
      <c r="AG50" s="466"/>
      <c r="AH50" s="432"/>
      <c r="AI50" s="433"/>
      <c r="AJ50" s="433"/>
      <c r="AK50" s="434"/>
      <c r="AL50" s="465"/>
      <c r="AM50" s="433"/>
      <c r="AN50" s="433"/>
      <c r="AO50" s="433"/>
      <c r="AP50" s="466"/>
      <c r="AQ50" s="432"/>
      <c r="AR50" s="433"/>
      <c r="AS50" s="433"/>
      <c r="AT50" s="450"/>
      <c r="AU50" s="599"/>
      <c r="AV50" s="600"/>
      <c r="AW50" s="600"/>
      <c r="AX50" s="600"/>
      <c r="AY50" s="600"/>
      <c r="AZ50" s="600"/>
      <c r="BA50" s="600"/>
      <c r="BB50" s="600"/>
      <c r="BC50" s="602"/>
      <c r="BD50" s="380"/>
      <c r="BE50" s="380"/>
      <c r="BF50" s="380"/>
      <c r="BG50" s="380"/>
      <c r="BH50" s="380"/>
      <c r="BI50" s="380"/>
      <c r="BJ50" s="380"/>
      <c r="BK50" s="380"/>
      <c r="BL50" s="380"/>
      <c r="BM50" s="380"/>
      <c r="BN50" s="380"/>
      <c r="BO50" s="380"/>
      <c r="BP50" s="380"/>
      <c r="BQ50" s="603"/>
      <c r="BR50" s="600"/>
      <c r="BS50" s="600"/>
      <c r="BT50" s="600"/>
      <c r="BU50" s="600"/>
      <c r="BV50" s="600"/>
      <c r="BW50" s="600"/>
      <c r="BX50" s="604"/>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4"/>
      <c r="DJ50" s="547"/>
      <c r="DK50" s="548"/>
      <c r="DL50" s="548"/>
      <c r="DM50" s="548"/>
      <c r="DN50" s="548"/>
      <c r="DO50" s="548"/>
      <c r="DP50" s="549"/>
      <c r="DQ50" s="597"/>
      <c r="DR50" s="523"/>
      <c r="DS50" s="523"/>
      <c r="DT50" s="523"/>
      <c r="DU50" s="523"/>
      <c r="DV50" s="523"/>
      <c r="DW50" s="523"/>
      <c r="DX50" s="523"/>
      <c r="DY50" s="523"/>
      <c r="DZ50" s="598"/>
      <c r="EA50" s="507"/>
      <c r="EB50" s="507"/>
      <c r="EC50" s="507"/>
      <c r="ED50" s="507"/>
      <c r="EE50" s="507"/>
      <c r="EF50" s="507"/>
      <c r="EG50" s="507"/>
      <c r="EH50" s="507"/>
      <c r="EI50" s="507"/>
      <c r="EJ50" s="507"/>
      <c r="EK50" s="507"/>
      <c r="EL50" s="507"/>
      <c r="EM50" s="507"/>
      <c r="EN50" s="507"/>
      <c r="EO50" s="507"/>
      <c r="EP50" s="507"/>
      <c r="EQ50" s="507"/>
      <c r="ER50" s="525"/>
      <c r="ES50" s="525"/>
      <c r="ET50" s="525"/>
      <c r="EU50" s="525"/>
      <c r="EV50" s="525"/>
      <c r="EW50" s="525"/>
      <c r="EX50" s="525"/>
      <c r="EY50" s="525"/>
      <c r="EZ50" s="514"/>
      <c r="FA50" s="514"/>
      <c r="FB50" s="514"/>
      <c r="FC50" s="514"/>
      <c r="FD50" s="514"/>
      <c r="FE50" s="514"/>
      <c r="FF50" s="514"/>
      <c r="FG50" s="515"/>
    </row>
    <row r="51" spans="2:163" ht="8.65" customHeight="1">
      <c r="B51" s="415"/>
      <c r="C51" s="416"/>
      <c r="D51" s="416"/>
      <c r="E51" s="416"/>
      <c r="F51" s="416"/>
      <c r="G51" s="416"/>
      <c r="H51" s="416"/>
      <c r="I51" s="416"/>
      <c r="J51" s="416"/>
      <c r="K51" s="416"/>
      <c r="L51" s="416"/>
      <c r="M51" s="419" t="s">
        <v>200</v>
      </c>
      <c r="N51" s="414"/>
      <c r="O51" s="414"/>
      <c r="P51" s="414"/>
      <c r="Q51" s="414"/>
      <c r="R51" s="414"/>
      <c r="S51" s="414"/>
      <c r="T51" s="414"/>
      <c r="U51" s="414"/>
      <c r="V51" s="414"/>
      <c r="W51" s="414"/>
      <c r="X51" s="414"/>
      <c r="Y51" s="414"/>
      <c r="Z51" s="414"/>
      <c r="AA51" s="414"/>
      <c r="AB51" s="420"/>
      <c r="AC51" s="463">
        <v>18.100000000000001</v>
      </c>
      <c r="AD51" s="430"/>
      <c r="AE51" s="430"/>
      <c r="AF51" s="430"/>
      <c r="AG51" s="464"/>
      <c r="AH51" s="429">
        <f t="shared" ref="AH51" si="34">AC51</f>
        <v>18.100000000000001</v>
      </c>
      <c r="AI51" s="430"/>
      <c r="AJ51" s="430"/>
      <c r="AK51" s="431"/>
      <c r="AL51" s="463">
        <v>6.9</v>
      </c>
      <c r="AM51" s="430"/>
      <c r="AN51" s="430"/>
      <c r="AO51" s="430"/>
      <c r="AP51" s="464"/>
      <c r="AQ51" s="429">
        <f t="shared" ref="AQ51" si="35">AL51</f>
        <v>6.9</v>
      </c>
      <c r="AR51" s="430"/>
      <c r="AS51" s="430"/>
      <c r="AT51" s="449"/>
      <c r="AU51" s="661" t="s">
        <v>239</v>
      </c>
      <c r="AV51" s="662"/>
      <c r="AW51" s="662"/>
      <c r="AX51" s="662"/>
      <c r="AY51" s="662"/>
      <c r="AZ51" s="662"/>
      <c r="BA51" s="662"/>
      <c r="BB51" s="662"/>
      <c r="BC51" s="665" t="s">
        <v>240</v>
      </c>
      <c r="BD51" s="666"/>
      <c r="BE51" s="666"/>
      <c r="BF51" s="666"/>
      <c r="BG51" s="666"/>
      <c r="BH51" s="666"/>
      <c r="BI51" s="666"/>
      <c r="BJ51" s="666"/>
      <c r="BK51" s="666"/>
      <c r="BL51" s="666"/>
      <c r="BM51" s="666"/>
      <c r="BN51" s="666"/>
      <c r="BO51" s="666"/>
      <c r="BP51" s="666"/>
      <c r="BQ51" s="668" t="s">
        <v>241</v>
      </c>
      <c r="BR51" s="605"/>
      <c r="BS51" s="605"/>
      <c r="BT51" s="605"/>
      <c r="BU51" s="605"/>
      <c r="BV51" s="605"/>
      <c r="BW51" s="605"/>
      <c r="BX51" s="606"/>
      <c r="BY51" s="605" t="s">
        <v>242</v>
      </c>
      <c r="BZ51" s="605"/>
      <c r="CA51" s="605"/>
      <c r="CB51" s="605"/>
      <c r="CC51" s="605"/>
      <c r="CD51" s="605"/>
      <c r="CE51" s="605"/>
      <c r="CF51" s="605"/>
      <c r="CG51" s="605"/>
      <c r="CH51" s="605"/>
      <c r="CI51" s="605"/>
      <c r="CJ51" s="605"/>
      <c r="CK51" s="605"/>
      <c r="CL51" s="605"/>
      <c r="CM51" s="605"/>
      <c r="CN51" s="605"/>
      <c r="CO51" s="605"/>
      <c r="CP51" s="605"/>
      <c r="CQ51" s="605"/>
      <c r="CR51" s="605"/>
      <c r="CS51" s="605"/>
      <c r="CT51" s="605"/>
      <c r="CU51" s="605"/>
      <c r="CV51" s="605"/>
      <c r="CW51" s="605"/>
      <c r="CX51" s="605"/>
      <c r="CY51" s="605"/>
      <c r="CZ51" s="605"/>
      <c r="DA51" s="605"/>
      <c r="DB51" s="605"/>
      <c r="DC51" s="605"/>
      <c r="DD51" s="605"/>
      <c r="DE51" s="605"/>
      <c r="DF51" s="605"/>
      <c r="DG51" s="605"/>
      <c r="DH51" s="605"/>
      <c r="DI51" s="606"/>
      <c r="DJ51" s="609" t="s">
        <v>225</v>
      </c>
      <c r="DK51" s="610"/>
      <c r="DL51" s="610"/>
      <c r="DM51" s="610"/>
      <c r="DN51" s="610"/>
      <c r="DO51" s="610"/>
      <c r="DP51" s="610"/>
      <c r="DQ51" s="610"/>
      <c r="DR51" s="610"/>
      <c r="DS51" s="610"/>
      <c r="DT51" s="610"/>
      <c r="DU51" s="610"/>
      <c r="DV51" s="610"/>
      <c r="DW51" s="610"/>
      <c r="DX51" s="610"/>
      <c r="DY51" s="610"/>
      <c r="DZ51" s="610"/>
      <c r="EA51" s="610"/>
      <c r="EB51" s="610"/>
      <c r="EC51" s="610"/>
      <c r="ED51" s="610"/>
      <c r="EE51" s="610"/>
      <c r="EF51" s="610"/>
      <c r="EG51" s="610"/>
      <c r="EH51" s="610"/>
      <c r="EI51" s="610"/>
      <c r="EJ51" s="610"/>
      <c r="EK51" s="610"/>
      <c r="EL51" s="610"/>
      <c r="EM51" s="610"/>
      <c r="EN51" s="610"/>
      <c r="EO51" s="610"/>
      <c r="EP51" s="610"/>
      <c r="EQ51" s="610"/>
      <c r="ER51" s="610"/>
      <c r="ES51" s="610"/>
      <c r="ET51" s="610"/>
      <c r="EU51" s="610"/>
      <c r="EV51" s="610"/>
      <c r="EW51" s="610"/>
      <c r="EX51" s="610"/>
      <c r="EY51" s="610"/>
      <c r="EZ51" s="610"/>
      <c r="FA51" s="610"/>
      <c r="FB51" s="610"/>
      <c r="FC51" s="610"/>
      <c r="FD51" s="610"/>
      <c r="FE51" s="610"/>
      <c r="FF51" s="610"/>
      <c r="FG51" s="611"/>
    </row>
    <row r="52" spans="2:163" ht="8.65" customHeight="1">
      <c r="B52" s="415"/>
      <c r="C52" s="416"/>
      <c r="D52" s="416"/>
      <c r="E52" s="416"/>
      <c r="F52" s="416"/>
      <c r="G52" s="416"/>
      <c r="H52" s="416"/>
      <c r="I52" s="416"/>
      <c r="J52" s="416"/>
      <c r="K52" s="416"/>
      <c r="L52" s="416"/>
      <c r="M52" s="421"/>
      <c r="N52" s="418"/>
      <c r="O52" s="418"/>
      <c r="P52" s="418"/>
      <c r="Q52" s="418"/>
      <c r="R52" s="418"/>
      <c r="S52" s="418"/>
      <c r="T52" s="418"/>
      <c r="U52" s="418"/>
      <c r="V52" s="418"/>
      <c r="W52" s="418"/>
      <c r="X52" s="418"/>
      <c r="Y52" s="418"/>
      <c r="Z52" s="418"/>
      <c r="AA52" s="418"/>
      <c r="AB52" s="422"/>
      <c r="AC52" s="465"/>
      <c r="AD52" s="433"/>
      <c r="AE52" s="433"/>
      <c r="AF52" s="433"/>
      <c r="AG52" s="466"/>
      <c r="AH52" s="432"/>
      <c r="AI52" s="433"/>
      <c r="AJ52" s="433"/>
      <c r="AK52" s="434"/>
      <c r="AL52" s="465"/>
      <c r="AM52" s="433"/>
      <c r="AN52" s="433"/>
      <c r="AO52" s="433"/>
      <c r="AP52" s="466"/>
      <c r="AQ52" s="432"/>
      <c r="AR52" s="433"/>
      <c r="AS52" s="433"/>
      <c r="AT52" s="450"/>
      <c r="AU52" s="663"/>
      <c r="AV52" s="664"/>
      <c r="AW52" s="664"/>
      <c r="AX52" s="664"/>
      <c r="AY52" s="664"/>
      <c r="AZ52" s="664"/>
      <c r="BA52" s="664"/>
      <c r="BB52" s="664"/>
      <c r="BC52" s="667"/>
      <c r="BD52" s="607"/>
      <c r="BE52" s="607"/>
      <c r="BF52" s="607"/>
      <c r="BG52" s="607"/>
      <c r="BH52" s="607"/>
      <c r="BI52" s="607"/>
      <c r="BJ52" s="607"/>
      <c r="BK52" s="607"/>
      <c r="BL52" s="607"/>
      <c r="BM52" s="607"/>
      <c r="BN52" s="607"/>
      <c r="BO52" s="607"/>
      <c r="BP52" s="607"/>
      <c r="BQ52" s="667"/>
      <c r="BR52" s="607"/>
      <c r="BS52" s="607"/>
      <c r="BT52" s="607"/>
      <c r="BU52" s="607"/>
      <c r="BV52" s="607"/>
      <c r="BW52" s="607"/>
      <c r="BX52" s="608"/>
      <c r="BY52" s="607"/>
      <c r="BZ52" s="607"/>
      <c r="CA52" s="607"/>
      <c r="CB52" s="607"/>
      <c r="CC52" s="607"/>
      <c r="CD52" s="607"/>
      <c r="CE52" s="607"/>
      <c r="CF52" s="607"/>
      <c r="CG52" s="607"/>
      <c r="CH52" s="607"/>
      <c r="CI52" s="607"/>
      <c r="CJ52" s="607"/>
      <c r="CK52" s="607"/>
      <c r="CL52" s="607"/>
      <c r="CM52" s="607"/>
      <c r="CN52" s="607"/>
      <c r="CO52" s="607"/>
      <c r="CP52" s="607"/>
      <c r="CQ52" s="607"/>
      <c r="CR52" s="607"/>
      <c r="CS52" s="607"/>
      <c r="CT52" s="607"/>
      <c r="CU52" s="607"/>
      <c r="CV52" s="607"/>
      <c r="CW52" s="607"/>
      <c r="CX52" s="607"/>
      <c r="CY52" s="607"/>
      <c r="CZ52" s="607"/>
      <c r="DA52" s="607"/>
      <c r="DB52" s="607"/>
      <c r="DC52" s="607"/>
      <c r="DD52" s="607"/>
      <c r="DE52" s="607"/>
      <c r="DF52" s="607"/>
      <c r="DG52" s="607"/>
      <c r="DH52" s="607"/>
      <c r="DI52" s="608"/>
      <c r="DJ52" s="612"/>
      <c r="DK52" s="613"/>
      <c r="DL52" s="613"/>
      <c r="DM52" s="613"/>
      <c r="DN52" s="613"/>
      <c r="DO52" s="613"/>
      <c r="DP52" s="613"/>
      <c r="DQ52" s="613"/>
      <c r="DR52" s="613"/>
      <c r="DS52" s="613"/>
      <c r="DT52" s="613"/>
      <c r="DU52" s="613"/>
      <c r="DV52" s="613"/>
      <c r="DW52" s="613"/>
      <c r="DX52" s="613"/>
      <c r="DY52" s="613"/>
      <c r="DZ52" s="613"/>
      <c r="EA52" s="613"/>
      <c r="EB52" s="613"/>
      <c r="EC52" s="613"/>
      <c r="ED52" s="613"/>
      <c r="EE52" s="613"/>
      <c r="EF52" s="613"/>
      <c r="EG52" s="613"/>
      <c r="EH52" s="613"/>
      <c r="EI52" s="613"/>
      <c r="EJ52" s="613"/>
      <c r="EK52" s="613"/>
      <c r="EL52" s="613"/>
      <c r="EM52" s="613"/>
      <c r="EN52" s="613"/>
      <c r="EO52" s="613"/>
      <c r="EP52" s="613"/>
      <c r="EQ52" s="613"/>
      <c r="ER52" s="613"/>
      <c r="ES52" s="613"/>
      <c r="ET52" s="613"/>
      <c r="EU52" s="613"/>
      <c r="EV52" s="613"/>
      <c r="EW52" s="613"/>
      <c r="EX52" s="613"/>
      <c r="EY52" s="613"/>
      <c r="EZ52" s="613"/>
      <c r="FA52" s="613"/>
      <c r="FB52" s="613"/>
      <c r="FC52" s="613"/>
      <c r="FD52" s="613"/>
      <c r="FE52" s="613"/>
      <c r="FF52" s="613"/>
      <c r="FG52" s="614"/>
    </row>
    <row r="53" spans="2:163" ht="8.65" customHeight="1">
      <c r="B53" s="415"/>
      <c r="C53" s="416"/>
      <c r="D53" s="416"/>
      <c r="E53" s="416"/>
      <c r="F53" s="416"/>
      <c r="G53" s="416"/>
      <c r="H53" s="416"/>
      <c r="I53" s="416"/>
      <c r="J53" s="416"/>
      <c r="K53" s="416"/>
      <c r="L53" s="416"/>
      <c r="M53" s="419" t="s">
        <v>204</v>
      </c>
      <c r="N53" s="414"/>
      <c r="O53" s="414"/>
      <c r="P53" s="414"/>
      <c r="Q53" s="414"/>
      <c r="R53" s="414"/>
      <c r="S53" s="414"/>
      <c r="T53" s="414"/>
      <c r="U53" s="414"/>
      <c r="V53" s="414"/>
      <c r="W53" s="414"/>
      <c r="X53" s="414"/>
      <c r="Y53" s="414"/>
      <c r="Z53" s="414"/>
      <c r="AA53" s="414"/>
      <c r="AB53" s="420"/>
      <c r="AC53" s="463">
        <v>19.3</v>
      </c>
      <c r="AD53" s="430"/>
      <c r="AE53" s="430"/>
      <c r="AF53" s="430"/>
      <c r="AG53" s="464"/>
      <c r="AH53" s="429">
        <f t="shared" ref="AH53" si="36">AC53</f>
        <v>19.3</v>
      </c>
      <c r="AI53" s="430"/>
      <c r="AJ53" s="430"/>
      <c r="AK53" s="431"/>
      <c r="AL53" s="463">
        <v>7.5</v>
      </c>
      <c r="AM53" s="430"/>
      <c r="AN53" s="430"/>
      <c r="AO53" s="430"/>
      <c r="AP53" s="464"/>
      <c r="AQ53" s="429">
        <f t="shared" ref="AQ53" si="37">AL53</f>
        <v>7.5</v>
      </c>
      <c r="AR53" s="430"/>
      <c r="AS53" s="430"/>
      <c r="AT53" s="449"/>
      <c r="AU53" s="615" t="s">
        <v>244</v>
      </c>
      <c r="AV53" s="616"/>
      <c r="AW53" s="616"/>
      <c r="AX53" s="616"/>
      <c r="AY53" s="616"/>
      <c r="AZ53" s="616"/>
      <c r="BA53" s="616"/>
      <c r="BB53" s="616"/>
      <c r="BC53" s="616"/>
      <c r="BD53" s="616"/>
      <c r="BE53" s="616"/>
      <c r="BF53" s="616"/>
      <c r="BG53" s="616"/>
      <c r="BH53" s="616"/>
      <c r="BI53" s="616"/>
      <c r="BJ53" s="616"/>
      <c r="BK53" s="616"/>
      <c r="BL53" s="616"/>
      <c r="BM53" s="616"/>
      <c r="BN53" s="616"/>
      <c r="BO53" s="616"/>
      <c r="BP53" s="616"/>
      <c r="BQ53" s="616"/>
      <c r="BR53" s="616"/>
      <c r="BS53" s="616"/>
      <c r="BT53" s="616"/>
      <c r="BU53" s="616"/>
      <c r="BV53" s="616"/>
      <c r="BW53" s="616"/>
      <c r="BX53" s="617"/>
      <c r="BY53" s="621" t="s">
        <v>245</v>
      </c>
      <c r="BZ53" s="622"/>
      <c r="CA53" s="622"/>
      <c r="CB53" s="622"/>
      <c r="CC53" s="622"/>
      <c r="CD53" s="622"/>
      <c r="CE53" s="622"/>
      <c r="CF53" s="622"/>
      <c r="CG53" s="622"/>
      <c r="CH53" s="622"/>
      <c r="CI53" s="622"/>
      <c r="CJ53" s="622"/>
      <c r="CK53" s="622"/>
      <c r="CL53" s="622"/>
      <c r="CM53" s="622"/>
      <c r="CN53" s="622"/>
      <c r="CO53" s="622"/>
      <c r="CP53" s="622"/>
      <c r="CQ53" s="622"/>
      <c r="CR53" s="622"/>
      <c r="CS53" s="622"/>
      <c r="CT53" s="622"/>
      <c r="CU53" s="622"/>
      <c r="CV53" s="622"/>
      <c r="CW53" s="622"/>
      <c r="CX53" s="622"/>
      <c r="CY53" s="622"/>
      <c r="CZ53" s="622"/>
      <c r="DA53" s="622"/>
      <c r="DB53" s="622"/>
      <c r="DC53" s="622"/>
      <c r="DD53" s="622"/>
      <c r="DE53" s="622"/>
      <c r="DF53" s="622"/>
      <c r="DG53" s="622"/>
      <c r="DH53" s="622"/>
      <c r="DI53" s="623"/>
      <c r="DJ53" s="627" t="s">
        <v>227</v>
      </c>
      <c r="DK53" s="628"/>
      <c r="DL53" s="628"/>
      <c r="DM53" s="628"/>
      <c r="DN53" s="628"/>
      <c r="DO53" s="628"/>
      <c r="DP53" s="628"/>
      <c r="DQ53" s="628"/>
      <c r="DR53" s="628"/>
      <c r="DS53" s="628"/>
      <c r="DT53" s="628"/>
      <c r="DU53" s="628"/>
      <c r="DV53" s="628"/>
      <c r="DW53" s="628"/>
      <c r="DX53" s="628"/>
      <c r="DY53" s="628"/>
      <c r="DZ53" s="628"/>
      <c r="EA53" s="628"/>
      <c r="EB53" s="628"/>
      <c r="EC53" s="628"/>
      <c r="ED53" s="628"/>
      <c r="EE53" s="628"/>
      <c r="EF53" s="628"/>
      <c r="EG53" s="628"/>
      <c r="EH53" s="628"/>
      <c r="EI53" s="628"/>
      <c r="EJ53" s="628"/>
      <c r="EK53" s="628"/>
      <c r="EL53" s="628"/>
      <c r="EM53" s="628"/>
      <c r="EN53" s="628"/>
      <c r="EO53" s="628"/>
      <c r="EP53" s="628"/>
      <c r="EQ53" s="628"/>
      <c r="ER53" s="628"/>
      <c r="ES53" s="628"/>
      <c r="ET53" s="628"/>
      <c r="EU53" s="628"/>
      <c r="EV53" s="628"/>
      <c r="EW53" s="628"/>
      <c r="EX53" s="628"/>
      <c r="EY53" s="628"/>
      <c r="EZ53" s="628"/>
      <c r="FA53" s="628"/>
      <c r="FB53" s="628"/>
      <c r="FC53" s="628"/>
      <c r="FD53" s="628"/>
      <c r="FE53" s="628"/>
      <c r="FF53" s="628"/>
      <c r="FG53" s="629"/>
    </row>
    <row r="54" spans="2:163" ht="8.65" customHeight="1">
      <c r="B54" s="417"/>
      <c r="C54" s="418"/>
      <c r="D54" s="418"/>
      <c r="E54" s="418"/>
      <c r="F54" s="418"/>
      <c r="G54" s="418"/>
      <c r="H54" s="418"/>
      <c r="I54" s="418"/>
      <c r="J54" s="418"/>
      <c r="K54" s="418"/>
      <c r="L54" s="418"/>
      <c r="M54" s="421"/>
      <c r="N54" s="418"/>
      <c r="O54" s="418"/>
      <c r="P54" s="418"/>
      <c r="Q54" s="418"/>
      <c r="R54" s="418"/>
      <c r="S54" s="418"/>
      <c r="T54" s="418"/>
      <c r="U54" s="418"/>
      <c r="V54" s="418"/>
      <c r="W54" s="418"/>
      <c r="X54" s="418"/>
      <c r="Y54" s="418"/>
      <c r="Z54" s="418"/>
      <c r="AA54" s="418"/>
      <c r="AB54" s="422"/>
      <c r="AC54" s="465"/>
      <c r="AD54" s="433"/>
      <c r="AE54" s="433"/>
      <c r="AF54" s="433"/>
      <c r="AG54" s="466"/>
      <c r="AH54" s="432"/>
      <c r="AI54" s="433"/>
      <c r="AJ54" s="433"/>
      <c r="AK54" s="434"/>
      <c r="AL54" s="465"/>
      <c r="AM54" s="433"/>
      <c r="AN54" s="433"/>
      <c r="AO54" s="433"/>
      <c r="AP54" s="466"/>
      <c r="AQ54" s="432"/>
      <c r="AR54" s="433"/>
      <c r="AS54" s="433"/>
      <c r="AT54" s="450"/>
      <c r="AU54" s="618"/>
      <c r="AV54" s="619"/>
      <c r="AW54" s="619"/>
      <c r="AX54" s="619"/>
      <c r="AY54" s="619"/>
      <c r="AZ54" s="619"/>
      <c r="BA54" s="619"/>
      <c r="BB54" s="619"/>
      <c r="BC54" s="619"/>
      <c r="BD54" s="619"/>
      <c r="BE54" s="619"/>
      <c r="BF54" s="619"/>
      <c r="BG54" s="619"/>
      <c r="BH54" s="619"/>
      <c r="BI54" s="619"/>
      <c r="BJ54" s="619"/>
      <c r="BK54" s="619"/>
      <c r="BL54" s="619"/>
      <c r="BM54" s="619"/>
      <c r="BN54" s="619"/>
      <c r="BO54" s="619"/>
      <c r="BP54" s="619"/>
      <c r="BQ54" s="619"/>
      <c r="BR54" s="619"/>
      <c r="BS54" s="619"/>
      <c r="BT54" s="619"/>
      <c r="BU54" s="619"/>
      <c r="BV54" s="619"/>
      <c r="BW54" s="619"/>
      <c r="BX54" s="620"/>
      <c r="BY54" s="621"/>
      <c r="BZ54" s="622"/>
      <c r="CA54" s="622"/>
      <c r="CB54" s="622"/>
      <c r="CC54" s="622"/>
      <c r="CD54" s="622"/>
      <c r="CE54" s="622"/>
      <c r="CF54" s="622"/>
      <c r="CG54" s="622"/>
      <c r="CH54" s="622"/>
      <c r="CI54" s="622"/>
      <c r="CJ54" s="622"/>
      <c r="CK54" s="622"/>
      <c r="CL54" s="622"/>
      <c r="CM54" s="622"/>
      <c r="CN54" s="622"/>
      <c r="CO54" s="622"/>
      <c r="CP54" s="622"/>
      <c r="CQ54" s="622"/>
      <c r="CR54" s="622"/>
      <c r="CS54" s="622"/>
      <c r="CT54" s="622"/>
      <c r="CU54" s="622"/>
      <c r="CV54" s="622"/>
      <c r="CW54" s="622"/>
      <c r="CX54" s="622"/>
      <c r="CY54" s="622"/>
      <c r="CZ54" s="622"/>
      <c r="DA54" s="622"/>
      <c r="DB54" s="622"/>
      <c r="DC54" s="622"/>
      <c r="DD54" s="622"/>
      <c r="DE54" s="622"/>
      <c r="DF54" s="622"/>
      <c r="DG54" s="622"/>
      <c r="DH54" s="622"/>
      <c r="DI54" s="623"/>
      <c r="DJ54" s="630"/>
      <c r="DK54" s="631"/>
      <c r="DL54" s="631"/>
      <c r="DM54" s="631"/>
      <c r="DN54" s="631"/>
      <c r="DO54" s="631"/>
      <c r="DP54" s="631"/>
      <c r="DQ54" s="631"/>
      <c r="DR54" s="631"/>
      <c r="DS54" s="631"/>
      <c r="DT54" s="631"/>
      <c r="DU54" s="631"/>
      <c r="DV54" s="631"/>
      <c r="DW54" s="631"/>
      <c r="DX54" s="631"/>
      <c r="DY54" s="631"/>
      <c r="DZ54" s="631"/>
      <c r="EA54" s="631"/>
      <c r="EB54" s="631"/>
      <c r="EC54" s="631"/>
      <c r="ED54" s="631"/>
      <c r="EE54" s="631"/>
      <c r="EF54" s="631"/>
      <c r="EG54" s="631"/>
      <c r="EH54" s="631"/>
      <c r="EI54" s="631"/>
      <c r="EJ54" s="631"/>
      <c r="EK54" s="631"/>
      <c r="EL54" s="631"/>
      <c r="EM54" s="631"/>
      <c r="EN54" s="631"/>
      <c r="EO54" s="631"/>
      <c r="EP54" s="631"/>
      <c r="EQ54" s="631"/>
      <c r="ER54" s="631"/>
      <c r="ES54" s="631"/>
      <c r="ET54" s="631"/>
      <c r="EU54" s="631"/>
      <c r="EV54" s="631"/>
      <c r="EW54" s="631"/>
      <c r="EX54" s="631"/>
      <c r="EY54" s="631"/>
      <c r="EZ54" s="631"/>
      <c r="FA54" s="631"/>
      <c r="FB54" s="631"/>
      <c r="FC54" s="631"/>
      <c r="FD54" s="631"/>
      <c r="FE54" s="631"/>
      <c r="FF54" s="631"/>
      <c r="FG54" s="632"/>
    </row>
    <row r="55" spans="2:163" ht="8.65" customHeight="1">
      <c r="B55" s="633" t="s">
        <v>228</v>
      </c>
      <c r="C55" s="634"/>
      <c r="D55" s="634"/>
      <c r="E55" s="634"/>
      <c r="F55" s="634"/>
      <c r="G55" s="634"/>
      <c r="H55" s="634"/>
      <c r="I55" s="634"/>
      <c r="J55" s="634"/>
      <c r="K55" s="634"/>
      <c r="L55" s="634"/>
      <c r="M55" s="634"/>
      <c r="N55" s="634"/>
      <c r="O55" s="634"/>
      <c r="P55" s="634"/>
      <c r="Q55" s="634"/>
      <c r="R55" s="634"/>
      <c r="S55" s="634"/>
      <c r="T55" s="634"/>
      <c r="U55" s="634"/>
      <c r="V55" s="634"/>
      <c r="W55" s="634"/>
      <c r="X55" s="634"/>
      <c r="Y55" s="634"/>
      <c r="Z55" s="634"/>
      <c r="AA55" s="634"/>
      <c r="AB55" s="634"/>
      <c r="AC55" s="634"/>
      <c r="AD55" s="634"/>
      <c r="AE55" s="634"/>
      <c r="AF55" s="634"/>
      <c r="AG55" s="634"/>
      <c r="AH55" s="634"/>
      <c r="AI55" s="634"/>
      <c r="AJ55" s="634"/>
      <c r="AK55" s="634"/>
      <c r="AL55" s="634"/>
      <c r="AM55" s="634"/>
      <c r="AN55" s="634"/>
      <c r="AO55" s="634"/>
      <c r="AP55" s="634"/>
      <c r="AQ55" s="634"/>
      <c r="AR55" s="634"/>
      <c r="AS55" s="634"/>
      <c r="AT55" s="635"/>
      <c r="AU55" s="639" t="s">
        <v>248</v>
      </c>
      <c r="AV55" s="640"/>
      <c r="AW55" s="640"/>
      <c r="AX55" s="640"/>
      <c r="AY55" s="640"/>
      <c r="AZ55" s="640"/>
      <c r="BA55" s="640"/>
      <c r="BB55" s="640"/>
      <c r="BC55" s="640"/>
      <c r="BD55" s="640"/>
      <c r="BE55" s="640"/>
      <c r="BF55" s="640"/>
      <c r="BG55" s="640"/>
      <c r="BH55" s="640"/>
      <c r="BI55" s="640"/>
      <c r="BJ55" s="640"/>
      <c r="BK55" s="640"/>
      <c r="BL55" s="640"/>
      <c r="BM55" s="640"/>
      <c r="BN55" s="640"/>
      <c r="BO55" s="640"/>
      <c r="BP55" s="640"/>
      <c r="BQ55" s="640"/>
      <c r="BR55" s="640"/>
      <c r="BS55" s="640"/>
      <c r="BT55" s="640"/>
      <c r="BU55" s="640"/>
      <c r="BV55" s="640"/>
      <c r="BW55" s="640"/>
      <c r="BX55" s="641"/>
      <c r="BY55" s="621"/>
      <c r="BZ55" s="622"/>
      <c r="CA55" s="622"/>
      <c r="CB55" s="622"/>
      <c r="CC55" s="622"/>
      <c r="CD55" s="622"/>
      <c r="CE55" s="622"/>
      <c r="CF55" s="622"/>
      <c r="CG55" s="622"/>
      <c r="CH55" s="622"/>
      <c r="CI55" s="622"/>
      <c r="CJ55" s="622"/>
      <c r="CK55" s="622"/>
      <c r="CL55" s="622"/>
      <c r="CM55" s="622"/>
      <c r="CN55" s="622"/>
      <c r="CO55" s="622"/>
      <c r="CP55" s="622"/>
      <c r="CQ55" s="622"/>
      <c r="CR55" s="622"/>
      <c r="CS55" s="622"/>
      <c r="CT55" s="622"/>
      <c r="CU55" s="622"/>
      <c r="CV55" s="622"/>
      <c r="CW55" s="622"/>
      <c r="CX55" s="622"/>
      <c r="CY55" s="622"/>
      <c r="CZ55" s="622"/>
      <c r="DA55" s="622"/>
      <c r="DB55" s="622"/>
      <c r="DC55" s="622"/>
      <c r="DD55" s="622"/>
      <c r="DE55" s="622"/>
      <c r="DF55" s="622"/>
      <c r="DG55" s="622"/>
      <c r="DH55" s="622"/>
      <c r="DI55" s="623"/>
      <c r="DJ55" s="630"/>
      <c r="DK55" s="631"/>
      <c r="DL55" s="631"/>
      <c r="DM55" s="631"/>
      <c r="DN55" s="631"/>
      <c r="DO55" s="631"/>
      <c r="DP55" s="631"/>
      <c r="DQ55" s="631"/>
      <c r="DR55" s="631"/>
      <c r="DS55" s="631"/>
      <c r="DT55" s="631"/>
      <c r="DU55" s="631"/>
      <c r="DV55" s="631"/>
      <c r="DW55" s="631"/>
      <c r="DX55" s="631"/>
      <c r="DY55" s="631"/>
      <c r="DZ55" s="631"/>
      <c r="EA55" s="631"/>
      <c r="EB55" s="631"/>
      <c r="EC55" s="631"/>
      <c r="ED55" s="631"/>
      <c r="EE55" s="631"/>
      <c r="EF55" s="631"/>
      <c r="EG55" s="631"/>
      <c r="EH55" s="631"/>
      <c r="EI55" s="631"/>
      <c r="EJ55" s="631"/>
      <c r="EK55" s="631"/>
      <c r="EL55" s="631"/>
      <c r="EM55" s="631"/>
      <c r="EN55" s="631"/>
      <c r="EO55" s="631"/>
      <c r="EP55" s="631"/>
      <c r="EQ55" s="631"/>
      <c r="ER55" s="631"/>
      <c r="ES55" s="631"/>
      <c r="ET55" s="631"/>
      <c r="EU55" s="631"/>
      <c r="EV55" s="631"/>
      <c r="EW55" s="631"/>
      <c r="EX55" s="631"/>
      <c r="EY55" s="631"/>
      <c r="EZ55" s="631"/>
      <c r="FA55" s="631"/>
      <c r="FB55" s="631"/>
      <c r="FC55" s="631"/>
      <c r="FD55" s="631"/>
      <c r="FE55" s="631"/>
      <c r="FF55" s="631"/>
      <c r="FG55" s="632"/>
    </row>
    <row r="56" spans="2:163" ht="8.65" customHeight="1">
      <c r="B56" s="636"/>
      <c r="C56" s="637"/>
      <c r="D56" s="637"/>
      <c r="E56" s="637"/>
      <c r="F56" s="637"/>
      <c r="G56" s="637"/>
      <c r="H56" s="637"/>
      <c r="I56" s="637"/>
      <c r="J56" s="637"/>
      <c r="K56" s="637"/>
      <c r="L56" s="637"/>
      <c r="M56" s="637"/>
      <c r="N56" s="637"/>
      <c r="O56" s="637"/>
      <c r="P56" s="637"/>
      <c r="Q56" s="637"/>
      <c r="R56" s="637"/>
      <c r="S56" s="637"/>
      <c r="T56" s="637"/>
      <c r="U56" s="637"/>
      <c r="V56" s="637"/>
      <c r="W56" s="637"/>
      <c r="X56" s="637"/>
      <c r="Y56" s="637"/>
      <c r="Z56" s="637"/>
      <c r="AA56" s="637"/>
      <c r="AB56" s="637"/>
      <c r="AC56" s="637"/>
      <c r="AD56" s="637"/>
      <c r="AE56" s="637"/>
      <c r="AF56" s="637"/>
      <c r="AG56" s="637"/>
      <c r="AH56" s="637"/>
      <c r="AI56" s="637"/>
      <c r="AJ56" s="637"/>
      <c r="AK56" s="637"/>
      <c r="AL56" s="637"/>
      <c r="AM56" s="637"/>
      <c r="AN56" s="637"/>
      <c r="AO56" s="637"/>
      <c r="AP56" s="637"/>
      <c r="AQ56" s="637"/>
      <c r="AR56" s="637"/>
      <c r="AS56" s="637"/>
      <c r="AT56" s="638"/>
      <c r="AU56" s="642"/>
      <c r="AV56" s="643"/>
      <c r="AW56" s="643"/>
      <c r="AX56" s="643"/>
      <c r="AY56" s="643"/>
      <c r="AZ56" s="643"/>
      <c r="BA56" s="643"/>
      <c r="BB56" s="643"/>
      <c r="BC56" s="643"/>
      <c r="BD56" s="643"/>
      <c r="BE56" s="643"/>
      <c r="BF56" s="643"/>
      <c r="BG56" s="643"/>
      <c r="BH56" s="643"/>
      <c r="BI56" s="643"/>
      <c r="BJ56" s="643"/>
      <c r="BK56" s="643"/>
      <c r="BL56" s="643"/>
      <c r="BM56" s="643"/>
      <c r="BN56" s="643"/>
      <c r="BO56" s="643"/>
      <c r="BP56" s="643"/>
      <c r="BQ56" s="643"/>
      <c r="BR56" s="643"/>
      <c r="BS56" s="643"/>
      <c r="BT56" s="643"/>
      <c r="BU56" s="643"/>
      <c r="BV56" s="643"/>
      <c r="BW56" s="643"/>
      <c r="BX56" s="644"/>
      <c r="BY56" s="624"/>
      <c r="BZ56" s="625"/>
      <c r="CA56" s="625"/>
      <c r="CB56" s="625"/>
      <c r="CC56" s="625"/>
      <c r="CD56" s="625"/>
      <c r="CE56" s="625"/>
      <c r="CF56" s="625"/>
      <c r="CG56" s="625"/>
      <c r="CH56" s="625"/>
      <c r="CI56" s="625"/>
      <c r="CJ56" s="625"/>
      <c r="CK56" s="625"/>
      <c r="CL56" s="625"/>
      <c r="CM56" s="625"/>
      <c r="CN56" s="625"/>
      <c r="CO56" s="625"/>
      <c r="CP56" s="625"/>
      <c r="CQ56" s="625"/>
      <c r="CR56" s="625"/>
      <c r="CS56" s="625"/>
      <c r="CT56" s="625"/>
      <c r="CU56" s="625"/>
      <c r="CV56" s="625"/>
      <c r="CW56" s="625"/>
      <c r="CX56" s="625"/>
      <c r="CY56" s="625"/>
      <c r="CZ56" s="625"/>
      <c r="DA56" s="625"/>
      <c r="DB56" s="625"/>
      <c r="DC56" s="625"/>
      <c r="DD56" s="625"/>
      <c r="DE56" s="625"/>
      <c r="DF56" s="625"/>
      <c r="DG56" s="625"/>
      <c r="DH56" s="625"/>
      <c r="DI56" s="626"/>
      <c r="DJ56" s="630" t="s">
        <v>229</v>
      </c>
      <c r="DK56" s="631"/>
      <c r="DL56" s="631"/>
      <c r="DM56" s="631"/>
      <c r="DN56" s="631"/>
      <c r="DO56" s="631"/>
      <c r="DP56" s="631"/>
      <c r="DQ56" s="631"/>
      <c r="DR56" s="631"/>
      <c r="DS56" s="631"/>
      <c r="DT56" s="631"/>
      <c r="DU56" s="631"/>
      <c r="DV56" s="631"/>
      <c r="DW56" s="631"/>
      <c r="DX56" s="631"/>
      <c r="DY56" s="631"/>
      <c r="DZ56" s="631"/>
      <c r="EA56" s="631"/>
      <c r="EB56" s="631"/>
      <c r="EC56" s="631"/>
      <c r="ED56" s="631"/>
      <c r="EE56" s="631"/>
      <c r="EF56" s="631"/>
      <c r="EG56" s="631"/>
      <c r="EH56" s="631"/>
      <c r="EI56" s="631"/>
      <c r="EJ56" s="631"/>
      <c r="EK56" s="631"/>
      <c r="EL56" s="631"/>
      <c r="EM56" s="631"/>
      <c r="EN56" s="631"/>
      <c r="EO56" s="631"/>
      <c r="EP56" s="631"/>
      <c r="EQ56" s="631"/>
      <c r="ER56" s="631"/>
      <c r="ES56" s="631"/>
      <c r="ET56" s="631"/>
      <c r="EU56" s="631"/>
      <c r="EV56" s="631"/>
      <c r="EW56" s="631"/>
      <c r="EX56" s="631"/>
      <c r="EY56" s="631"/>
      <c r="EZ56" s="631"/>
      <c r="FA56" s="631"/>
      <c r="FB56" s="631"/>
      <c r="FC56" s="631"/>
      <c r="FD56" s="631"/>
      <c r="FE56" s="631"/>
      <c r="FF56" s="631"/>
      <c r="FG56" s="632"/>
    </row>
    <row r="57" spans="2:163" ht="8.65" customHeight="1">
      <c r="B57" s="645" t="s">
        <v>230</v>
      </c>
      <c r="C57" s="646"/>
      <c r="D57" s="646"/>
      <c r="E57" s="646"/>
      <c r="F57" s="646"/>
      <c r="G57" s="646"/>
      <c r="H57" s="646"/>
      <c r="I57" s="646"/>
      <c r="J57" s="646"/>
      <c r="K57" s="646"/>
      <c r="L57" s="646"/>
      <c r="M57" s="646"/>
      <c r="N57" s="646"/>
      <c r="O57" s="646"/>
      <c r="P57" s="646"/>
      <c r="Q57" s="646"/>
      <c r="R57" s="646"/>
      <c r="S57" s="646"/>
      <c r="T57" s="646"/>
      <c r="U57" s="646"/>
      <c r="V57" s="646"/>
      <c r="W57" s="646"/>
      <c r="X57" s="646"/>
      <c r="Y57" s="646"/>
      <c r="Z57" s="646"/>
      <c r="AA57" s="646"/>
      <c r="AB57" s="646"/>
      <c r="AC57" s="646"/>
      <c r="AD57" s="646"/>
      <c r="AE57" s="646"/>
      <c r="AF57" s="646"/>
      <c r="AG57" s="646"/>
      <c r="AH57" s="646"/>
      <c r="AI57" s="646"/>
      <c r="AJ57" s="646"/>
      <c r="AK57" s="646"/>
      <c r="AL57" s="646"/>
      <c r="AM57" s="646"/>
      <c r="AN57" s="646"/>
      <c r="AO57" s="646"/>
      <c r="AP57" s="646"/>
      <c r="AQ57" s="646"/>
      <c r="AR57" s="646"/>
      <c r="AS57" s="646"/>
      <c r="AT57" s="647"/>
      <c r="AU57" s="651" t="s">
        <v>252</v>
      </c>
      <c r="AV57" s="652"/>
      <c r="AW57" s="652"/>
      <c r="AX57" s="652"/>
      <c r="AY57" s="652"/>
      <c r="AZ57" s="652"/>
      <c r="BA57" s="652"/>
      <c r="BB57" s="652"/>
      <c r="BC57" s="652"/>
      <c r="BD57" s="652"/>
      <c r="BE57" s="652"/>
      <c r="BF57" s="652"/>
      <c r="BG57" s="652"/>
      <c r="BH57" s="652"/>
      <c r="BI57" s="652"/>
      <c r="BJ57" s="652"/>
      <c r="BK57" s="652"/>
      <c r="BL57" s="652"/>
      <c r="BM57" s="652"/>
      <c r="BN57" s="652"/>
      <c r="BO57" s="652"/>
      <c r="BP57" s="652"/>
      <c r="BQ57" s="652"/>
      <c r="BR57" s="652"/>
      <c r="BS57" s="652"/>
      <c r="BT57" s="652"/>
      <c r="BU57" s="652"/>
      <c r="BV57" s="652"/>
      <c r="BW57" s="652"/>
      <c r="BX57" s="653"/>
      <c r="BY57" s="657" t="s">
        <v>252</v>
      </c>
      <c r="BZ57" s="657"/>
      <c r="CA57" s="657"/>
      <c r="CB57" s="657"/>
      <c r="CC57" s="657"/>
      <c r="CD57" s="657"/>
      <c r="CE57" s="657"/>
      <c r="CF57" s="657"/>
      <c r="CG57" s="657"/>
      <c r="CH57" s="657"/>
      <c r="CI57" s="657"/>
      <c r="CJ57" s="657"/>
      <c r="CK57" s="657"/>
      <c r="CL57" s="657"/>
      <c r="CM57" s="657"/>
      <c r="CN57" s="657"/>
      <c r="CO57" s="657"/>
      <c r="CP57" s="657"/>
      <c r="CQ57" s="657"/>
      <c r="CR57" s="657"/>
      <c r="CS57" s="657"/>
      <c r="CT57" s="657"/>
      <c r="CU57" s="657"/>
      <c r="CV57" s="657"/>
      <c r="CW57" s="657"/>
      <c r="CX57" s="657"/>
      <c r="CY57" s="657"/>
      <c r="CZ57" s="657"/>
      <c r="DA57" s="657"/>
      <c r="DB57" s="657"/>
      <c r="DC57" s="657"/>
      <c r="DD57" s="657"/>
      <c r="DE57" s="657"/>
      <c r="DF57" s="657"/>
      <c r="DG57" s="657"/>
      <c r="DH57" s="657"/>
      <c r="DI57" s="658"/>
      <c r="DJ57" s="630"/>
      <c r="DK57" s="631"/>
      <c r="DL57" s="631"/>
      <c r="DM57" s="631"/>
      <c r="DN57" s="631"/>
      <c r="DO57" s="631"/>
      <c r="DP57" s="631"/>
      <c r="DQ57" s="631"/>
      <c r="DR57" s="631"/>
      <c r="DS57" s="631"/>
      <c r="DT57" s="631"/>
      <c r="DU57" s="631"/>
      <c r="DV57" s="631"/>
      <c r="DW57" s="631"/>
      <c r="DX57" s="631"/>
      <c r="DY57" s="631"/>
      <c r="DZ57" s="631"/>
      <c r="EA57" s="631"/>
      <c r="EB57" s="631"/>
      <c r="EC57" s="631"/>
      <c r="ED57" s="631"/>
      <c r="EE57" s="631"/>
      <c r="EF57" s="631"/>
      <c r="EG57" s="631"/>
      <c r="EH57" s="631"/>
      <c r="EI57" s="631"/>
      <c r="EJ57" s="631"/>
      <c r="EK57" s="631"/>
      <c r="EL57" s="631"/>
      <c r="EM57" s="631"/>
      <c r="EN57" s="631"/>
      <c r="EO57" s="631"/>
      <c r="EP57" s="631"/>
      <c r="EQ57" s="631"/>
      <c r="ER57" s="631"/>
      <c r="ES57" s="631"/>
      <c r="ET57" s="631"/>
      <c r="EU57" s="631"/>
      <c r="EV57" s="631"/>
      <c r="EW57" s="631"/>
      <c r="EX57" s="631"/>
      <c r="EY57" s="631"/>
      <c r="EZ57" s="631"/>
      <c r="FA57" s="631"/>
      <c r="FB57" s="631"/>
      <c r="FC57" s="631"/>
      <c r="FD57" s="631"/>
      <c r="FE57" s="631"/>
      <c r="FF57" s="631"/>
      <c r="FG57" s="632"/>
    </row>
    <row r="58" spans="2:163" ht="8.65" customHeight="1" thickBot="1">
      <c r="B58" s="648"/>
      <c r="C58" s="649"/>
      <c r="D58" s="649"/>
      <c r="E58" s="649"/>
      <c r="F58" s="649"/>
      <c r="G58" s="649"/>
      <c r="H58" s="649"/>
      <c r="I58" s="649"/>
      <c r="J58" s="649"/>
      <c r="K58" s="649"/>
      <c r="L58" s="649"/>
      <c r="M58" s="649"/>
      <c r="N58" s="649"/>
      <c r="O58" s="649"/>
      <c r="P58" s="649"/>
      <c r="Q58" s="649"/>
      <c r="R58" s="649"/>
      <c r="S58" s="649"/>
      <c r="T58" s="649"/>
      <c r="U58" s="649"/>
      <c r="V58" s="649"/>
      <c r="W58" s="649"/>
      <c r="X58" s="649"/>
      <c r="Y58" s="649"/>
      <c r="Z58" s="649"/>
      <c r="AA58" s="649"/>
      <c r="AB58" s="649"/>
      <c r="AC58" s="649"/>
      <c r="AD58" s="649"/>
      <c r="AE58" s="649"/>
      <c r="AF58" s="649"/>
      <c r="AG58" s="649"/>
      <c r="AH58" s="649"/>
      <c r="AI58" s="649"/>
      <c r="AJ58" s="649"/>
      <c r="AK58" s="649"/>
      <c r="AL58" s="649"/>
      <c r="AM58" s="649"/>
      <c r="AN58" s="649"/>
      <c r="AO58" s="649"/>
      <c r="AP58" s="649"/>
      <c r="AQ58" s="649"/>
      <c r="AR58" s="649"/>
      <c r="AS58" s="649"/>
      <c r="AT58" s="650"/>
      <c r="AU58" s="654"/>
      <c r="AV58" s="655"/>
      <c r="AW58" s="655"/>
      <c r="AX58" s="655"/>
      <c r="AY58" s="655"/>
      <c r="AZ58" s="655"/>
      <c r="BA58" s="655"/>
      <c r="BB58" s="655"/>
      <c r="BC58" s="655"/>
      <c r="BD58" s="655"/>
      <c r="BE58" s="655"/>
      <c r="BF58" s="655"/>
      <c r="BG58" s="655"/>
      <c r="BH58" s="655"/>
      <c r="BI58" s="655"/>
      <c r="BJ58" s="655"/>
      <c r="BK58" s="655"/>
      <c r="BL58" s="655"/>
      <c r="BM58" s="655"/>
      <c r="BN58" s="655"/>
      <c r="BO58" s="655"/>
      <c r="BP58" s="655"/>
      <c r="BQ58" s="655"/>
      <c r="BR58" s="655"/>
      <c r="BS58" s="655"/>
      <c r="BT58" s="655"/>
      <c r="BU58" s="655"/>
      <c r="BV58" s="655"/>
      <c r="BW58" s="655"/>
      <c r="BX58" s="656"/>
      <c r="BY58" s="659"/>
      <c r="BZ58" s="659"/>
      <c r="CA58" s="659"/>
      <c r="CB58" s="659"/>
      <c r="CC58" s="659"/>
      <c r="CD58" s="659"/>
      <c r="CE58" s="659"/>
      <c r="CF58" s="659"/>
      <c r="CG58" s="659"/>
      <c r="CH58" s="659"/>
      <c r="CI58" s="659"/>
      <c r="CJ58" s="659"/>
      <c r="CK58" s="659"/>
      <c r="CL58" s="659"/>
      <c r="CM58" s="659"/>
      <c r="CN58" s="659"/>
      <c r="CO58" s="659"/>
      <c r="CP58" s="659"/>
      <c r="CQ58" s="659"/>
      <c r="CR58" s="659"/>
      <c r="CS58" s="659"/>
      <c r="CT58" s="659"/>
      <c r="CU58" s="659"/>
      <c r="CV58" s="659"/>
      <c r="CW58" s="659"/>
      <c r="CX58" s="659"/>
      <c r="CY58" s="659"/>
      <c r="CZ58" s="659"/>
      <c r="DA58" s="659"/>
      <c r="DB58" s="659"/>
      <c r="DC58" s="659"/>
      <c r="DD58" s="659"/>
      <c r="DE58" s="659"/>
      <c r="DF58" s="659"/>
      <c r="DG58" s="659"/>
      <c r="DH58" s="659"/>
      <c r="DI58" s="660"/>
      <c r="DJ58" s="630"/>
      <c r="DK58" s="631"/>
      <c r="DL58" s="631"/>
      <c r="DM58" s="631"/>
      <c r="DN58" s="631"/>
      <c r="DO58" s="631"/>
      <c r="DP58" s="631"/>
      <c r="DQ58" s="631"/>
      <c r="DR58" s="631"/>
      <c r="DS58" s="631"/>
      <c r="DT58" s="631"/>
      <c r="DU58" s="631"/>
      <c r="DV58" s="631"/>
      <c r="DW58" s="631"/>
      <c r="DX58" s="631"/>
      <c r="DY58" s="631"/>
      <c r="DZ58" s="631"/>
      <c r="EA58" s="631"/>
      <c r="EB58" s="631"/>
      <c r="EC58" s="631"/>
      <c r="ED58" s="631"/>
      <c r="EE58" s="631"/>
      <c r="EF58" s="631"/>
      <c r="EG58" s="631"/>
      <c r="EH58" s="631"/>
      <c r="EI58" s="631"/>
      <c r="EJ58" s="631"/>
      <c r="EK58" s="631"/>
      <c r="EL58" s="631"/>
      <c r="EM58" s="631"/>
      <c r="EN58" s="631"/>
      <c r="EO58" s="631"/>
      <c r="EP58" s="631"/>
      <c r="EQ58" s="631"/>
      <c r="ER58" s="631"/>
      <c r="ES58" s="631"/>
      <c r="ET58" s="631"/>
      <c r="EU58" s="631"/>
      <c r="EV58" s="631"/>
      <c r="EW58" s="631"/>
      <c r="EX58" s="631"/>
      <c r="EY58" s="631"/>
      <c r="EZ58" s="631"/>
      <c r="FA58" s="631"/>
      <c r="FB58" s="631"/>
      <c r="FC58" s="631"/>
      <c r="FD58" s="631"/>
      <c r="FE58" s="631"/>
      <c r="FF58" s="631"/>
      <c r="FG58" s="632"/>
    </row>
    <row r="59" spans="2:163" ht="8.65" customHeight="1" thickTop="1">
      <c r="B59" s="390" t="s">
        <v>231</v>
      </c>
      <c r="C59" s="377"/>
      <c r="D59" s="377"/>
      <c r="E59" s="377"/>
      <c r="F59" s="377"/>
      <c r="G59" s="377"/>
      <c r="H59" s="377"/>
      <c r="I59" s="377"/>
      <c r="J59" s="377"/>
      <c r="K59" s="377"/>
      <c r="L59" s="377"/>
      <c r="M59" s="377"/>
      <c r="N59" s="377"/>
      <c r="O59" s="377"/>
      <c r="P59" s="377"/>
      <c r="Q59" s="377"/>
      <c r="R59" s="377"/>
      <c r="S59" s="377"/>
      <c r="T59" s="377"/>
      <c r="U59" s="377"/>
      <c r="V59" s="377"/>
      <c r="W59" s="377"/>
      <c r="X59" s="377"/>
      <c r="Y59" s="377"/>
      <c r="Z59" s="377"/>
      <c r="AA59" s="377"/>
      <c r="AB59" s="377"/>
      <c r="AC59" s="377"/>
      <c r="AD59" s="377"/>
      <c r="AE59" s="377"/>
      <c r="AF59" s="377"/>
      <c r="AG59" s="377"/>
      <c r="AH59" s="377"/>
      <c r="AI59" s="377"/>
      <c r="AJ59" s="377"/>
      <c r="AK59" s="377"/>
      <c r="AL59" s="377"/>
      <c r="AM59" s="377"/>
      <c r="AN59" s="377"/>
      <c r="AO59" s="377"/>
      <c r="AP59" s="377"/>
      <c r="AQ59" s="377"/>
      <c r="AR59" s="377"/>
      <c r="AS59" s="377"/>
      <c r="AT59" s="377"/>
      <c r="AU59" s="669" t="s">
        <v>254</v>
      </c>
      <c r="AV59" s="670"/>
      <c r="AW59" s="670"/>
      <c r="AX59" s="670"/>
      <c r="AY59" s="670"/>
      <c r="AZ59" s="670"/>
      <c r="BA59" s="670"/>
      <c r="BB59" s="670"/>
      <c r="BC59" s="670"/>
      <c r="BD59" s="670"/>
      <c r="BE59" s="670"/>
      <c r="BF59" s="670"/>
      <c r="BG59" s="670"/>
      <c r="BH59" s="670"/>
      <c r="BI59" s="670"/>
      <c r="BJ59" s="670"/>
      <c r="BK59" s="670"/>
      <c r="BL59" s="670"/>
      <c r="BM59" s="670"/>
      <c r="BN59" s="670"/>
      <c r="BO59" s="670"/>
      <c r="BP59" s="670"/>
      <c r="BQ59" s="670"/>
      <c r="BR59" s="670"/>
      <c r="BS59" s="670"/>
      <c r="BT59" s="670"/>
      <c r="BU59" s="670"/>
      <c r="BV59" s="670"/>
      <c r="BW59" s="670"/>
      <c r="BX59" s="671"/>
      <c r="BY59" s="669" t="s">
        <v>255</v>
      </c>
      <c r="BZ59" s="670"/>
      <c r="CA59" s="670"/>
      <c r="CB59" s="670"/>
      <c r="CC59" s="670"/>
      <c r="CD59" s="670"/>
      <c r="CE59" s="670"/>
      <c r="CF59" s="670"/>
      <c r="CG59" s="670"/>
      <c r="CH59" s="670"/>
      <c r="CI59" s="670"/>
      <c r="CJ59" s="670"/>
      <c r="CK59" s="670"/>
      <c r="CL59" s="670"/>
      <c r="CM59" s="670"/>
      <c r="CN59" s="670"/>
      <c r="CO59" s="670"/>
      <c r="CP59" s="670"/>
      <c r="CQ59" s="670"/>
      <c r="CR59" s="670"/>
      <c r="CS59" s="670"/>
      <c r="CT59" s="670"/>
      <c r="CU59" s="670"/>
      <c r="CV59" s="670"/>
      <c r="CW59" s="670"/>
      <c r="CX59" s="670"/>
      <c r="CY59" s="670"/>
      <c r="CZ59" s="670"/>
      <c r="DA59" s="670"/>
      <c r="DB59" s="670"/>
      <c r="DC59" s="670"/>
      <c r="DD59" s="670"/>
      <c r="DE59" s="670"/>
      <c r="DF59" s="670"/>
      <c r="DG59" s="670"/>
      <c r="DH59" s="670"/>
      <c r="DI59" s="671"/>
      <c r="DJ59" s="630" t="s">
        <v>236</v>
      </c>
      <c r="DK59" s="631"/>
      <c r="DL59" s="631"/>
      <c r="DM59" s="631"/>
      <c r="DN59" s="631"/>
      <c r="DO59" s="631"/>
      <c r="DP59" s="631"/>
      <c r="DQ59" s="631"/>
      <c r="DR59" s="631"/>
      <c r="DS59" s="631"/>
      <c r="DT59" s="631"/>
      <c r="DU59" s="631"/>
      <c r="DV59" s="631"/>
      <c r="DW59" s="631"/>
      <c r="DX59" s="631"/>
      <c r="DY59" s="631"/>
      <c r="DZ59" s="631"/>
      <c r="EA59" s="631"/>
      <c r="EB59" s="631"/>
      <c r="EC59" s="631"/>
      <c r="ED59" s="631"/>
      <c r="EE59" s="631"/>
      <c r="EF59" s="631"/>
      <c r="EG59" s="631"/>
      <c r="EH59" s="631"/>
      <c r="EI59" s="631"/>
      <c r="EJ59" s="631"/>
      <c r="EK59" s="631"/>
      <c r="EL59" s="631"/>
      <c r="EM59" s="631"/>
      <c r="EN59" s="631"/>
      <c r="EO59" s="631"/>
      <c r="EP59" s="631"/>
      <c r="EQ59" s="631"/>
      <c r="ER59" s="631"/>
      <c r="ES59" s="631"/>
      <c r="ET59" s="631"/>
      <c r="EU59" s="631"/>
      <c r="EV59" s="631"/>
      <c r="EW59" s="631"/>
      <c r="EX59" s="631"/>
      <c r="EY59" s="631"/>
      <c r="EZ59" s="631"/>
      <c r="FA59" s="631"/>
      <c r="FB59" s="631"/>
      <c r="FC59" s="631"/>
      <c r="FD59" s="631"/>
      <c r="FE59" s="631"/>
      <c r="FF59" s="631"/>
      <c r="FG59" s="632"/>
    </row>
    <row r="60" spans="2:163" ht="8.65" customHeight="1">
      <c r="B60" s="391"/>
      <c r="C60" s="380"/>
      <c r="D60" s="380"/>
      <c r="E60" s="380"/>
      <c r="F60" s="380"/>
      <c r="G60" s="380"/>
      <c r="H60" s="380"/>
      <c r="I60" s="380"/>
      <c r="J60" s="380"/>
      <c r="K60" s="380"/>
      <c r="L60" s="380"/>
      <c r="M60" s="380"/>
      <c r="N60" s="380"/>
      <c r="O60" s="380"/>
      <c r="P60" s="380"/>
      <c r="Q60" s="380"/>
      <c r="R60" s="380"/>
      <c r="S60" s="380"/>
      <c r="T60" s="380"/>
      <c r="U60" s="380"/>
      <c r="V60" s="380"/>
      <c r="W60" s="380"/>
      <c r="X60" s="380"/>
      <c r="Y60" s="380"/>
      <c r="Z60" s="380"/>
      <c r="AA60" s="380"/>
      <c r="AB60" s="380"/>
      <c r="AC60" s="380"/>
      <c r="AD60" s="380"/>
      <c r="AE60" s="380"/>
      <c r="AF60" s="380"/>
      <c r="AG60" s="380"/>
      <c r="AH60" s="380"/>
      <c r="AI60" s="380"/>
      <c r="AJ60" s="380"/>
      <c r="AK60" s="380"/>
      <c r="AL60" s="380"/>
      <c r="AM60" s="380"/>
      <c r="AN60" s="380"/>
      <c r="AO60" s="380"/>
      <c r="AP60" s="380"/>
      <c r="AQ60" s="380"/>
      <c r="AR60" s="380"/>
      <c r="AS60" s="380"/>
      <c r="AT60" s="380"/>
      <c r="AU60" s="672"/>
      <c r="AV60" s="673"/>
      <c r="AW60" s="673"/>
      <c r="AX60" s="673"/>
      <c r="AY60" s="673"/>
      <c r="AZ60" s="673"/>
      <c r="BA60" s="673"/>
      <c r="BB60" s="673"/>
      <c r="BC60" s="673"/>
      <c r="BD60" s="673"/>
      <c r="BE60" s="673"/>
      <c r="BF60" s="673"/>
      <c r="BG60" s="673"/>
      <c r="BH60" s="673"/>
      <c r="BI60" s="673"/>
      <c r="BJ60" s="673"/>
      <c r="BK60" s="673"/>
      <c r="BL60" s="673"/>
      <c r="BM60" s="673"/>
      <c r="BN60" s="673"/>
      <c r="BO60" s="673"/>
      <c r="BP60" s="673"/>
      <c r="BQ60" s="673"/>
      <c r="BR60" s="673"/>
      <c r="BS60" s="673"/>
      <c r="BT60" s="673"/>
      <c r="BU60" s="673"/>
      <c r="BV60" s="673"/>
      <c r="BW60" s="673"/>
      <c r="BX60" s="674"/>
      <c r="BY60" s="672"/>
      <c r="BZ60" s="673"/>
      <c r="CA60" s="673"/>
      <c r="CB60" s="673"/>
      <c r="CC60" s="673"/>
      <c r="CD60" s="673"/>
      <c r="CE60" s="673"/>
      <c r="CF60" s="673"/>
      <c r="CG60" s="673"/>
      <c r="CH60" s="673"/>
      <c r="CI60" s="673"/>
      <c r="CJ60" s="673"/>
      <c r="CK60" s="673"/>
      <c r="CL60" s="673"/>
      <c r="CM60" s="673"/>
      <c r="CN60" s="673"/>
      <c r="CO60" s="673"/>
      <c r="CP60" s="673"/>
      <c r="CQ60" s="673"/>
      <c r="CR60" s="673"/>
      <c r="CS60" s="673"/>
      <c r="CT60" s="673"/>
      <c r="CU60" s="673"/>
      <c r="CV60" s="673"/>
      <c r="CW60" s="673"/>
      <c r="CX60" s="673"/>
      <c r="CY60" s="673"/>
      <c r="CZ60" s="673"/>
      <c r="DA60" s="673"/>
      <c r="DB60" s="673"/>
      <c r="DC60" s="673"/>
      <c r="DD60" s="673"/>
      <c r="DE60" s="673"/>
      <c r="DF60" s="673"/>
      <c r="DG60" s="673"/>
      <c r="DH60" s="673"/>
      <c r="DI60" s="674"/>
      <c r="DJ60" s="630"/>
      <c r="DK60" s="631"/>
      <c r="DL60" s="631"/>
      <c r="DM60" s="631"/>
      <c r="DN60" s="631"/>
      <c r="DO60" s="631"/>
      <c r="DP60" s="631"/>
      <c r="DQ60" s="631"/>
      <c r="DR60" s="631"/>
      <c r="DS60" s="631"/>
      <c r="DT60" s="631"/>
      <c r="DU60" s="631"/>
      <c r="DV60" s="631"/>
      <c r="DW60" s="631"/>
      <c r="DX60" s="631"/>
      <c r="DY60" s="631"/>
      <c r="DZ60" s="631"/>
      <c r="EA60" s="631"/>
      <c r="EB60" s="631"/>
      <c r="EC60" s="631"/>
      <c r="ED60" s="631"/>
      <c r="EE60" s="631"/>
      <c r="EF60" s="631"/>
      <c r="EG60" s="631"/>
      <c r="EH60" s="631"/>
      <c r="EI60" s="631"/>
      <c r="EJ60" s="631"/>
      <c r="EK60" s="631"/>
      <c r="EL60" s="631"/>
      <c r="EM60" s="631"/>
      <c r="EN60" s="631"/>
      <c r="EO60" s="631"/>
      <c r="EP60" s="631"/>
      <c r="EQ60" s="631"/>
      <c r="ER60" s="631"/>
      <c r="ES60" s="631"/>
      <c r="ET60" s="631"/>
      <c r="EU60" s="631"/>
      <c r="EV60" s="631"/>
      <c r="EW60" s="631"/>
      <c r="EX60" s="631"/>
      <c r="EY60" s="631"/>
      <c r="EZ60" s="631"/>
      <c r="FA60" s="631"/>
      <c r="FB60" s="631"/>
      <c r="FC60" s="631"/>
      <c r="FD60" s="631"/>
      <c r="FE60" s="631"/>
      <c r="FF60" s="631"/>
      <c r="FG60" s="632"/>
    </row>
    <row r="61" spans="2:163" ht="8.65" customHeight="1">
      <c r="B61" s="391"/>
      <c r="C61" s="380"/>
      <c r="D61" s="380"/>
      <c r="E61" s="380"/>
      <c r="F61" s="380"/>
      <c r="G61" s="380"/>
      <c r="H61" s="380"/>
      <c r="I61" s="380"/>
      <c r="J61" s="380"/>
      <c r="K61" s="380"/>
      <c r="L61" s="380"/>
      <c r="M61" s="380"/>
      <c r="N61" s="380"/>
      <c r="O61" s="380"/>
      <c r="P61" s="380"/>
      <c r="Q61" s="380"/>
      <c r="R61" s="380"/>
      <c r="S61" s="380"/>
      <c r="T61" s="380"/>
      <c r="U61" s="380"/>
      <c r="V61" s="380"/>
      <c r="W61" s="380"/>
      <c r="X61" s="380"/>
      <c r="Y61" s="380"/>
      <c r="Z61" s="380"/>
      <c r="AA61" s="380"/>
      <c r="AB61" s="380"/>
      <c r="AC61" s="380"/>
      <c r="AD61" s="380"/>
      <c r="AE61" s="380"/>
      <c r="AF61" s="380"/>
      <c r="AG61" s="380"/>
      <c r="AH61" s="380"/>
      <c r="AI61" s="380"/>
      <c r="AJ61" s="380"/>
      <c r="AK61" s="380"/>
      <c r="AL61" s="380"/>
      <c r="AM61" s="380"/>
      <c r="AN61" s="380"/>
      <c r="AO61" s="380"/>
      <c r="AP61" s="380"/>
      <c r="AQ61" s="380"/>
      <c r="AR61" s="380"/>
      <c r="AS61" s="380"/>
      <c r="AT61" s="380"/>
      <c r="AU61" s="672"/>
      <c r="AV61" s="673"/>
      <c r="AW61" s="673"/>
      <c r="AX61" s="673"/>
      <c r="AY61" s="673"/>
      <c r="AZ61" s="673"/>
      <c r="BA61" s="673"/>
      <c r="BB61" s="673"/>
      <c r="BC61" s="673"/>
      <c r="BD61" s="673"/>
      <c r="BE61" s="673"/>
      <c r="BF61" s="673"/>
      <c r="BG61" s="673"/>
      <c r="BH61" s="673"/>
      <c r="BI61" s="673"/>
      <c r="BJ61" s="673"/>
      <c r="BK61" s="673"/>
      <c r="BL61" s="673"/>
      <c r="BM61" s="673"/>
      <c r="BN61" s="673"/>
      <c r="BO61" s="673"/>
      <c r="BP61" s="673"/>
      <c r="BQ61" s="673"/>
      <c r="BR61" s="673"/>
      <c r="BS61" s="673"/>
      <c r="BT61" s="673"/>
      <c r="BU61" s="673"/>
      <c r="BV61" s="673"/>
      <c r="BW61" s="673"/>
      <c r="BX61" s="674"/>
      <c r="BY61" s="672"/>
      <c r="BZ61" s="673"/>
      <c r="CA61" s="673"/>
      <c r="CB61" s="673"/>
      <c r="CC61" s="673"/>
      <c r="CD61" s="673"/>
      <c r="CE61" s="673"/>
      <c r="CF61" s="673"/>
      <c r="CG61" s="673"/>
      <c r="CH61" s="673"/>
      <c r="CI61" s="673"/>
      <c r="CJ61" s="673"/>
      <c r="CK61" s="673"/>
      <c r="CL61" s="673"/>
      <c r="CM61" s="673"/>
      <c r="CN61" s="673"/>
      <c r="CO61" s="673"/>
      <c r="CP61" s="673"/>
      <c r="CQ61" s="673"/>
      <c r="CR61" s="673"/>
      <c r="CS61" s="673"/>
      <c r="CT61" s="673"/>
      <c r="CU61" s="673"/>
      <c r="CV61" s="673"/>
      <c r="CW61" s="673"/>
      <c r="CX61" s="673"/>
      <c r="CY61" s="673"/>
      <c r="CZ61" s="673"/>
      <c r="DA61" s="673"/>
      <c r="DB61" s="673"/>
      <c r="DC61" s="673"/>
      <c r="DD61" s="673"/>
      <c r="DE61" s="673"/>
      <c r="DF61" s="673"/>
      <c r="DG61" s="673"/>
      <c r="DH61" s="673"/>
      <c r="DI61" s="674"/>
      <c r="DJ61" s="630"/>
      <c r="DK61" s="631"/>
      <c r="DL61" s="631"/>
      <c r="DM61" s="631"/>
      <c r="DN61" s="631"/>
      <c r="DO61" s="631"/>
      <c r="DP61" s="631"/>
      <c r="DQ61" s="631"/>
      <c r="DR61" s="631"/>
      <c r="DS61" s="631"/>
      <c r="DT61" s="631"/>
      <c r="DU61" s="631"/>
      <c r="DV61" s="631"/>
      <c r="DW61" s="631"/>
      <c r="DX61" s="631"/>
      <c r="DY61" s="631"/>
      <c r="DZ61" s="631"/>
      <c r="EA61" s="631"/>
      <c r="EB61" s="631"/>
      <c r="EC61" s="631"/>
      <c r="ED61" s="631"/>
      <c r="EE61" s="631"/>
      <c r="EF61" s="631"/>
      <c r="EG61" s="631"/>
      <c r="EH61" s="631"/>
      <c r="EI61" s="631"/>
      <c r="EJ61" s="631"/>
      <c r="EK61" s="631"/>
      <c r="EL61" s="631"/>
      <c r="EM61" s="631"/>
      <c r="EN61" s="631"/>
      <c r="EO61" s="631"/>
      <c r="EP61" s="631"/>
      <c r="EQ61" s="631"/>
      <c r="ER61" s="631"/>
      <c r="ES61" s="631"/>
      <c r="ET61" s="631"/>
      <c r="EU61" s="631"/>
      <c r="EV61" s="631"/>
      <c r="EW61" s="631"/>
      <c r="EX61" s="631"/>
      <c r="EY61" s="631"/>
      <c r="EZ61" s="631"/>
      <c r="FA61" s="631"/>
      <c r="FB61" s="631"/>
      <c r="FC61" s="631"/>
      <c r="FD61" s="631"/>
      <c r="FE61" s="631"/>
      <c r="FF61" s="631"/>
      <c r="FG61" s="632"/>
    </row>
    <row r="62" spans="2:163" ht="8.65" customHeight="1">
      <c r="B62" s="599"/>
      <c r="C62" s="600"/>
      <c r="D62" s="600"/>
      <c r="E62" s="600"/>
      <c r="F62" s="600"/>
      <c r="G62" s="600"/>
      <c r="H62" s="600"/>
      <c r="I62" s="600"/>
      <c r="J62" s="600"/>
      <c r="K62" s="600"/>
      <c r="L62" s="600"/>
      <c r="M62" s="600"/>
      <c r="N62" s="600"/>
      <c r="O62" s="600"/>
      <c r="P62" s="600"/>
      <c r="Q62" s="600"/>
      <c r="R62" s="600"/>
      <c r="S62" s="600"/>
      <c r="T62" s="600"/>
      <c r="U62" s="600"/>
      <c r="V62" s="600"/>
      <c r="W62" s="600"/>
      <c r="X62" s="600"/>
      <c r="Y62" s="600"/>
      <c r="Z62" s="600"/>
      <c r="AA62" s="600"/>
      <c r="AB62" s="600"/>
      <c r="AC62" s="600"/>
      <c r="AD62" s="600"/>
      <c r="AE62" s="600"/>
      <c r="AF62" s="600"/>
      <c r="AG62" s="600"/>
      <c r="AH62" s="600"/>
      <c r="AI62" s="600"/>
      <c r="AJ62" s="600"/>
      <c r="AK62" s="600"/>
      <c r="AL62" s="600"/>
      <c r="AM62" s="600"/>
      <c r="AN62" s="600"/>
      <c r="AO62" s="600"/>
      <c r="AP62" s="600"/>
      <c r="AQ62" s="600"/>
      <c r="AR62" s="600"/>
      <c r="AS62" s="600"/>
      <c r="AT62" s="600"/>
      <c r="AU62" s="672"/>
      <c r="AV62" s="673"/>
      <c r="AW62" s="673"/>
      <c r="AX62" s="673"/>
      <c r="AY62" s="673"/>
      <c r="AZ62" s="673"/>
      <c r="BA62" s="673"/>
      <c r="BB62" s="673"/>
      <c r="BC62" s="673"/>
      <c r="BD62" s="673"/>
      <c r="BE62" s="673"/>
      <c r="BF62" s="673"/>
      <c r="BG62" s="673"/>
      <c r="BH62" s="673"/>
      <c r="BI62" s="673"/>
      <c r="BJ62" s="673"/>
      <c r="BK62" s="673"/>
      <c r="BL62" s="673"/>
      <c r="BM62" s="673"/>
      <c r="BN62" s="673"/>
      <c r="BO62" s="673"/>
      <c r="BP62" s="673"/>
      <c r="BQ62" s="673"/>
      <c r="BR62" s="673"/>
      <c r="BS62" s="673"/>
      <c r="BT62" s="673"/>
      <c r="BU62" s="673"/>
      <c r="BV62" s="673"/>
      <c r="BW62" s="673"/>
      <c r="BX62" s="674"/>
      <c r="BY62" s="672"/>
      <c r="BZ62" s="673"/>
      <c r="CA62" s="673"/>
      <c r="CB62" s="673"/>
      <c r="CC62" s="673"/>
      <c r="CD62" s="673"/>
      <c r="CE62" s="673"/>
      <c r="CF62" s="673"/>
      <c r="CG62" s="673"/>
      <c r="CH62" s="673"/>
      <c r="CI62" s="673"/>
      <c r="CJ62" s="673"/>
      <c r="CK62" s="673"/>
      <c r="CL62" s="673"/>
      <c r="CM62" s="673"/>
      <c r="CN62" s="673"/>
      <c r="CO62" s="673"/>
      <c r="CP62" s="673"/>
      <c r="CQ62" s="673"/>
      <c r="CR62" s="673"/>
      <c r="CS62" s="673"/>
      <c r="CT62" s="673"/>
      <c r="CU62" s="673"/>
      <c r="CV62" s="673"/>
      <c r="CW62" s="673"/>
      <c r="CX62" s="673"/>
      <c r="CY62" s="673"/>
      <c r="CZ62" s="673"/>
      <c r="DA62" s="673"/>
      <c r="DB62" s="673"/>
      <c r="DC62" s="673"/>
      <c r="DD62" s="673"/>
      <c r="DE62" s="673"/>
      <c r="DF62" s="673"/>
      <c r="DG62" s="673"/>
      <c r="DH62" s="673"/>
      <c r="DI62" s="674"/>
      <c r="DJ62" s="675" t="s">
        <v>237</v>
      </c>
      <c r="DK62" s="676"/>
      <c r="DL62" s="676"/>
      <c r="DM62" s="676"/>
      <c r="DN62" s="676"/>
      <c r="DO62" s="676"/>
      <c r="DP62" s="676"/>
      <c r="DQ62" s="676"/>
      <c r="DR62" s="676"/>
      <c r="DS62" s="676"/>
      <c r="DT62" s="676"/>
      <c r="DU62" s="676"/>
      <c r="DV62" s="676"/>
      <c r="DW62" s="676"/>
      <c r="DX62" s="676"/>
      <c r="DY62" s="676"/>
      <c r="DZ62" s="676"/>
      <c r="EA62" s="676"/>
      <c r="EB62" s="676"/>
      <c r="EC62" s="676"/>
      <c r="ED62" s="676"/>
      <c r="EE62" s="676"/>
      <c r="EF62" s="676"/>
      <c r="EG62" s="676"/>
      <c r="EH62" s="676"/>
      <c r="EI62" s="676"/>
      <c r="EJ62" s="676"/>
      <c r="EK62" s="676"/>
      <c r="EL62" s="676"/>
      <c r="EM62" s="676"/>
      <c r="EN62" s="676"/>
      <c r="EO62" s="676"/>
      <c r="EP62" s="676"/>
      <c r="EQ62" s="676"/>
      <c r="ER62" s="676"/>
      <c r="ES62" s="676"/>
      <c r="ET62" s="676"/>
      <c r="EU62" s="676"/>
      <c r="EV62" s="676"/>
      <c r="EW62" s="676"/>
      <c r="EX62" s="676"/>
      <c r="EY62" s="676"/>
      <c r="EZ62" s="676"/>
      <c r="FA62" s="676"/>
      <c r="FB62" s="676"/>
      <c r="FC62" s="676"/>
      <c r="FD62" s="676"/>
      <c r="FE62" s="676"/>
      <c r="FF62" s="676"/>
      <c r="FG62" s="677"/>
    </row>
    <row r="63" spans="2:163" ht="8.65" customHeight="1">
      <c r="B63" s="678" t="s">
        <v>238</v>
      </c>
      <c r="C63" s="679"/>
      <c r="D63" s="679"/>
      <c r="E63" s="679"/>
      <c r="F63" s="679"/>
      <c r="G63" s="679"/>
      <c r="H63" s="679"/>
      <c r="I63" s="679"/>
      <c r="J63" s="679"/>
      <c r="K63" s="679"/>
      <c r="L63" s="679"/>
      <c r="M63" s="679"/>
      <c r="N63" s="679"/>
      <c r="O63" s="679"/>
      <c r="P63" s="679"/>
      <c r="Q63" s="679"/>
      <c r="R63" s="679"/>
      <c r="S63" s="679"/>
      <c r="T63" s="679"/>
      <c r="U63" s="679"/>
      <c r="V63" s="679"/>
      <c r="W63" s="679"/>
      <c r="X63" s="679"/>
      <c r="Y63" s="679"/>
      <c r="Z63" s="679"/>
      <c r="AA63" s="679"/>
      <c r="AB63" s="679"/>
      <c r="AC63" s="679"/>
      <c r="AD63" s="679"/>
      <c r="AE63" s="679"/>
      <c r="AF63" s="679"/>
      <c r="AG63" s="679"/>
      <c r="AH63" s="679"/>
      <c r="AI63" s="679"/>
      <c r="AJ63" s="679"/>
      <c r="AK63" s="679"/>
      <c r="AL63" s="679"/>
      <c r="AM63" s="679"/>
      <c r="AN63" s="679"/>
      <c r="AO63" s="679"/>
      <c r="AP63" s="679"/>
      <c r="AQ63" s="679"/>
      <c r="AR63" s="679"/>
      <c r="AS63" s="679"/>
      <c r="AT63" s="680"/>
      <c r="AU63" s="678" t="s">
        <v>177</v>
      </c>
      <c r="AV63" s="679"/>
      <c r="AW63" s="679"/>
      <c r="AX63" s="679"/>
      <c r="AY63" s="679"/>
      <c r="AZ63" s="679"/>
      <c r="BA63" s="679"/>
      <c r="BB63" s="679"/>
      <c r="BC63" s="679"/>
      <c r="BD63" s="679"/>
      <c r="BE63" s="679"/>
      <c r="BF63" s="679"/>
      <c r="BG63" s="679"/>
      <c r="BH63" s="679"/>
      <c r="BI63" s="679"/>
      <c r="BJ63" s="679"/>
      <c r="BK63" s="679"/>
      <c r="BL63" s="679"/>
      <c r="BM63" s="679"/>
      <c r="BN63" s="679"/>
      <c r="BO63" s="679"/>
      <c r="BP63" s="679"/>
      <c r="BQ63" s="679"/>
      <c r="BR63" s="679"/>
      <c r="BS63" s="679"/>
      <c r="BT63" s="679"/>
      <c r="BU63" s="679"/>
      <c r="BV63" s="679"/>
      <c r="BW63" s="679"/>
      <c r="BX63" s="681"/>
      <c r="BY63" s="678" t="s">
        <v>177</v>
      </c>
      <c r="BZ63" s="679"/>
      <c r="CA63" s="679"/>
      <c r="CB63" s="679"/>
      <c r="CC63" s="679"/>
      <c r="CD63" s="679"/>
      <c r="CE63" s="679"/>
      <c r="CF63" s="679"/>
      <c r="CG63" s="679"/>
      <c r="CH63" s="679"/>
      <c r="CI63" s="679"/>
      <c r="CJ63" s="679"/>
      <c r="CK63" s="679"/>
      <c r="CL63" s="679"/>
      <c r="CM63" s="679"/>
      <c r="CN63" s="679"/>
      <c r="CO63" s="679"/>
      <c r="CP63" s="679"/>
      <c r="CQ63" s="679"/>
      <c r="CR63" s="679"/>
      <c r="CS63" s="679"/>
      <c r="CT63" s="679"/>
      <c r="CU63" s="679"/>
      <c r="CV63" s="679"/>
      <c r="CW63" s="679"/>
      <c r="CX63" s="679"/>
      <c r="CY63" s="679"/>
      <c r="CZ63" s="679"/>
      <c r="DA63" s="679"/>
      <c r="DB63" s="679"/>
      <c r="DC63" s="679"/>
      <c r="DD63" s="679"/>
      <c r="DE63" s="679"/>
      <c r="DF63" s="679"/>
      <c r="DG63" s="679"/>
      <c r="DH63" s="679"/>
      <c r="DI63" s="681"/>
      <c r="DJ63" s="675"/>
      <c r="DK63" s="676"/>
      <c r="DL63" s="676"/>
      <c r="DM63" s="676"/>
      <c r="DN63" s="676"/>
      <c r="DO63" s="676"/>
      <c r="DP63" s="676"/>
      <c r="DQ63" s="676"/>
      <c r="DR63" s="676"/>
      <c r="DS63" s="676"/>
      <c r="DT63" s="676"/>
      <c r="DU63" s="676"/>
      <c r="DV63" s="676"/>
      <c r="DW63" s="676"/>
      <c r="DX63" s="676"/>
      <c r="DY63" s="676"/>
      <c r="DZ63" s="676"/>
      <c r="EA63" s="676"/>
      <c r="EB63" s="676"/>
      <c r="EC63" s="676"/>
      <c r="ED63" s="676"/>
      <c r="EE63" s="676"/>
      <c r="EF63" s="676"/>
      <c r="EG63" s="676"/>
      <c r="EH63" s="676"/>
      <c r="EI63" s="676"/>
      <c r="EJ63" s="676"/>
      <c r="EK63" s="676"/>
      <c r="EL63" s="676"/>
      <c r="EM63" s="676"/>
      <c r="EN63" s="676"/>
      <c r="EO63" s="676"/>
      <c r="EP63" s="676"/>
      <c r="EQ63" s="676"/>
      <c r="ER63" s="676"/>
      <c r="ES63" s="676"/>
      <c r="ET63" s="676"/>
      <c r="EU63" s="676"/>
      <c r="EV63" s="676"/>
      <c r="EW63" s="676"/>
      <c r="EX63" s="676"/>
      <c r="EY63" s="676"/>
      <c r="EZ63" s="676"/>
      <c r="FA63" s="676"/>
      <c r="FB63" s="676"/>
      <c r="FC63" s="676"/>
      <c r="FD63" s="676"/>
      <c r="FE63" s="676"/>
      <c r="FF63" s="676"/>
      <c r="FG63" s="677"/>
    </row>
    <row r="64" spans="2:163" ht="8.65" customHeight="1">
      <c r="B64" s="678"/>
      <c r="C64" s="679"/>
      <c r="D64" s="679"/>
      <c r="E64" s="679"/>
      <c r="F64" s="679"/>
      <c r="G64" s="679"/>
      <c r="H64" s="679"/>
      <c r="I64" s="679"/>
      <c r="J64" s="679"/>
      <c r="K64" s="679"/>
      <c r="L64" s="679"/>
      <c r="M64" s="679"/>
      <c r="N64" s="679"/>
      <c r="O64" s="679"/>
      <c r="P64" s="679"/>
      <c r="Q64" s="679"/>
      <c r="R64" s="679"/>
      <c r="S64" s="679"/>
      <c r="T64" s="679"/>
      <c r="U64" s="679"/>
      <c r="V64" s="679"/>
      <c r="W64" s="679"/>
      <c r="X64" s="679"/>
      <c r="Y64" s="679"/>
      <c r="Z64" s="679"/>
      <c r="AA64" s="679"/>
      <c r="AB64" s="679"/>
      <c r="AC64" s="679"/>
      <c r="AD64" s="679"/>
      <c r="AE64" s="679"/>
      <c r="AF64" s="679"/>
      <c r="AG64" s="679"/>
      <c r="AH64" s="679"/>
      <c r="AI64" s="679"/>
      <c r="AJ64" s="679"/>
      <c r="AK64" s="679"/>
      <c r="AL64" s="679"/>
      <c r="AM64" s="679"/>
      <c r="AN64" s="679"/>
      <c r="AO64" s="679"/>
      <c r="AP64" s="679"/>
      <c r="AQ64" s="679"/>
      <c r="AR64" s="679"/>
      <c r="AS64" s="679"/>
      <c r="AT64" s="680"/>
      <c r="AU64" s="678"/>
      <c r="AV64" s="679"/>
      <c r="AW64" s="679"/>
      <c r="AX64" s="679"/>
      <c r="AY64" s="679"/>
      <c r="AZ64" s="679"/>
      <c r="BA64" s="679"/>
      <c r="BB64" s="679"/>
      <c r="BC64" s="679"/>
      <c r="BD64" s="679"/>
      <c r="BE64" s="679"/>
      <c r="BF64" s="679"/>
      <c r="BG64" s="679"/>
      <c r="BH64" s="679"/>
      <c r="BI64" s="679"/>
      <c r="BJ64" s="679"/>
      <c r="BK64" s="679"/>
      <c r="BL64" s="679"/>
      <c r="BM64" s="679"/>
      <c r="BN64" s="679"/>
      <c r="BO64" s="679"/>
      <c r="BP64" s="679"/>
      <c r="BQ64" s="679"/>
      <c r="BR64" s="679"/>
      <c r="BS64" s="679"/>
      <c r="BT64" s="679"/>
      <c r="BU64" s="679"/>
      <c r="BV64" s="679"/>
      <c r="BW64" s="679"/>
      <c r="BX64" s="681"/>
      <c r="BY64" s="678"/>
      <c r="BZ64" s="679"/>
      <c r="CA64" s="679"/>
      <c r="CB64" s="679"/>
      <c r="CC64" s="679"/>
      <c r="CD64" s="679"/>
      <c r="CE64" s="679"/>
      <c r="CF64" s="679"/>
      <c r="CG64" s="679"/>
      <c r="CH64" s="679"/>
      <c r="CI64" s="679"/>
      <c r="CJ64" s="679"/>
      <c r="CK64" s="679"/>
      <c r="CL64" s="679"/>
      <c r="CM64" s="679"/>
      <c r="CN64" s="679"/>
      <c r="CO64" s="679"/>
      <c r="CP64" s="679"/>
      <c r="CQ64" s="679"/>
      <c r="CR64" s="679"/>
      <c r="CS64" s="679"/>
      <c r="CT64" s="679"/>
      <c r="CU64" s="679"/>
      <c r="CV64" s="679"/>
      <c r="CW64" s="679"/>
      <c r="CX64" s="679"/>
      <c r="CY64" s="679"/>
      <c r="CZ64" s="679"/>
      <c r="DA64" s="679"/>
      <c r="DB64" s="679"/>
      <c r="DC64" s="679"/>
      <c r="DD64" s="679"/>
      <c r="DE64" s="679"/>
      <c r="DF64" s="679"/>
      <c r="DG64" s="679"/>
      <c r="DH64" s="679"/>
      <c r="DI64" s="681"/>
      <c r="DJ64" s="675"/>
      <c r="DK64" s="676"/>
      <c r="DL64" s="676"/>
      <c r="DM64" s="676"/>
      <c r="DN64" s="676"/>
      <c r="DO64" s="676"/>
      <c r="DP64" s="676"/>
      <c r="DQ64" s="676"/>
      <c r="DR64" s="676"/>
      <c r="DS64" s="676"/>
      <c r="DT64" s="676"/>
      <c r="DU64" s="676"/>
      <c r="DV64" s="676"/>
      <c r="DW64" s="676"/>
      <c r="DX64" s="676"/>
      <c r="DY64" s="676"/>
      <c r="DZ64" s="676"/>
      <c r="EA64" s="676"/>
      <c r="EB64" s="676"/>
      <c r="EC64" s="676"/>
      <c r="ED64" s="676"/>
      <c r="EE64" s="676"/>
      <c r="EF64" s="676"/>
      <c r="EG64" s="676"/>
      <c r="EH64" s="676"/>
      <c r="EI64" s="676"/>
      <c r="EJ64" s="676"/>
      <c r="EK64" s="676"/>
      <c r="EL64" s="676"/>
      <c r="EM64" s="676"/>
      <c r="EN64" s="676"/>
      <c r="EO64" s="676"/>
      <c r="EP64" s="676"/>
      <c r="EQ64" s="676"/>
      <c r="ER64" s="676"/>
      <c r="ES64" s="676"/>
      <c r="ET64" s="676"/>
      <c r="EU64" s="676"/>
      <c r="EV64" s="676"/>
      <c r="EW64" s="676"/>
      <c r="EX64" s="676"/>
      <c r="EY64" s="676"/>
      <c r="EZ64" s="676"/>
      <c r="FA64" s="676"/>
      <c r="FB64" s="676"/>
      <c r="FC64" s="676"/>
      <c r="FD64" s="676"/>
      <c r="FE64" s="676"/>
      <c r="FF64" s="676"/>
      <c r="FG64" s="677"/>
    </row>
    <row r="65" spans="2:163" ht="8.65" customHeight="1">
      <c r="B65" s="678" t="s">
        <v>243</v>
      </c>
      <c r="C65" s="679"/>
      <c r="D65" s="679"/>
      <c r="E65" s="679"/>
      <c r="F65" s="679"/>
      <c r="G65" s="679"/>
      <c r="H65" s="679"/>
      <c r="I65" s="679"/>
      <c r="J65" s="679"/>
      <c r="K65" s="679"/>
      <c r="L65" s="679"/>
      <c r="M65" s="679"/>
      <c r="N65" s="679"/>
      <c r="O65" s="679"/>
      <c r="P65" s="679"/>
      <c r="Q65" s="679"/>
      <c r="R65" s="679"/>
      <c r="S65" s="679"/>
      <c r="T65" s="679"/>
      <c r="U65" s="679"/>
      <c r="V65" s="679"/>
      <c r="W65" s="679"/>
      <c r="X65" s="679"/>
      <c r="Y65" s="679"/>
      <c r="Z65" s="679"/>
      <c r="AA65" s="679"/>
      <c r="AB65" s="679"/>
      <c r="AC65" s="679"/>
      <c r="AD65" s="679"/>
      <c r="AE65" s="679"/>
      <c r="AF65" s="679"/>
      <c r="AG65" s="679"/>
      <c r="AH65" s="682" t="s">
        <v>195</v>
      </c>
      <c r="AI65" s="682"/>
      <c r="AJ65" s="682"/>
      <c r="AK65" s="682"/>
      <c r="AL65" s="682"/>
      <c r="AM65" s="682"/>
      <c r="AN65" s="682"/>
      <c r="AO65" s="682"/>
      <c r="AP65" s="682"/>
      <c r="AQ65" s="682"/>
      <c r="AR65" s="682"/>
      <c r="AS65" s="682"/>
      <c r="AT65" s="683"/>
      <c r="AU65" s="678" t="s">
        <v>196</v>
      </c>
      <c r="AV65" s="679"/>
      <c r="AW65" s="679"/>
      <c r="AX65" s="679"/>
      <c r="AY65" s="679"/>
      <c r="AZ65" s="679"/>
      <c r="BA65" s="679"/>
      <c r="BB65" s="679"/>
      <c r="BC65" s="679"/>
      <c r="BD65" s="679"/>
      <c r="BE65" s="679"/>
      <c r="BF65" s="679"/>
      <c r="BG65" s="679"/>
      <c r="BH65" s="679"/>
      <c r="BI65" s="679"/>
      <c r="BJ65" s="679"/>
      <c r="BK65" s="679"/>
      <c r="BL65" s="679"/>
      <c r="BM65" s="679"/>
      <c r="BN65" s="679"/>
      <c r="BO65" s="679"/>
      <c r="BP65" s="679"/>
      <c r="BQ65" s="679"/>
      <c r="BR65" s="679"/>
      <c r="BS65" s="679"/>
      <c r="BT65" s="682" t="s">
        <v>195</v>
      </c>
      <c r="BU65" s="682"/>
      <c r="BV65" s="682"/>
      <c r="BW65" s="682"/>
      <c r="BX65" s="684"/>
      <c r="BY65" s="678" t="s">
        <v>261</v>
      </c>
      <c r="BZ65" s="679"/>
      <c r="CA65" s="679"/>
      <c r="CB65" s="679"/>
      <c r="CC65" s="679"/>
      <c r="CD65" s="679"/>
      <c r="CE65" s="679"/>
      <c r="CF65" s="679"/>
      <c r="CG65" s="679"/>
      <c r="CH65" s="679"/>
      <c r="CI65" s="679"/>
      <c r="CJ65" s="679"/>
      <c r="CK65" s="679"/>
      <c r="CL65" s="679"/>
      <c r="CM65" s="679"/>
      <c r="CN65" s="679"/>
      <c r="CO65" s="679"/>
      <c r="CP65" s="679"/>
      <c r="CQ65" s="679"/>
      <c r="CR65" s="679"/>
      <c r="CS65" s="679"/>
      <c r="CT65" s="679"/>
      <c r="CU65" s="679"/>
      <c r="CV65" s="679"/>
      <c r="CW65" s="679"/>
      <c r="CX65" s="679"/>
      <c r="CY65" s="679"/>
      <c r="CZ65" s="679"/>
      <c r="DA65" s="679"/>
      <c r="DB65" s="679" t="s">
        <v>195</v>
      </c>
      <c r="DC65" s="679"/>
      <c r="DD65" s="679"/>
      <c r="DE65" s="679"/>
      <c r="DF65" s="679"/>
      <c r="DG65" s="679"/>
      <c r="DH65" s="679"/>
      <c r="DI65" s="681"/>
      <c r="DJ65" s="685" t="s">
        <v>246</v>
      </c>
      <c r="DK65" s="686"/>
      <c r="DL65" s="686"/>
      <c r="DM65" s="686"/>
      <c r="DN65" s="686"/>
      <c r="DO65" s="686"/>
      <c r="DP65" s="686"/>
      <c r="DQ65" s="686"/>
      <c r="DR65" s="686"/>
      <c r="DS65" s="686"/>
      <c r="DT65" s="686"/>
      <c r="DU65" s="686"/>
      <c r="DV65" s="686"/>
      <c r="DW65" s="686"/>
      <c r="DX65" s="686"/>
      <c r="DY65" s="686"/>
      <c r="DZ65" s="686"/>
      <c r="EA65" s="686"/>
      <c r="EB65" s="686"/>
      <c r="EC65" s="686"/>
      <c r="ED65" s="686"/>
      <c r="EE65" s="686"/>
      <c r="EF65" s="686"/>
      <c r="EG65" s="686"/>
      <c r="EH65" s="686"/>
      <c r="EI65" s="686"/>
      <c r="EJ65" s="686"/>
      <c r="EK65" s="686"/>
      <c r="EL65" s="686"/>
      <c r="EM65" s="686"/>
      <c r="EN65" s="686"/>
      <c r="EO65" s="686"/>
      <c r="EP65" s="686"/>
      <c r="EQ65" s="686"/>
      <c r="ER65" s="686"/>
      <c r="ES65" s="686"/>
      <c r="ET65" s="686"/>
      <c r="EU65" s="686"/>
      <c r="EV65" s="686"/>
      <c r="EW65" s="686"/>
      <c r="EX65" s="686"/>
      <c r="EY65" s="686"/>
      <c r="EZ65" s="686"/>
      <c r="FA65" s="686"/>
      <c r="FB65" s="686"/>
      <c r="FC65" s="686"/>
      <c r="FD65" s="686"/>
      <c r="FE65" s="686"/>
      <c r="FF65" s="686"/>
      <c r="FG65" s="687"/>
    </row>
    <row r="66" spans="2:163" ht="8.65" customHeight="1">
      <c r="B66" s="678"/>
      <c r="C66" s="679"/>
      <c r="D66" s="679"/>
      <c r="E66" s="679"/>
      <c r="F66" s="679"/>
      <c r="G66" s="679"/>
      <c r="H66" s="679"/>
      <c r="I66" s="679"/>
      <c r="J66" s="679"/>
      <c r="K66" s="679"/>
      <c r="L66" s="679"/>
      <c r="M66" s="679"/>
      <c r="N66" s="679"/>
      <c r="O66" s="679"/>
      <c r="P66" s="679"/>
      <c r="Q66" s="679"/>
      <c r="R66" s="679"/>
      <c r="S66" s="679"/>
      <c r="T66" s="679"/>
      <c r="U66" s="679"/>
      <c r="V66" s="679"/>
      <c r="W66" s="679"/>
      <c r="X66" s="679"/>
      <c r="Y66" s="679"/>
      <c r="Z66" s="679"/>
      <c r="AA66" s="679"/>
      <c r="AB66" s="679"/>
      <c r="AC66" s="679"/>
      <c r="AD66" s="679"/>
      <c r="AE66" s="679"/>
      <c r="AF66" s="679"/>
      <c r="AG66" s="679"/>
      <c r="AH66" s="682"/>
      <c r="AI66" s="682"/>
      <c r="AJ66" s="682"/>
      <c r="AK66" s="682"/>
      <c r="AL66" s="682"/>
      <c r="AM66" s="682"/>
      <c r="AN66" s="682"/>
      <c r="AO66" s="682"/>
      <c r="AP66" s="682"/>
      <c r="AQ66" s="682"/>
      <c r="AR66" s="682"/>
      <c r="AS66" s="682"/>
      <c r="AT66" s="683"/>
      <c r="AU66" s="678"/>
      <c r="AV66" s="679"/>
      <c r="AW66" s="679"/>
      <c r="AX66" s="679"/>
      <c r="AY66" s="679"/>
      <c r="AZ66" s="679"/>
      <c r="BA66" s="679"/>
      <c r="BB66" s="679"/>
      <c r="BC66" s="679"/>
      <c r="BD66" s="679"/>
      <c r="BE66" s="679"/>
      <c r="BF66" s="679"/>
      <c r="BG66" s="679"/>
      <c r="BH66" s="679"/>
      <c r="BI66" s="679"/>
      <c r="BJ66" s="679"/>
      <c r="BK66" s="679"/>
      <c r="BL66" s="679"/>
      <c r="BM66" s="679"/>
      <c r="BN66" s="679"/>
      <c r="BO66" s="679"/>
      <c r="BP66" s="679"/>
      <c r="BQ66" s="679"/>
      <c r="BR66" s="679"/>
      <c r="BS66" s="679"/>
      <c r="BT66" s="682"/>
      <c r="BU66" s="682"/>
      <c r="BV66" s="682"/>
      <c r="BW66" s="682"/>
      <c r="BX66" s="684"/>
      <c r="BY66" s="678"/>
      <c r="BZ66" s="679"/>
      <c r="CA66" s="679"/>
      <c r="CB66" s="679"/>
      <c r="CC66" s="679"/>
      <c r="CD66" s="679"/>
      <c r="CE66" s="679"/>
      <c r="CF66" s="679"/>
      <c r="CG66" s="679"/>
      <c r="CH66" s="679"/>
      <c r="CI66" s="679"/>
      <c r="CJ66" s="679"/>
      <c r="CK66" s="679"/>
      <c r="CL66" s="679"/>
      <c r="CM66" s="679"/>
      <c r="CN66" s="679"/>
      <c r="CO66" s="679"/>
      <c r="CP66" s="679"/>
      <c r="CQ66" s="679"/>
      <c r="CR66" s="679"/>
      <c r="CS66" s="679"/>
      <c r="CT66" s="679"/>
      <c r="CU66" s="679"/>
      <c r="CV66" s="679"/>
      <c r="CW66" s="679"/>
      <c r="CX66" s="679"/>
      <c r="CY66" s="679"/>
      <c r="CZ66" s="679"/>
      <c r="DA66" s="679"/>
      <c r="DB66" s="679"/>
      <c r="DC66" s="679"/>
      <c r="DD66" s="679"/>
      <c r="DE66" s="679"/>
      <c r="DF66" s="679"/>
      <c r="DG66" s="679"/>
      <c r="DH66" s="679"/>
      <c r="DI66" s="681"/>
      <c r="DJ66" s="688"/>
      <c r="DK66" s="689"/>
      <c r="DL66" s="689"/>
      <c r="DM66" s="689"/>
      <c r="DN66" s="689"/>
      <c r="DO66" s="689"/>
      <c r="DP66" s="689"/>
      <c r="DQ66" s="689"/>
      <c r="DR66" s="689"/>
      <c r="DS66" s="689"/>
      <c r="DT66" s="689"/>
      <c r="DU66" s="689"/>
      <c r="DV66" s="689"/>
      <c r="DW66" s="689"/>
      <c r="DX66" s="689"/>
      <c r="DY66" s="689"/>
      <c r="DZ66" s="689"/>
      <c r="EA66" s="689"/>
      <c r="EB66" s="689"/>
      <c r="EC66" s="689"/>
      <c r="ED66" s="689"/>
      <c r="EE66" s="689"/>
      <c r="EF66" s="689"/>
      <c r="EG66" s="689"/>
      <c r="EH66" s="689"/>
      <c r="EI66" s="689"/>
      <c r="EJ66" s="689"/>
      <c r="EK66" s="689"/>
      <c r="EL66" s="689"/>
      <c r="EM66" s="689"/>
      <c r="EN66" s="689"/>
      <c r="EO66" s="689"/>
      <c r="EP66" s="689"/>
      <c r="EQ66" s="689"/>
      <c r="ER66" s="689"/>
      <c r="ES66" s="689"/>
      <c r="ET66" s="689"/>
      <c r="EU66" s="689"/>
      <c r="EV66" s="689"/>
      <c r="EW66" s="689"/>
      <c r="EX66" s="689"/>
      <c r="EY66" s="689"/>
      <c r="EZ66" s="689"/>
      <c r="FA66" s="689"/>
      <c r="FB66" s="689"/>
      <c r="FC66" s="689"/>
      <c r="FD66" s="689"/>
      <c r="FE66" s="689"/>
      <c r="FF66" s="689"/>
      <c r="FG66" s="690"/>
    </row>
    <row r="67" spans="2:163" ht="8.65" customHeight="1">
      <c r="B67" s="691" t="s">
        <v>247</v>
      </c>
      <c r="C67" s="692"/>
      <c r="D67" s="692"/>
      <c r="E67" s="692"/>
      <c r="F67" s="692"/>
      <c r="G67" s="692"/>
      <c r="H67" s="692"/>
      <c r="I67" s="692"/>
      <c r="J67" s="692"/>
      <c r="K67" s="692"/>
      <c r="L67" s="692"/>
      <c r="M67" s="692"/>
      <c r="N67" s="692"/>
      <c r="O67" s="692"/>
      <c r="P67" s="692"/>
      <c r="Q67" s="692"/>
      <c r="R67" s="692"/>
      <c r="S67" s="692"/>
      <c r="T67" s="692"/>
      <c r="U67" s="692"/>
      <c r="V67" s="692"/>
      <c r="W67" s="692"/>
      <c r="X67" s="692"/>
      <c r="Y67" s="692"/>
      <c r="Z67" s="692"/>
      <c r="AA67" s="692"/>
      <c r="AB67" s="692"/>
      <c r="AC67" s="692"/>
      <c r="AD67" s="692"/>
      <c r="AE67" s="692"/>
      <c r="AF67" s="692"/>
      <c r="AG67" s="692"/>
      <c r="AH67" s="682">
        <v>1.57</v>
      </c>
      <c r="AI67" s="682"/>
      <c r="AJ67" s="682"/>
      <c r="AK67" s="682"/>
      <c r="AL67" s="682"/>
      <c r="AM67" s="682"/>
      <c r="AN67" s="682"/>
      <c r="AO67" s="682"/>
      <c r="AP67" s="682"/>
      <c r="AQ67" s="682"/>
      <c r="AR67" s="682"/>
      <c r="AS67" s="682"/>
      <c r="AT67" s="683"/>
      <c r="AU67" s="678"/>
      <c r="AV67" s="679"/>
      <c r="AW67" s="679"/>
      <c r="AX67" s="679"/>
      <c r="AY67" s="679"/>
      <c r="AZ67" s="679"/>
      <c r="BA67" s="679"/>
      <c r="BB67" s="679"/>
      <c r="BC67" s="679"/>
      <c r="BD67" s="679"/>
      <c r="BE67" s="679"/>
      <c r="BF67" s="679"/>
      <c r="BG67" s="679"/>
      <c r="BH67" s="679"/>
      <c r="BI67" s="679"/>
      <c r="BJ67" s="679"/>
      <c r="BK67" s="679"/>
      <c r="BL67" s="679"/>
      <c r="BM67" s="679"/>
      <c r="BN67" s="679"/>
      <c r="BO67" s="679"/>
      <c r="BP67" s="679"/>
      <c r="BQ67" s="679"/>
      <c r="BR67" s="679"/>
      <c r="BS67" s="679"/>
      <c r="BT67" s="682"/>
      <c r="BU67" s="682"/>
      <c r="BV67" s="682"/>
      <c r="BW67" s="682"/>
      <c r="BX67" s="684"/>
      <c r="BY67" s="678"/>
      <c r="BZ67" s="679"/>
      <c r="CA67" s="679"/>
      <c r="CB67" s="679"/>
      <c r="CC67" s="679"/>
      <c r="CD67" s="679"/>
      <c r="CE67" s="679"/>
      <c r="CF67" s="679"/>
      <c r="CG67" s="679"/>
      <c r="CH67" s="679"/>
      <c r="CI67" s="679"/>
      <c r="CJ67" s="679"/>
      <c r="CK67" s="679"/>
      <c r="CL67" s="679"/>
      <c r="CM67" s="679"/>
      <c r="CN67" s="679"/>
      <c r="CO67" s="679"/>
      <c r="CP67" s="679"/>
      <c r="CQ67" s="679"/>
      <c r="CR67" s="679"/>
      <c r="CS67" s="679"/>
      <c r="CT67" s="679"/>
      <c r="CU67" s="679"/>
      <c r="CV67" s="679"/>
      <c r="CW67" s="679"/>
      <c r="CX67" s="679"/>
      <c r="CY67" s="679"/>
      <c r="CZ67" s="679"/>
      <c r="DA67" s="679"/>
      <c r="DB67" s="679"/>
      <c r="DC67" s="679"/>
      <c r="DD67" s="679"/>
      <c r="DE67" s="679"/>
      <c r="DF67" s="679"/>
      <c r="DG67" s="679"/>
      <c r="DH67" s="679"/>
      <c r="DI67" s="681"/>
      <c r="DJ67" s="688"/>
      <c r="DK67" s="689"/>
      <c r="DL67" s="689"/>
      <c r="DM67" s="689"/>
      <c r="DN67" s="689"/>
      <c r="DO67" s="689"/>
      <c r="DP67" s="689"/>
      <c r="DQ67" s="689"/>
      <c r="DR67" s="689"/>
      <c r="DS67" s="689"/>
      <c r="DT67" s="689"/>
      <c r="DU67" s="689"/>
      <c r="DV67" s="689"/>
      <c r="DW67" s="689"/>
      <c r="DX67" s="689"/>
      <c r="DY67" s="689"/>
      <c r="DZ67" s="689"/>
      <c r="EA67" s="689"/>
      <c r="EB67" s="689"/>
      <c r="EC67" s="689"/>
      <c r="ED67" s="689"/>
      <c r="EE67" s="689"/>
      <c r="EF67" s="689"/>
      <c r="EG67" s="689"/>
      <c r="EH67" s="689"/>
      <c r="EI67" s="689"/>
      <c r="EJ67" s="689"/>
      <c r="EK67" s="689"/>
      <c r="EL67" s="689"/>
      <c r="EM67" s="689"/>
      <c r="EN67" s="689"/>
      <c r="EO67" s="689"/>
      <c r="EP67" s="689"/>
      <c r="EQ67" s="689"/>
      <c r="ER67" s="689"/>
      <c r="ES67" s="689"/>
      <c r="ET67" s="689"/>
      <c r="EU67" s="689"/>
      <c r="EV67" s="689"/>
      <c r="EW67" s="689"/>
      <c r="EX67" s="689"/>
      <c r="EY67" s="689"/>
      <c r="EZ67" s="689"/>
      <c r="FA67" s="689"/>
      <c r="FB67" s="689"/>
      <c r="FC67" s="689"/>
      <c r="FD67" s="689"/>
      <c r="FE67" s="689"/>
      <c r="FF67" s="689"/>
      <c r="FG67" s="690"/>
    </row>
    <row r="68" spans="2:163" ht="8.65" customHeight="1">
      <c r="B68" s="691"/>
      <c r="C68" s="692"/>
      <c r="D68" s="692"/>
      <c r="E68" s="692"/>
      <c r="F68" s="692"/>
      <c r="G68" s="692"/>
      <c r="H68" s="692"/>
      <c r="I68" s="692"/>
      <c r="J68" s="692"/>
      <c r="K68" s="692"/>
      <c r="L68" s="692"/>
      <c r="M68" s="692"/>
      <c r="N68" s="692"/>
      <c r="O68" s="692"/>
      <c r="P68" s="692"/>
      <c r="Q68" s="692"/>
      <c r="R68" s="692"/>
      <c r="S68" s="692"/>
      <c r="T68" s="692"/>
      <c r="U68" s="692"/>
      <c r="V68" s="692"/>
      <c r="W68" s="692"/>
      <c r="X68" s="692"/>
      <c r="Y68" s="692"/>
      <c r="Z68" s="692"/>
      <c r="AA68" s="692"/>
      <c r="AB68" s="692"/>
      <c r="AC68" s="692"/>
      <c r="AD68" s="692"/>
      <c r="AE68" s="692"/>
      <c r="AF68" s="692"/>
      <c r="AG68" s="692"/>
      <c r="AH68" s="682"/>
      <c r="AI68" s="682"/>
      <c r="AJ68" s="682"/>
      <c r="AK68" s="682"/>
      <c r="AL68" s="682"/>
      <c r="AM68" s="682"/>
      <c r="AN68" s="682"/>
      <c r="AO68" s="682"/>
      <c r="AP68" s="682"/>
      <c r="AQ68" s="682"/>
      <c r="AR68" s="682"/>
      <c r="AS68" s="682"/>
      <c r="AT68" s="683"/>
      <c r="AU68" s="693" t="s">
        <v>264</v>
      </c>
      <c r="AV68" s="694"/>
      <c r="AW68" s="694"/>
      <c r="AX68" s="694"/>
      <c r="AY68" s="694"/>
      <c r="AZ68" s="694"/>
      <c r="BA68" s="694"/>
      <c r="BB68" s="694"/>
      <c r="BC68" s="694"/>
      <c r="BD68" s="694"/>
      <c r="BE68" s="694"/>
      <c r="BF68" s="694"/>
      <c r="BG68" s="694"/>
      <c r="BH68" s="694"/>
      <c r="BI68" s="694"/>
      <c r="BJ68" s="694"/>
      <c r="BK68" s="694"/>
      <c r="BL68" s="694"/>
      <c r="BM68" s="694"/>
      <c r="BN68" s="694"/>
      <c r="BO68" s="694"/>
      <c r="BP68" s="694"/>
      <c r="BQ68" s="694"/>
      <c r="BR68" s="694"/>
      <c r="BS68" s="694"/>
      <c r="BT68" s="682">
        <v>0.9</v>
      </c>
      <c r="BU68" s="682"/>
      <c r="BV68" s="682"/>
      <c r="BW68" s="682"/>
      <c r="BX68" s="684"/>
      <c r="BY68" s="695" t="s">
        <v>265</v>
      </c>
      <c r="BZ68" s="696"/>
      <c r="CA68" s="696"/>
      <c r="CB68" s="696"/>
      <c r="CC68" s="696"/>
      <c r="CD68" s="696"/>
      <c r="CE68" s="696"/>
      <c r="CF68" s="696"/>
      <c r="CG68" s="696"/>
      <c r="CH68" s="696"/>
      <c r="CI68" s="696"/>
      <c r="CJ68" s="696"/>
      <c r="CK68" s="696"/>
      <c r="CL68" s="696"/>
      <c r="CM68" s="696"/>
      <c r="CN68" s="696"/>
      <c r="CO68" s="696"/>
      <c r="CP68" s="696"/>
      <c r="CQ68" s="696"/>
      <c r="CR68" s="696"/>
      <c r="CS68" s="696"/>
      <c r="CT68" s="696"/>
      <c r="CU68" s="696"/>
      <c r="CV68" s="696"/>
      <c r="CW68" s="696"/>
      <c r="CX68" s="696"/>
      <c r="CY68" s="696"/>
      <c r="CZ68" s="696"/>
      <c r="DA68" s="696"/>
      <c r="DB68" s="697">
        <v>8.1000000000000003E-2</v>
      </c>
      <c r="DC68" s="697"/>
      <c r="DD68" s="697"/>
      <c r="DE68" s="697"/>
      <c r="DF68" s="697"/>
      <c r="DG68" s="697"/>
      <c r="DH68" s="697"/>
      <c r="DI68" s="698"/>
      <c r="DJ68" s="699" t="s">
        <v>249</v>
      </c>
      <c r="DK68" s="700"/>
      <c r="DL68" s="700"/>
      <c r="DM68" s="700"/>
      <c r="DN68" s="700"/>
      <c r="DO68" s="700"/>
      <c r="DP68" s="700"/>
      <c r="DQ68" s="700"/>
      <c r="DR68" s="700"/>
      <c r="DS68" s="700"/>
      <c r="DT68" s="700"/>
      <c r="DU68" s="700"/>
      <c r="DV68" s="700"/>
      <c r="DW68" s="700"/>
      <c r="DX68" s="700"/>
      <c r="DY68" s="700"/>
      <c r="DZ68" s="700"/>
      <c r="EA68" s="700"/>
      <c r="EB68" s="700"/>
      <c r="EC68" s="700"/>
      <c r="ED68" s="700"/>
      <c r="EE68" s="700"/>
      <c r="EF68" s="700"/>
      <c r="EG68" s="700"/>
      <c r="EH68" s="700"/>
      <c r="EI68" s="700"/>
      <c r="EJ68" s="700"/>
      <c r="EK68" s="700"/>
      <c r="EL68" s="700"/>
      <c r="EM68" s="700"/>
      <c r="EN68" s="700"/>
      <c r="EO68" s="700"/>
      <c r="EP68" s="700"/>
      <c r="EQ68" s="700"/>
      <c r="ER68" s="700"/>
      <c r="ES68" s="700"/>
      <c r="ET68" s="700"/>
      <c r="EU68" s="700"/>
      <c r="EV68" s="700"/>
      <c r="EW68" s="700"/>
      <c r="EX68" s="700"/>
      <c r="EY68" s="700"/>
      <c r="EZ68" s="700"/>
      <c r="FA68" s="700"/>
      <c r="FB68" s="700"/>
      <c r="FC68" s="700"/>
      <c r="FD68" s="700"/>
      <c r="FE68" s="700"/>
      <c r="FF68" s="700"/>
      <c r="FG68" s="701"/>
    </row>
    <row r="69" spans="2:163" ht="8.65" customHeight="1">
      <c r="B69" s="702" t="s">
        <v>250</v>
      </c>
      <c r="C69" s="703"/>
      <c r="D69" s="703"/>
      <c r="E69" s="703"/>
      <c r="F69" s="703"/>
      <c r="G69" s="703"/>
      <c r="H69" s="703"/>
      <c r="I69" s="703"/>
      <c r="J69" s="703"/>
      <c r="K69" s="703"/>
      <c r="L69" s="703"/>
      <c r="M69" s="703"/>
      <c r="N69" s="703"/>
      <c r="O69" s="703"/>
      <c r="P69" s="703"/>
      <c r="Q69" s="703"/>
      <c r="R69" s="703"/>
      <c r="S69" s="703"/>
      <c r="T69" s="703"/>
      <c r="U69" s="703"/>
      <c r="V69" s="703"/>
      <c r="W69" s="703"/>
      <c r="X69" s="703"/>
      <c r="Y69" s="703"/>
      <c r="Z69" s="703"/>
      <c r="AA69" s="703"/>
      <c r="AB69" s="703"/>
      <c r="AC69" s="703"/>
      <c r="AD69" s="703"/>
      <c r="AE69" s="703"/>
      <c r="AF69" s="703"/>
      <c r="AG69" s="703"/>
      <c r="AH69" s="704" t="s">
        <v>251</v>
      </c>
      <c r="AI69" s="682"/>
      <c r="AJ69" s="682"/>
      <c r="AK69" s="682"/>
      <c r="AL69" s="682"/>
      <c r="AM69" s="682"/>
      <c r="AN69" s="682"/>
      <c r="AO69" s="682"/>
      <c r="AP69" s="682"/>
      <c r="AQ69" s="682"/>
      <c r="AR69" s="682"/>
      <c r="AS69" s="682"/>
      <c r="AT69" s="683"/>
      <c r="AU69" s="693"/>
      <c r="AV69" s="694"/>
      <c r="AW69" s="694"/>
      <c r="AX69" s="694"/>
      <c r="AY69" s="694"/>
      <c r="AZ69" s="694"/>
      <c r="BA69" s="694"/>
      <c r="BB69" s="694"/>
      <c r="BC69" s="694"/>
      <c r="BD69" s="694"/>
      <c r="BE69" s="694"/>
      <c r="BF69" s="694"/>
      <c r="BG69" s="694"/>
      <c r="BH69" s="694"/>
      <c r="BI69" s="694"/>
      <c r="BJ69" s="694"/>
      <c r="BK69" s="694"/>
      <c r="BL69" s="694"/>
      <c r="BM69" s="694"/>
      <c r="BN69" s="694"/>
      <c r="BO69" s="694"/>
      <c r="BP69" s="694"/>
      <c r="BQ69" s="694"/>
      <c r="BR69" s="694"/>
      <c r="BS69" s="694"/>
      <c r="BT69" s="682"/>
      <c r="BU69" s="682"/>
      <c r="BV69" s="682"/>
      <c r="BW69" s="682"/>
      <c r="BX69" s="684"/>
      <c r="BY69" s="695"/>
      <c r="BZ69" s="696"/>
      <c r="CA69" s="696"/>
      <c r="CB69" s="696"/>
      <c r="CC69" s="696"/>
      <c r="CD69" s="696"/>
      <c r="CE69" s="696"/>
      <c r="CF69" s="696"/>
      <c r="CG69" s="696"/>
      <c r="CH69" s="696"/>
      <c r="CI69" s="696"/>
      <c r="CJ69" s="696"/>
      <c r="CK69" s="696"/>
      <c r="CL69" s="696"/>
      <c r="CM69" s="696"/>
      <c r="CN69" s="696"/>
      <c r="CO69" s="696"/>
      <c r="CP69" s="696"/>
      <c r="CQ69" s="696"/>
      <c r="CR69" s="696"/>
      <c r="CS69" s="696"/>
      <c r="CT69" s="696"/>
      <c r="CU69" s="696"/>
      <c r="CV69" s="696"/>
      <c r="CW69" s="696"/>
      <c r="CX69" s="696"/>
      <c r="CY69" s="696"/>
      <c r="CZ69" s="696"/>
      <c r="DA69" s="696"/>
      <c r="DB69" s="697"/>
      <c r="DC69" s="697"/>
      <c r="DD69" s="697"/>
      <c r="DE69" s="697"/>
      <c r="DF69" s="697"/>
      <c r="DG69" s="697"/>
      <c r="DH69" s="697"/>
      <c r="DI69" s="698"/>
      <c r="DJ69" s="699"/>
      <c r="DK69" s="700"/>
      <c r="DL69" s="700"/>
      <c r="DM69" s="700"/>
      <c r="DN69" s="700"/>
      <c r="DO69" s="700"/>
      <c r="DP69" s="700"/>
      <c r="DQ69" s="700"/>
      <c r="DR69" s="700"/>
      <c r="DS69" s="700"/>
      <c r="DT69" s="700"/>
      <c r="DU69" s="700"/>
      <c r="DV69" s="700"/>
      <c r="DW69" s="700"/>
      <c r="DX69" s="700"/>
      <c r="DY69" s="700"/>
      <c r="DZ69" s="700"/>
      <c r="EA69" s="700"/>
      <c r="EB69" s="700"/>
      <c r="EC69" s="700"/>
      <c r="ED69" s="700"/>
      <c r="EE69" s="700"/>
      <c r="EF69" s="700"/>
      <c r="EG69" s="700"/>
      <c r="EH69" s="700"/>
      <c r="EI69" s="700"/>
      <c r="EJ69" s="700"/>
      <c r="EK69" s="700"/>
      <c r="EL69" s="700"/>
      <c r="EM69" s="700"/>
      <c r="EN69" s="700"/>
      <c r="EO69" s="700"/>
      <c r="EP69" s="700"/>
      <c r="EQ69" s="700"/>
      <c r="ER69" s="700"/>
      <c r="ES69" s="700"/>
      <c r="ET69" s="700"/>
      <c r="EU69" s="700"/>
      <c r="EV69" s="700"/>
      <c r="EW69" s="700"/>
      <c r="EX69" s="700"/>
      <c r="EY69" s="700"/>
      <c r="EZ69" s="700"/>
      <c r="FA69" s="700"/>
      <c r="FB69" s="700"/>
      <c r="FC69" s="700"/>
      <c r="FD69" s="700"/>
      <c r="FE69" s="700"/>
      <c r="FF69" s="700"/>
      <c r="FG69" s="701"/>
    </row>
    <row r="70" spans="2:163" ht="8.65" customHeight="1">
      <c r="B70" s="702"/>
      <c r="C70" s="703"/>
      <c r="D70" s="703"/>
      <c r="E70" s="703"/>
      <c r="F70" s="703"/>
      <c r="G70" s="703"/>
      <c r="H70" s="703"/>
      <c r="I70" s="703"/>
      <c r="J70" s="703"/>
      <c r="K70" s="703"/>
      <c r="L70" s="703"/>
      <c r="M70" s="703"/>
      <c r="N70" s="703"/>
      <c r="O70" s="703"/>
      <c r="P70" s="703"/>
      <c r="Q70" s="703"/>
      <c r="R70" s="703"/>
      <c r="S70" s="703"/>
      <c r="T70" s="703"/>
      <c r="U70" s="703"/>
      <c r="V70" s="703"/>
      <c r="W70" s="703"/>
      <c r="X70" s="703"/>
      <c r="Y70" s="703"/>
      <c r="Z70" s="703"/>
      <c r="AA70" s="703"/>
      <c r="AB70" s="703"/>
      <c r="AC70" s="703"/>
      <c r="AD70" s="703"/>
      <c r="AE70" s="703"/>
      <c r="AF70" s="703"/>
      <c r="AG70" s="703"/>
      <c r="AH70" s="682"/>
      <c r="AI70" s="682"/>
      <c r="AJ70" s="682"/>
      <c r="AK70" s="682"/>
      <c r="AL70" s="682"/>
      <c r="AM70" s="682"/>
      <c r="AN70" s="682"/>
      <c r="AO70" s="682"/>
      <c r="AP70" s="682"/>
      <c r="AQ70" s="682"/>
      <c r="AR70" s="682"/>
      <c r="AS70" s="682"/>
      <c r="AT70" s="683"/>
      <c r="AU70" s="693" t="s">
        <v>268</v>
      </c>
      <c r="AV70" s="694"/>
      <c r="AW70" s="694"/>
      <c r="AX70" s="694"/>
      <c r="AY70" s="694"/>
      <c r="AZ70" s="694"/>
      <c r="BA70" s="694"/>
      <c r="BB70" s="694"/>
      <c r="BC70" s="694"/>
      <c r="BD70" s="694"/>
      <c r="BE70" s="694"/>
      <c r="BF70" s="694"/>
      <c r="BG70" s="694"/>
      <c r="BH70" s="694"/>
      <c r="BI70" s="694"/>
      <c r="BJ70" s="694"/>
      <c r="BK70" s="694"/>
      <c r="BL70" s="694"/>
      <c r="BM70" s="694"/>
      <c r="BN70" s="694"/>
      <c r="BO70" s="694"/>
      <c r="BP70" s="694"/>
      <c r="BQ70" s="694"/>
      <c r="BR70" s="694"/>
      <c r="BS70" s="694"/>
      <c r="BT70" s="682">
        <v>0.4</v>
      </c>
      <c r="BU70" s="682"/>
      <c r="BV70" s="682"/>
      <c r="BW70" s="682"/>
      <c r="BX70" s="684"/>
      <c r="BY70" s="695"/>
      <c r="BZ70" s="696"/>
      <c r="CA70" s="696"/>
      <c r="CB70" s="696"/>
      <c r="CC70" s="696"/>
      <c r="CD70" s="696"/>
      <c r="CE70" s="696"/>
      <c r="CF70" s="696"/>
      <c r="CG70" s="696"/>
      <c r="CH70" s="696"/>
      <c r="CI70" s="696"/>
      <c r="CJ70" s="696"/>
      <c r="CK70" s="696"/>
      <c r="CL70" s="696"/>
      <c r="CM70" s="696"/>
      <c r="CN70" s="696"/>
      <c r="CO70" s="696"/>
      <c r="CP70" s="696"/>
      <c r="CQ70" s="696"/>
      <c r="CR70" s="696"/>
      <c r="CS70" s="696"/>
      <c r="CT70" s="696"/>
      <c r="CU70" s="696"/>
      <c r="CV70" s="696"/>
      <c r="CW70" s="696"/>
      <c r="CX70" s="696"/>
      <c r="CY70" s="696"/>
      <c r="CZ70" s="696"/>
      <c r="DA70" s="696"/>
      <c r="DB70" s="697"/>
      <c r="DC70" s="697"/>
      <c r="DD70" s="697"/>
      <c r="DE70" s="697"/>
      <c r="DF70" s="697"/>
      <c r="DG70" s="697"/>
      <c r="DH70" s="697"/>
      <c r="DI70" s="698"/>
      <c r="DJ70" s="699"/>
      <c r="DK70" s="700"/>
      <c r="DL70" s="700"/>
      <c r="DM70" s="700"/>
      <c r="DN70" s="700"/>
      <c r="DO70" s="700"/>
      <c r="DP70" s="700"/>
      <c r="DQ70" s="700"/>
      <c r="DR70" s="700"/>
      <c r="DS70" s="700"/>
      <c r="DT70" s="700"/>
      <c r="DU70" s="700"/>
      <c r="DV70" s="700"/>
      <c r="DW70" s="700"/>
      <c r="DX70" s="700"/>
      <c r="DY70" s="700"/>
      <c r="DZ70" s="700"/>
      <c r="EA70" s="700"/>
      <c r="EB70" s="700"/>
      <c r="EC70" s="700"/>
      <c r="ED70" s="700"/>
      <c r="EE70" s="700"/>
      <c r="EF70" s="700"/>
      <c r="EG70" s="700"/>
      <c r="EH70" s="700"/>
      <c r="EI70" s="700"/>
      <c r="EJ70" s="700"/>
      <c r="EK70" s="700"/>
      <c r="EL70" s="700"/>
      <c r="EM70" s="700"/>
      <c r="EN70" s="700"/>
      <c r="EO70" s="700"/>
      <c r="EP70" s="700"/>
      <c r="EQ70" s="700"/>
      <c r="ER70" s="700"/>
      <c r="ES70" s="700"/>
      <c r="ET70" s="700"/>
      <c r="EU70" s="700"/>
      <c r="EV70" s="700"/>
      <c r="EW70" s="700"/>
      <c r="EX70" s="700"/>
      <c r="EY70" s="700"/>
      <c r="EZ70" s="700"/>
      <c r="FA70" s="700"/>
      <c r="FB70" s="700"/>
      <c r="FC70" s="700"/>
      <c r="FD70" s="700"/>
      <c r="FE70" s="700"/>
      <c r="FF70" s="700"/>
      <c r="FG70" s="701"/>
    </row>
    <row r="71" spans="2:163" ht="8.65" customHeight="1">
      <c r="B71" s="702" t="s">
        <v>253</v>
      </c>
      <c r="C71" s="703"/>
      <c r="D71" s="703"/>
      <c r="E71" s="703"/>
      <c r="F71" s="703"/>
      <c r="G71" s="703"/>
      <c r="H71" s="703"/>
      <c r="I71" s="703"/>
      <c r="J71" s="703"/>
      <c r="K71" s="703"/>
      <c r="L71" s="703"/>
      <c r="M71" s="703"/>
      <c r="N71" s="703"/>
      <c r="O71" s="703"/>
      <c r="P71" s="703"/>
      <c r="Q71" s="703"/>
      <c r="R71" s="703"/>
      <c r="S71" s="703"/>
      <c r="T71" s="703"/>
      <c r="U71" s="703"/>
      <c r="V71" s="703"/>
      <c r="W71" s="703"/>
      <c r="X71" s="703"/>
      <c r="Y71" s="703"/>
      <c r="Z71" s="703"/>
      <c r="AA71" s="703"/>
      <c r="AB71" s="703"/>
      <c r="AC71" s="703"/>
      <c r="AD71" s="703"/>
      <c r="AE71" s="703"/>
      <c r="AF71" s="703"/>
      <c r="AG71" s="703"/>
      <c r="AH71" s="682">
        <v>1.1299999999999999</v>
      </c>
      <c r="AI71" s="682"/>
      <c r="AJ71" s="682"/>
      <c r="AK71" s="682"/>
      <c r="AL71" s="682"/>
      <c r="AM71" s="682"/>
      <c r="AN71" s="682"/>
      <c r="AO71" s="682"/>
      <c r="AP71" s="682"/>
      <c r="AQ71" s="682"/>
      <c r="AR71" s="682"/>
      <c r="AS71" s="682"/>
      <c r="AT71" s="683"/>
      <c r="AU71" s="693"/>
      <c r="AV71" s="694"/>
      <c r="AW71" s="694"/>
      <c r="AX71" s="694"/>
      <c r="AY71" s="694"/>
      <c r="AZ71" s="694"/>
      <c r="BA71" s="694"/>
      <c r="BB71" s="694"/>
      <c r="BC71" s="694"/>
      <c r="BD71" s="694"/>
      <c r="BE71" s="694"/>
      <c r="BF71" s="694"/>
      <c r="BG71" s="694"/>
      <c r="BH71" s="694"/>
      <c r="BI71" s="694"/>
      <c r="BJ71" s="694"/>
      <c r="BK71" s="694"/>
      <c r="BL71" s="694"/>
      <c r="BM71" s="694"/>
      <c r="BN71" s="694"/>
      <c r="BO71" s="694"/>
      <c r="BP71" s="694"/>
      <c r="BQ71" s="694"/>
      <c r="BR71" s="694"/>
      <c r="BS71" s="694"/>
      <c r="BT71" s="682"/>
      <c r="BU71" s="682"/>
      <c r="BV71" s="682"/>
      <c r="BW71" s="682"/>
      <c r="BX71" s="684"/>
      <c r="BY71" s="695" t="s">
        <v>270</v>
      </c>
      <c r="BZ71" s="696"/>
      <c r="CA71" s="696"/>
      <c r="CB71" s="696"/>
      <c r="CC71" s="696"/>
      <c r="CD71" s="696"/>
      <c r="CE71" s="696"/>
      <c r="CF71" s="696"/>
      <c r="CG71" s="696"/>
      <c r="CH71" s="696"/>
      <c r="CI71" s="696"/>
      <c r="CJ71" s="696"/>
      <c r="CK71" s="696"/>
      <c r="CL71" s="696"/>
      <c r="CM71" s="696"/>
      <c r="CN71" s="696"/>
      <c r="CO71" s="696"/>
      <c r="CP71" s="696"/>
      <c r="CQ71" s="696"/>
      <c r="CR71" s="696"/>
      <c r="CS71" s="696"/>
      <c r="CT71" s="696"/>
      <c r="CU71" s="696"/>
      <c r="CV71" s="696"/>
      <c r="CW71" s="696"/>
      <c r="CX71" s="696"/>
      <c r="CY71" s="696"/>
      <c r="CZ71" s="696"/>
      <c r="DA71" s="696"/>
      <c r="DB71" s="697">
        <v>0.08</v>
      </c>
      <c r="DC71" s="697"/>
      <c r="DD71" s="697"/>
      <c r="DE71" s="697"/>
      <c r="DF71" s="697"/>
      <c r="DG71" s="697"/>
      <c r="DH71" s="697"/>
      <c r="DI71" s="698"/>
      <c r="DJ71" s="675" t="s">
        <v>256</v>
      </c>
      <c r="DK71" s="631"/>
      <c r="DL71" s="631"/>
      <c r="DM71" s="631"/>
      <c r="DN71" s="631"/>
      <c r="DO71" s="631"/>
      <c r="DP71" s="631"/>
      <c r="DQ71" s="631"/>
      <c r="DR71" s="631"/>
      <c r="DS71" s="631"/>
      <c r="DT71" s="631"/>
      <c r="DU71" s="631"/>
      <c r="DV71" s="631"/>
      <c r="DW71" s="631"/>
      <c r="DX71" s="631"/>
      <c r="DY71" s="631"/>
      <c r="DZ71" s="631"/>
      <c r="EA71" s="631"/>
      <c r="EB71" s="631"/>
      <c r="EC71" s="631"/>
      <c r="ED71" s="631"/>
      <c r="EE71" s="631"/>
      <c r="EF71" s="631"/>
      <c r="EG71" s="631"/>
      <c r="EH71" s="631"/>
      <c r="EI71" s="631"/>
      <c r="EJ71" s="631"/>
      <c r="EK71" s="631"/>
      <c r="EL71" s="631"/>
      <c r="EM71" s="631"/>
      <c r="EN71" s="631"/>
      <c r="EO71" s="631"/>
      <c r="EP71" s="631"/>
      <c r="EQ71" s="631"/>
      <c r="ER71" s="631"/>
      <c r="ES71" s="631"/>
      <c r="ET71" s="631"/>
      <c r="EU71" s="631"/>
      <c r="EV71" s="631"/>
      <c r="EW71" s="631"/>
      <c r="EX71" s="631"/>
      <c r="EY71" s="631"/>
      <c r="EZ71" s="631"/>
      <c r="FA71" s="631"/>
      <c r="FB71" s="631"/>
      <c r="FC71" s="631"/>
      <c r="FD71" s="631"/>
      <c r="FE71" s="631"/>
      <c r="FF71" s="631"/>
      <c r="FG71" s="632"/>
    </row>
    <row r="72" spans="2:163" ht="8.65" customHeight="1">
      <c r="B72" s="702"/>
      <c r="C72" s="703"/>
      <c r="D72" s="703"/>
      <c r="E72" s="703"/>
      <c r="F72" s="703"/>
      <c r="G72" s="703"/>
      <c r="H72" s="703"/>
      <c r="I72" s="703"/>
      <c r="J72" s="703"/>
      <c r="K72" s="703"/>
      <c r="L72" s="703"/>
      <c r="M72" s="703"/>
      <c r="N72" s="703"/>
      <c r="O72" s="703"/>
      <c r="P72" s="703"/>
      <c r="Q72" s="703"/>
      <c r="R72" s="703"/>
      <c r="S72" s="703"/>
      <c r="T72" s="703"/>
      <c r="U72" s="703"/>
      <c r="V72" s="703"/>
      <c r="W72" s="703"/>
      <c r="X72" s="703"/>
      <c r="Y72" s="703"/>
      <c r="Z72" s="703"/>
      <c r="AA72" s="703"/>
      <c r="AB72" s="703"/>
      <c r="AC72" s="703"/>
      <c r="AD72" s="703"/>
      <c r="AE72" s="703"/>
      <c r="AF72" s="703"/>
      <c r="AG72" s="703"/>
      <c r="AH72" s="682"/>
      <c r="AI72" s="682"/>
      <c r="AJ72" s="682"/>
      <c r="AK72" s="682"/>
      <c r="AL72" s="682"/>
      <c r="AM72" s="682"/>
      <c r="AN72" s="682"/>
      <c r="AO72" s="682"/>
      <c r="AP72" s="682"/>
      <c r="AQ72" s="682"/>
      <c r="AR72" s="682"/>
      <c r="AS72" s="682"/>
      <c r="AT72" s="683"/>
      <c r="AU72" s="693" t="s">
        <v>272</v>
      </c>
      <c r="AV72" s="694"/>
      <c r="AW72" s="694"/>
      <c r="AX72" s="694"/>
      <c r="AY72" s="694"/>
      <c r="AZ72" s="694"/>
      <c r="BA72" s="694"/>
      <c r="BB72" s="694"/>
      <c r="BC72" s="694"/>
      <c r="BD72" s="694"/>
      <c r="BE72" s="694"/>
      <c r="BF72" s="694"/>
      <c r="BG72" s="694"/>
      <c r="BH72" s="694"/>
      <c r="BI72" s="694"/>
      <c r="BJ72" s="694"/>
      <c r="BK72" s="694"/>
      <c r="BL72" s="694"/>
      <c r="BM72" s="694"/>
      <c r="BN72" s="694"/>
      <c r="BO72" s="694"/>
      <c r="BP72" s="694"/>
      <c r="BQ72" s="694"/>
      <c r="BR72" s="694"/>
      <c r="BS72" s="694"/>
      <c r="BT72" s="682">
        <v>0.5</v>
      </c>
      <c r="BU72" s="682"/>
      <c r="BV72" s="682"/>
      <c r="BW72" s="682"/>
      <c r="BX72" s="684"/>
      <c r="BY72" s="695"/>
      <c r="BZ72" s="696"/>
      <c r="CA72" s="696"/>
      <c r="CB72" s="696"/>
      <c r="CC72" s="696"/>
      <c r="CD72" s="696"/>
      <c r="CE72" s="696"/>
      <c r="CF72" s="696"/>
      <c r="CG72" s="696"/>
      <c r="CH72" s="696"/>
      <c r="CI72" s="696"/>
      <c r="CJ72" s="696"/>
      <c r="CK72" s="696"/>
      <c r="CL72" s="696"/>
      <c r="CM72" s="696"/>
      <c r="CN72" s="696"/>
      <c r="CO72" s="696"/>
      <c r="CP72" s="696"/>
      <c r="CQ72" s="696"/>
      <c r="CR72" s="696"/>
      <c r="CS72" s="696"/>
      <c r="CT72" s="696"/>
      <c r="CU72" s="696"/>
      <c r="CV72" s="696"/>
      <c r="CW72" s="696"/>
      <c r="CX72" s="696"/>
      <c r="CY72" s="696"/>
      <c r="CZ72" s="696"/>
      <c r="DA72" s="696"/>
      <c r="DB72" s="697"/>
      <c r="DC72" s="697"/>
      <c r="DD72" s="697"/>
      <c r="DE72" s="697"/>
      <c r="DF72" s="697"/>
      <c r="DG72" s="697"/>
      <c r="DH72" s="697"/>
      <c r="DI72" s="698"/>
      <c r="DJ72" s="630"/>
      <c r="DK72" s="631"/>
      <c r="DL72" s="631"/>
      <c r="DM72" s="631"/>
      <c r="DN72" s="631"/>
      <c r="DO72" s="631"/>
      <c r="DP72" s="631"/>
      <c r="DQ72" s="631"/>
      <c r="DR72" s="631"/>
      <c r="DS72" s="631"/>
      <c r="DT72" s="631"/>
      <c r="DU72" s="631"/>
      <c r="DV72" s="631"/>
      <c r="DW72" s="631"/>
      <c r="DX72" s="631"/>
      <c r="DY72" s="631"/>
      <c r="DZ72" s="631"/>
      <c r="EA72" s="631"/>
      <c r="EB72" s="631"/>
      <c r="EC72" s="631"/>
      <c r="ED72" s="631"/>
      <c r="EE72" s="631"/>
      <c r="EF72" s="631"/>
      <c r="EG72" s="631"/>
      <c r="EH72" s="631"/>
      <c r="EI72" s="631"/>
      <c r="EJ72" s="631"/>
      <c r="EK72" s="631"/>
      <c r="EL72" s="631"/>
      <c r="EM72" s="631"/>
      <c r="EN72" s="631"/>
      <c r="EO72" s="631"/>
      <c r="EP72" s="631"/>
      <c r="EQ72" s="631"/>
      <c r="ER72" s="631"/>
      <c r="ES72" s="631"/>
      <c r="ET72" s="631"/>
      <c r="EU72" s="631"/>
      <c r="EV72" s="631"/>
      <c r="EW72" s="631"/>
      <c r="EX72" s="631"/>
      <c r="EY72" s="631"/>
      <c r="EZ72" s="631"/>
      <c r="FA72" s="631"/>
      <c r="FB72" s="631"/>
      <c r="FC72" s="631"/>
      <c r="FD72" s="631"/>
      <c r="FE72" s="631"/>
      <c r="FF72" s="631"/>
      <c r="FG72" s="632"/>
    </row>
    <row r="73" spans="2:163" ht="8.65" customHeight="1">
      <c r="B73" s="702" t="s">
        <v>257</v>
      </c>
      <c r="C73" s="703"/>
      <c r="D73" s="703"/>
      <c r="E73" s="703"/>
      <c r="F73" s="703"/>
      <c r="G73" s="703"/>
      <c r="H73" s="703"/>
      <c r="I73" s="703"/>
      <c r="J73" s="703"/>
      <c r="K73" s="703"/>
      <c r="L73" s="703"/>
      <c r="M73" s="703"/>
      <c r="N73" s="703"/>
      <c r="O73" s="703"/>
      <c r="P73" s="703"/>
      <c r="Q73" s="703"/>
      <c r="R73" s="703"/>
      <c r="S73" s="703"/>
      <c r="T73" s="703"/>
      <c r="U73" s="703"/>
      <c r="V73" s="703"/>
      <c r="W73" s="703"/>
      <c r="X73" s="703"/>
      <c r="Y73" s="703"/>
      <c r="Z73" s="703"/>
      <c r="AA73" s="703"/>
      <c r="AB73" s="703"/>
      <c r="AC73" s="703"/>
      <c r="AD73" s="703"/>
      <c r="AE73" s="703"/>
      <c r="AF73" s="703"/>
      <c r="AG73" s="703"/>
      <c r="AH73" s="682">
        <v>1.06</v>
      </c>
      <c r="AI73" s="682"/>
      <c r="AJ73" s="682"/>
      <c r="AK73" s="682"/>
      <c r="AL73" s="682"/>
      <c r="AM73" s="682"/>
      <c r="AN73" s="682"/>
      <c r="AO73" s="682"/>
      <c r="AP73" s="682"/>
      <c r="AQ73" s="682"/>
      <c r="AR73" s="682"/>
      <c r="AS73" s="682"/>
      <c r="AT73" s="683"/>
      <c r="AU73" s="693"/>
      <c r="AV73" s="694"/>
      <c r="AW73" s="694"/>
      <c r="AX73" s="694"/>
      <c r="AY73" s="694"/>
      <c r="AZ73" s="694"/>
      <c r="BA73" s="694"/>
      <c r="BB73" s="694"/>
      <c r="BC73" s="694"/>
      <c r="BD73" s="694"/>
      <c r="BE73" s="694"/>
      <c r="BF73" s="694"/>
      <c r="BG73" s="694"/>
      <c r="BH73" s="694"/>
      <c r="BI73" s="694"/>
      <c r="BJ73" s="694"/>
      <c r="BK73" s="694"/>
      <c r="BL73" s="694"/>
      <c r="BM73" s="694"/>
      <c r="BN73" s="694"/>
      <c r="BO73" s="694"/>
      <c r="BP73" s="694"/>
      <c r="BQ73" s="694"/>
      <c r="BR73" s="694"/>
      <c r="BS73" s="694"/>
      <c r="BT73" s="682"/>
      <c r="BU73" s="682"/>
      <c r="BV73" s="682"/>
      <c r="BW73" s="682"/>
      <c r="BX73" s="684"/>
      <c r="BY73" s="695"/>
      <c r="BZ73" s="696"/>
      <c r="CA73" s="696"/>
      <c r="CB73" s="696"/>
      <c r="CC73" s="696"/>
      <c r="CD73" s="696"/>
      <c r="CE73" s="696"/>
      <c r="CF73" s="696"/>
      <c r="CG73" s="696"/>
      <c r="CH73" s="696"/>
      <c r="CI73" s="696"/>
      <c r="CJ73" s="696"/>
      <c r="CK73" s="696"/>
      <c r="CL73" s="696"/>
      <c r="CM73" s="696"/>
      <c r="CN73" s="696"/>
      <c r="CO73" s="696"/>
      <c r="CP73" s="696"/>
      <c r="CQ73" s="696"/>
      <c r="CR73" s="696"/>
      <c r="CS73" s="696"/>
      <c r="CT73" s="696"/>
      <c r="CU73" s="696"/>
      <c r="CV73" s="696"/>
      <c r="CW73" s="696"/>
      <c r="CX73" s="696"/>
      <c r="CY73" s="696"/>
      <c r="CZ73" s="696"/>
      <c r="DA73" s="696"/>
      <c r="DB73" s="697"/>
      <c r="DC73" s="697"/>
      <c r="DD73" s="697"/>
      <c r="DE73" s="697"/>
      <c r="DF73" s="697"/>
      <c r="DG73" s="697"/>
      <c r="DH73" s="697"/>
      <c r="DI73" s="698"/>
      <c r="DJ73" s="630"/>
      <c r="DK73" s="631"/>
      <c r="DL73" s="631"/>
      <c r="DM73" s="631"/>
      <c r="DN73" s="631"/>
      <c r="DO73" s="631"/>
      <c r="DP73" s="631"/>
      <c r="DQ73" s="631"/>
      <c r="DR73" s="631"/>
      <c r="DS73" s="631"/>
      <c r="DT73" s="631"/>
      <c r="DU73" s="631"/>
      <c r="DV73" s="631"/>
      <c r="DW73" s="631"/>
      <c r="DX73" s="631"/>
      <c r="DY73" s="631"/>
      <c r="DZ73" s="631"/>
      <c r="EA73" s="631"/>
      <c r="EB73" s="631"/>
      <c r="EC73" s="631"/>
      <c r="ED73" s="631"/>
      <c r="EE73" s="631"/>
      <c r="EF73" s="631"/>
      <c r="EG73" s="631"/>
      <c r="EH73" s="631"/>
      <c r="EI73" s="631"/>
      <c r="EJ73" s="631"/>
      <c r="EK73" s="631"/>
      <c r="EL73" s="631"/>
      <c r="EM73" s="631"/>
      <c r="EN73" s="631"/>
      <c r="EO73" s="631"/>
      <c r="EP73" s="631"/>
      <c r="EQ73" s="631"/>
      <c r="ER73" s="631"/>
      <c r="ES73" s="631"/>
      <c r="ET73" s="631"/>
      <c r="EU73" s="631"/>
      <c r="EV73" s="631"/>
      <c r="EW73" s="631"/>
      <c r="EX73" s="631"/>
      <c r="EY73" s="631"/>
      <c r="EZ73" s="631"/>
      <c r="FA73" s="631"/>
      <c r="FB73" s="631"/>
      <c r="FC73" s="631"/>
      <c r="FD73" s="631"/>
      <c r="FE73" s="631"/>
      <c r="FF73" s="631"/>
      <c r="FG73" s="632"/>
    </row>
    <row r="74" spans="2:163" ht="8.65" customHeight="1">
      <c r="B74" s="702"/>
      <c r="C74" s="703"/>
      <c r="D74" s="703"/>
      <c r="E74" s="703"/>
      <c r="F74" s="703"/>
      <c r="G74" s="703"/>
      <c r="H74" s="703"/>
      <c r="I74" s="703"/>
      <c r="J74" s="703"/>
      <c r="K74" s="703"/>
      <c r="L74" s="703"/>
      <c r="M74" s="703"/>
      <c r="N74" s="703"/>
      <c r="O74" s="703"/>
      <c r="P74" s="703"/>
      <c r="Q74" s="703"/>
      <c r="R74" s="703"/>
      <c r="S74" s="703"/>
      <c r="T74" s="703"/>
      <c r="U74" s="703"/>
      <c r="V74" s="703"/>
      <c r="W74" s="703"/>
      <c r="X74" s="703"/>
      <c r="Y74" s="703"/>
      <c r="Z74" s="703"/>
      <c r="AA74" s="703"/>
      <c r="AB74" s="703"/>
      <c r="AC74" s="703"/>
      <c r="AD74" s="703"/>
      <c r="AE74" s="703"/>
      <c r="AF74" s="703"/>
      <c r="AG74" s="703"/>
      <c r="AH74" s="682"/>
      <c r="AI74" s="682"/>
      <c r="AJ74" s="682"/>
      <c r="AK74" s="682"/>
      <c r="AL74" s="682"/>
      <c r="AM74" s="682"/>
      <c r="AN74" s="682"/>
      <c r="AO74" s="682"/>
      <c r="AP74" s="682"/>
      <c r="AQ74" s="682"/>
      <c r="AR74" s="682"/>
      <c r="AS74" s="682"/>
      <c r="AT74" s="683"/>
      <c r="AU74" s="693" t="s">
        <v>274</v>
      </c>
      <c r="AV74" s="694"/>
      <c r="AW74" s="694"/>
      <c r="AX74" s="694"/>
      <c r="AY74" s="694"/>
      <c r="AZ74" s="694"/>
      <c r="BA74" s="694"/>
      <c r="BB74" s="694"/>
      <c r="BC74" s="694"/>
      <c r="BD74" s="694"/>
      <c r="BE74" s="694"/>
      <c r="BF74" s="694"/>
      <c r="BG74" s="694"/>
      <c r="BH74" s="694"/>
      <c r="BI74" s="694"/>
      <c r="BJ74" s="694"/>
      <c r="BK74" s="694"/>
      <c r="BL74" s="694"/>
      <c r="BM74" s="694"/>
      <c r="BN74" s="694"/>
      <c r="BO74" s="694"/>
      <c r="BP74" s="694"/>
      <c r="BQ74" s="694"/>
      <c r="BR74" s="694"/>
      <c r="BS74" s="694"/>
      <c r="BT74" s="682">
        <v>1.5</v>
      </c>
      <c r="BU74" s="682"/>
      <c r="BV74" s="682"/>
      <c r="BW74" s="682"/>
      <c r="BX74" s="684"/>
      <c r="BY74" s="695" t="s">
        <v>275</v>
      </c>
      <c r="BZ74" s="696"/>
      <c r="CA74" s="696"/>
      <c r="CB74" s="696"/>
      <c r="CC74" s="696"/>
      <c r="CD74" s="696"/>
      <c r="CE74" s="696"/>
      <c r="CF74" s="696"/>
      <c r="CG74" s="696"/>
      <c r="CH74" s="696"/>
      <c r="CI74" s="696"/>
      <c r="CJ74" s="696"/>
      <c r="CK74" s="696"/>
      <c r="CL74" s="696"/>
      <c r="CM74" s="696"/>
      <c r="CN74" s="696"/>
      <c r="CO74" s="696"/>
      <c r="CP74" s="696"/>
      <c r="CQ74" s="696"/>
      <c r="CR74" s="696"/>
      <c r="CS74" s="696"/>
      <c r="CT74" s="696"/>
      <c r="CU74" s="696"/>
      <c r="CV74" s="696"/>
      <c r="CW74" s="696"/>
      <c r="CX74" s="696"/>
      <c r="CY74" s="696"/>
      <c r="CZ74" s="696"/>
      <c r="DA74" s="696"/>
      <c r="DB74" s="697">
        <v>7.4999999999999997E-2</v>
      </c>
      <c r="DC74" s="697"/>
      <c r="DD74" s="697"/>
      <c r="DE74" s="697"/>
      <c r="DF74" s="697"/>
      <c r="DG74" s="697"/>
      <c r="DH74" s="697"/>
      <c r="DI74" s="698"/>
      <c r="DJ74" s="699" t="s">
        <v>258</v>
      </c>
      <c r="DK74" s="700"/>
      <c r="DL74" s="700"/>
      <c r="DM74" s="700"/>
      <c r="DN74" s="700"/>
      <c r="DO74" s="700"/>
      <c r="DP74" s="700"/>
      <c r="DQ74" s="700"/>
      <c r="DR74" s="700"/>
      <c r="DS74" s="700"/>
      <c r="DT74" s="700"/>
      <c r="DU74" s="700"/>
      <c r="DV74" s="700"/>
      <c r="DW74" s="700"/>
      <c r="DX74" s="700"/>
      <c r="DY74" s="700"/>
      <c r="DZ74" s="700"/>
      <c r="EA74" s="700"/>
      <c r="EB74" s="700"/>
      <c r="EC74" s="700"/>
      <c r="ED74" s="700"/>
      <c r="EE74" s="700"/>
      <c r="EF74" s="700"/>
      <c r="EG74" s="700"/>
      <c r="EH74" s="700"/>
      <c r="EI74" s="700"/>
      <c r="EJ74" s="700"/>
      <c r="EK74" s="700"/>
      <c r="EL74" s="700"/>
      <c r="EM74" s="700"/>
      <c r="EN74" s="700"/>
      <c r="EO74" s="700"/>
      <c r="EP74" s="700"/>
      <c r="EQ74" s="700"/>
      <c r="ER74" s="700"/>
      <c r="ES74" s="700"/>
      <c r="ET74" s="700"/>
      <c r="EU74" s="700"/>
      <c r="EV74" s="700"/>
      <c r="EW74" s="700"/>
      <c r="EX74" s="700"/>
      <c r="EY74" s="700"/>
      <c r="EZ74" s="700"/>
      <c r="FA74" s="700"/>
      <c r="FB74" s="700"/>
      <c r="FC74" s="700"/>
      <c r="FD74" s="700"/>
      <c r="FE74" s="700"/>
      <c r="FF74" s="700"/>
      <c r="FG74" s="701"/>
    </row>
    <row r="75" spans="2:163" ht="8.65" customHeight="1">
      <c r="B75" s="702" t="s">
        <v>259</v>
      </c>
      <c r="C75" s="703"/>
      <c r="D75" s="703"/>
      <c r="E75" s="703"/>
      <c r="F75" s="703"/>
      <c r="G75" s="703"/>
      <c r="H75" s="703"/>
      <c r="I75" s="703"/>
      <c r="J75" s="703"/>
      <c r="K75" s="703"/>
      <c r="L75" s="703"/>
      <c r="M75" s="703"/>
      <c r="N75" s="703"/>
      <c r="O75" s="703"/>
      <c r="P75" s="703"/>
      <c r="Q75" s="703"/>
      <c r="R75" s="703"/>
      <c r="S75" s="703"/>
      <c r="T75" s="703"/>
      <c r="U75" s="703"/>
      <c r="V75" s="703"/>
      <c r="W75" s="703"/>
      <c r="X75" s="703"/>
      <c r="Y75" s="703"/>
      <c r="Z75" s="703"/>
      <c r="AA75" s="703"/>
      <c r="AB75" s="703"/>
      <c r="AC75" s="703"/>
      <c r="AD75" s="703"/>
      <c r="AE75" s="703"/>
      <c r="AF75" s="703"/>
      <c r="AG75" s="703"/>
      <c r="AH75" s="682">
        <v>1.03</v>
      </c>
      <c r="AI75" s="682"/>
      <c r="AJ75" s="682"/>
      <c r="AK75" s="682"/>
      <c r="AL75" s="682"/>
      <c r="AM75" s="682"/>
      <c r="AN75" s="682"/>
      <c r="AO75" s="682"/>
      <c r="AP75" s="682"/>
      <c r="AQ75" s="682"/>
      <c r="AR75" s="682"/>
      <c r="AS75" s="682"/>
      <c r="AT75" s="683"/>
      <c r="AU75" s="693"/>
      <c r="AV75" s="694"/>
      <c r="AW75" s="694"/>
      <c r="AX75" s="694"/>
      <c r="AY75" s="694"/>
      <c r="AZ75" s="694"/>
      <c r="BA75" s="694"/>
      <c r="BB75" s="694"/>
      <c r="BC75" s="694"/>
      <c r="BD75" s="694"/>
      <c r="BE75" s="694"/>
      <c r="BF75" s="694"/>
      <c r="BG75" s="694"/>
      <c r="BH75" s="694"/>
      <c r="BI75" s="694"/>
      <c r="BJ75" s="694"/>
      <c r="BK75" s="694"/>
      <c r="BL75" s="694"/>
      <c r="BM75" s="694"/>
      <c r="BN75" s="694"/>
      <c r="BO75" s="694"/>
      <c r="BP75" s="694"/>
      <c r="BQ75" s="694"/>
      <c r="BR75" s="694"/>
      <c r="BS75" s="694"/>
      <c r="BT75" s="682"/>
      <c r="BU75" s="682"/>
      <c r="BV75" s="682"/>
      <c r="BW75" s="682"/>
      <c r="BX75" s="684"/>
      <c r="BY75" s="695"/>
      <c r="BZ75" s="696"/>
      <c r="CA75" s="696"/>
      <c r="CB75" s="696"/>
      <c r="CC75" s="696"/>
      <c r="CD75" s="696"/>
      <c r="CE75" s="696"/>
      <c r="CF75" s="696"/>
      <c r="CG75" s="696"/>
      <c r="CH75" s="696"/>
      <c r="CI75" s="696"/>
      <c r="CJ75" s="696"/>
      <c r="CK75" s="696"/>
      <c r="CL75" s="696"/>
      <c r="CM75" s="696"/>
      <c r="CN75" s="696"/>
      <c r="CO75" s="696"/>
      <c r="CP75" s="696"/>
      <c r="CQ75" s="696"/>
      <c r="CR75" s="696"/>
      <c r="CS75" s="696"/>
      <c r="CT75" s="696"/>
      <c r="CU75" s="696"/>
      <c r="CV75" s="696"/>
      <c r="CW75" s="696"/>
      <c r="CX75" s="696"/>
      <c r="CY75" s="696"/>
      <c r="CZ75" s="696"/>
      <c r="DA75" s="696"/>
      <c r="DB75" s="697"/>
      <c r="DC75" s="697"/>
      <c r="DD75" s="697"/>
      <c r="DE75" s="697"/>
      <c r="DF75" s="697"/>
      <c r="DG75" s="697"/>
      <c r="DH75" s="697"/>
      <c r="DI75" s="698"/>
      <c r="DJ75" s="699"/>
      <c r="DK75" s="700"/>
      <c r="DL75" s="700"/>
      <c r="DM75" s="700"/>
      <c r="DN75" s="700"/>
      <c r="DO75" s="700"/>
      <c r="DP75" s="700"/>
      <c r="DQ75" s="700"/>
      <c r="DR75" s="700"/>
      <c r="DS75" s="700"/>
      <c r="DT75" s="700"/>
      <c r="DU75" s="700"/>
      <c r="DV75" s="700"/>
      <c r="DW75" s="700"/>
      <c r="DX75" s="700"/>
      <c r="DY75" s="700"/>
      <c r="DZ75" s="700"/>
      <c r="EA75" s="700"/>
      <c r="EB75" s="700"/>
      <c r="EC75" s="700"/>
      <c r="ED75" s="700"/>
      <c r="EE75" s="700"/>
      <c r="EF75" s="700"/>
      <c r="EG75" s="700"/>
      <c r="EH75" s="700"/>
      <c r="EI75" s="700"/>
      <c r="EJ75" s="700"/>
      <c r="EK75" s="700"/>
      <c r="EL75" s="700"/>
      <c r="EM75" s="700"/>
      <c r="EN75" s="700"/>
      <c r="EO75" s="700"/>
      <c r="EP75" s="700"/>
      <c r="EQ75" s="700"/>
      <c r="ER75" s="700"/>
      <c r="ES75" s="700"/>
      <c r="ET75" s="700"/>
      <c r="EU75" s="700"/>
      <c r="EV75" s="700"/>
      <c r="EW75" s="700"/>
      <c r="EX75" s="700"/>
      <c r="EY75" s="700"/>
      <c r="EZ75" s="700"/>
      <c r="FA75" s="700"/>
      <c r="FB75" s="700"/>
      <c r="FC75" s="700"/>
      <c r="FD75" s="700"/>
      <c r="FE75" s="700"/>
      <c r="FF75" s="700"/>
      <c r="FG75" s="701"/>
    </row>
    <row r="76" spans="2:163" ht="8.65" customHeight="1">
      <c r="B76" s="702"/>
      <c r="C76" s="703"/>
      <c r="D76" s="703"/>
      <c r="E76" s="703"/>
      <c r="F76" s="703"/>
      <c r="G76" s="703"/>
      <c r="H76" s="703"/>
      <c r="I76" s="703"/>
      <c r="J76" s="703"/>
      <c r="K76" s="703"/>
      <c r="L76" s="703"/>
      <c r="M76" s="703"/>
      <c r="N76" s="703"/>
      <c r="O76" s="703"/>
      <c r="P76" s="703"/>
      <c r="Q76" s="703"/>
      <c r="R76" s="703"/>
      <c r="S76" s="703"/>
      <c r="T76" s="703"/>
      <c r="U76" s="703"/>
      <c r="V76" s="703"/>
      <c r="W76" s="703"/>
      <c r="X76" s="703"/>
      <c r="Y76" s="703"/>
      <c r="Z76" s="703"/>
      <c r="AA76" s="703"/>
      <c r="AB76" s="703"/>
      <c r="AC76" s="703"/>
      <c r="AD76" s="703"/>
      <c r="AE76" s="703"/>
      <c r="AF76" s="703"/>
      <c r="AG76" s="703"/>
      <c r="AH76" s="682"/>
      <c r="AI76" s="682"/>
      <c r="AJ76" s="682"/>
      <c r="AK76" s="682"/>
      <c r="AL76" s="682"/>
      <c r="AM76" s="682"/>
      <c r="AN76" s="682"/>
      <c r="AO76" s="682"/>
      <c r="AP76" s="682"/>
      <c r="AQ76" s="682"/>
      <c r="AR76" s="682"/>
      <c r="AS76" s="682"/>
      <c r="AT76" s="683"/>
      <c r="AU76" s="693" t="s">
        <v>278</v>
      </c>
      <c r="AV76" s="694"/>
      <c r="AW76" s="694"/>
      <c r="AX76" s="694"/>
      <c r="AY76" s="694"/>
      <c r="AZ76" s="694"/>
      <c r="BA76" s="694"/>
      <c r="BB76" s="694"/>
      <c r="BC76" s="694"/>
      <c r="BD76" s="694"/>
      <c r="BE76" s="694"/>
      <c r="BF76" s="694"/>
      <c r="BG76" s="694"/>
      <c r="BH76" s="694"/>
      <c r="BI76" s="694"/>
      <c r="BJ76" s="694"/>
      <c r="BK76" s="694"/>
      <c r="BL76" s="694"/>
      <c r="BM76" s="694"/>
      <c r="BN76" s="694"/>
      <c r="BO76" s="694"/>
      <c r="BP76" s="694"/>
      <c r="BQ76" s="694"/>
      <c r="BR76" s="694"/>
      <c r="BS76" s="694"/>
      <c r="BT76" s="682">
        <v>0.5</v>
      </c>
      <c r="BU76" s="682"/>
      <c r="BV76" s="682"/>
      <c r="BW76" s="682"/>
      <c r="BX76" s="684"/>
      <c r="BY76" s="695"/>
      <c r="BZ76" s="696"/>
      <c r="CA76" s="696"/>
      <c r="CB76" s="696"/>
      <c r="CC76" s="696"/>
      <c r="CD76" s="696"/>
      <c r="CE76" s="696"/>
      <c r="CF76" s="696"/>
      <c r="CG76" s="696"/>
      <c r="CH76" s="696"/>
      <c r="CI76" s="696"/>
      <c r="CJ76" s="696"/>
      <c r="CK76" s="696"/>
      <c r="CL76" s="696"/>
      <c r="CM76" s="696"/>
      <c r="CN76" s="696"/>
      <c r="CO76" s="696"/>
      <c r="CP76" s="696"/>
      <c r="CQ76" s="696"/>
      <c r="CR76" s="696"/>
      <c r="CS76" s="696"/>
      <c r="CT76" s="696"/>
      <c r="CU76" s="696"/>
      <c r="CV76" s="696"/>
      <c r="CW76" s="696"/>
      <c r="CX76" s="696"/>
      <c r="CY76" s="696"/>
      <c r="CZ76" s="696"/>
      <c r="DA76" s="696"/>
      <c r="DB76" s="697"/>
      <c r="DC76" s="697"/>
      <c r="DD76" s="697"/>
      <c r="DE76" s="697"/>
      <c r="DF76" s="697"/>
      <c r="DG76" s="697"/>
      <c r="DH76" s="697"/>
      <c r="DI76" s="698"/>
      <c r="DJ76" s="699"/>
      <c r="DK76" s="700"/>
      <c r="DL76" s="700"/>
      <c r="DM76" s="700"/>
      <c r="DN76" s="700"/>
      <c r="DO76" s="700"/>
      <c r="DP76" s="700"/>
      <c r="DQ76" s="700"/>
      <c r="DR76" s="700"/>
      <c r="DS76" s="700"/>
      <c r="DT76" s="700"/>
      <c r="DU76" s="700"/>
      <c r="DV76" s="700"/>
      <c r="DW76" s="700"/>
      <c r="DX76" s="700"/>
      <c r="DY76" s="700"/>
      <c r="DZ76" s="700"/>
      <c r="EA76" s="700"/>
      <c r="EB76" s="700"/>
      <c r="EC76" s="700"/>
      <c r="ED76" s="700"/>
      <c r="EE76" s="700"/>
      <c r="EF76" s="700"/>
      <c r="EG76" s="700"/>
      <c r="EH76" s="700"/>
      <c r="EI76" s="700"/>
      <c r="EJ76" s="700"/>
      <c r="EK76" s="700"/>
      <c r="EL76" s="700"/>
      <c r="EM76" s="700"/>
      <c r="EN76" s="700"/>
      <c r="EO76" s="700"/>
      <c r="EP76" s="700"/>
      <c r="EQ76" s="700"/>
      <c r="ER76" s="700"/>
      <c r="ES76" s="700"/>
      <c r="ET76" s="700"/>
      <c r="EU76" s="700"/>
      <c r="EV76" s="700"/>
      <c r="EW76" s="700"/>
      <c r="EX76" s="700"/>
      <c r="EY76" s="700"/>
      <c r="EZ76" s="700"/>
      <c r="FA76" s="700"/>
      <c r="FB76" s="700"/>
      <c r="FC76" s="700"/>
      <c r="FD76" s="700"/>
      <c r="FE76" s="700"/>
      <c r="FF76" s="700"/>
      <c r="FG76" s="701"/>
    </row>
    <row r="77" spans="2:163" ht="8.65" customHeight="1">
      <c r="B77" s="702" t="s">
        <v>260</v>
      </c>
      <c r="C77" s="703"/>
      <c r="D77" s="703"/>
      <c r="E77" s="703"/>
      <c r="F77" s="703"/>
      <c r="G77" s="703"/>
      <c r="H77" s="703"/>
      <c r="I77" s="703"/>
      <c r="J77" s="703"/>
      <c r="K77" s="703"/>
      <c r="L77" s="703"/>
      <c r="M77" s="703"/>
      <c r="N77" s="703"/>
      <c r="O77" s="703"/>
      <c r="P77" s="703"/>
      <c r="Q77" s="703"/>
      <c r="R77" s="703"/>
      <c r="S77" s="703"/>
      <c r="T77" s="703"/>
      <c r="U77" s="703"/>
      <c r="V77" s="703"/>
      <c r="W77" s="703"/>
      <c r="X77" s="703"/>
      <c r="Y77" s="703"/>
      <c r="Z77" s="703"/>
      <c r="AA77" s="703"/>
      <c r="AB77" s="703"/>
      <c r="AC77" s="703"/>
      <c r="AD77" s="703"/>
      <c r="AE77" s="703"/>
      <c r="AF77" s="703"/>
      <c r="AG77" s="703"/>
      <c r="AH77" s="682">
        <v>1.02</v>
      </c>
      <c r="AI77" s="682"/>
      <c r="AJ77" s="682"/>
      <c r="AK77" s="682"/>
      <c r="AL77" s="682"/>
      <c r="AM77" s="682"/>
      <c r="AN77" s="682"/>
      <c r="AO77" s="682"/>
      <c r="AP77" s="682"/>
      <c r="AQ77" s="682"/>
      <c r="AR77" s="682"/>
      <c r="AS77" s="682"/>
      <c r="AT77" s="683"/>
      <c r="AU77" s="693"/>
      <c r="AV77" s="694"/>
      <c r="AW77" s="694"/>
      <c r="AX77" s="694"/>
      <c r="AY77" s="694"/>
      <c r="AZ77" s="694"/>
      <c r="BA77" s="694"/>
      <c r="BB77" s="694"/>
      <c r="BC77" s="694"/>
      <c r="BD77" s="694"/>
      <c r="BE77" s="694"/>
      <c r="BF77" s="694"/>
      <c r="BG77" s="694"/>
      <c r="BH77" s="694"/>
      <c r="BI77" s="694"/>
      <c r="BJ77" s="694"/>
      <c r="BK77" s="694"/>
      <c r="BL77" s="694"/>
      <c r="BM77" s="694"/>
      <c r="BN77" s="694"/>
      <c r="BO77" s="694"/>
      <c r="BP77" s="694"/>
      <c r="BQ77" s="694"/>
      <c r="BR77" s="694"/>
      <c r="BS77" s="694"/>
      <c r="BT77" s="682"/>
      <c r="BU77" s="682"/>
      <c r="BV77" s="682"/>
      <c r="BW77" s="682"/>
      <c r="BX77" s="684"/>
      <c r="BY77" s="695" t="s">
        <v>279</v>
      </c>
      <c r="BZ77" s="696"/>
      <c r="CA77" s="696"/>
      <c r="CB77" s="696"/>
      <c r="CC77" s="696"/>
      <c r="CD77" s="696"/>
      <c r="CE77" s="696"/>
      <c r="CF77" s="696"/>
      <c r="CG77" s="696"/>
      <c r="CH77" s="696"/>
      <c r="CI77" s="696"/>
      <c r="CJ77" s="696"/>
      <c r="CK77" s="696"/>
      <c r="CL77" s="696"/>
      <c r="CM77" s="696"/>
      <c r="CN77" s="696"/>
      <c r="CO77" s="696"/>
      <c r="CP77" s="696"/>
      <c r="CQ77" s="696"/>
      <c r="CR77" s="696"/>
      <c r="CS77" s="696"/>
      <c r="CT77" s="696"/>
      <c r="CU77" s="696"/>
      <c r="CV77" s="696"/>
      <c r="CW77" s="696"/>
      <c r="CX77" s="696"/>
      <c r="CY77" s="696"/>
      <c r="CZ77" s="696"/>
      <c r="DA77" s="696"/>
      <c r="DB77" s="697">
        <v>7.0999999999999994E-2</v>
      </c>
      <c r="DC77" s="697"/>
      <c r="DD77" s="697"/>
      <c r="DE77" s="697"/>
      <c r="DF77" s="697"/>
      <c r="DG77" s="697"/>
      <c r="DH77" s="697"/>
      <c r="DI77" s="698"/>
      <c r="DJ77" s="705" t="s">
        <v>262</v>
      </c>
      <c r="DK77" s="706"/>
      <c r="DL77" s="706"/>
      <c r="DM77" s="706"/>
      <c r="DN77" s="706"/>
      <c r="DO77" s="706"/>
      <c r="DP77" s="706"/>
      <c r="DQ77" s="706"/>
      <c r="DR77" s="706"/>
      <c r="DS77" s="706"/>
      <c r="DT77" s="706"/>
      <c r="DU77" s="706"/>
      <c r="DV77" s="706"/>
      <c r="DW77" s="706"/>
      <c r="DX77" s="706"/>
      <c r="DY77" s="706"/>
      <c r="DZ77" s="706"/>
      <c r="EA77" s="706"/>
      <c r="EB77" s="706"/>
      <c r="EC77" s="706"/>
      <c r="ED77" s="706"/>
      <c r="EE77" s="706"/>
      <c r="EF77" s="706"/>
      <c r="EG77" s="706"/>
      <c r="EH77" s="706"/>
      <c r="EI77" s="706"/>
      <c r="EJ77" s="706"/>
      <c r="EK77" s="706"/>
      <c r="EL77" s="706"/>
      <c r="EM77" s="706"/>
      <c r="EN77" s="706"/>
      <c r="EO77" s="706"/>
      <c r="EP77" s="706"/>
      <c r="EQ77" s="706"/>
      <c r="ER77" s="706"/>
      <c r="ES77" s="706"/>
      <c r="ET77" s="706"/>
      <c r="EU77" s="706"/>
      <c r="EV77" s="706"/>
      <c r="EW77" s="706"/>
      <c r="EX77" s="706"/>
      <c r="EY77" s="706"/>
      <c r="EZ77" s="706"/>
      <c r="FA77" s="706"/>
      <c r="FB77" s="706"/>
      <c r="FC77" s="706"/>
      <c r="FD77" s="706"/>
      <c r="FE77" s="706"/>
      <c r="FF77" s="706"/>
      <c r="FG77" s="707"/>
    </row>
    <row r="78" spans="2:163" ht="8.65" customHeight="1">
      <c r="B78" s="702"/>
      <c r="C78" s="703"/>
      <c r="D78" s="703"/>
      <c r="E78" s="703"/>
      <c r="F78" s="703"/>
      <c r="G78" s="703"/>
      <c r="H78" s="703"/>
      <c r="I78" s="703"/>
      <c r="J78" s="703"/>
      <c r="K78" s="703"/>
      <c r="L78" s="703"/>
      <c r="M78" s="703"/>
      <c r="N78" s="703"/>
      <c r="O78" s="703"/>
      <c r="P78" s="703"/>
      <c r="Q78" s="703"/>
      <c r="R78" s="703"/>
      <c r="S78" s="703"/>
      <c r="T78" s="703"/>
      <c r="U78" s="703"/>
      <c r="V78" s="703"/>
      <c r="W78" s="703"/>
      <c r="X78" s="703"/>
      <c r="Y78" s="703"/>
      <c r="Z78" s="703"/>
      <c r="AA78" s="703"/>
      <c r="AB78" s="703"/>
      <c r="AC78" s="703"/>
      <c r="AD78" s="703"/>
      <c r="AE78" s="703"/>
      <c r="AF78" s="703"/>
      <c r="AG78" s="703"/>
      <c r="AH78" s="682"/>
      <c r="AI78" s="682"/>
      <c r="AJ78" s="682"/>
      <c r="AK78" s="682"/>
      <c r="AL78" s="682"/>
      <c r="AM78" s="682"/>
      <c r="AN78" s="682"/>
      <c r="AO78" s="682"/>
      <c r="AP78" s="682"/>
      <c r="AQ78" s="682"/>
      <c r="AR78" s="682"/>
      <c r="AS78" s="682"/>
      <c r="AT78" s="683"/>
      <c r="AU78" s="693" t="s">
        <v>281</v>
      </c>
      <c r="AV78" s="694"/>
      <c r="AW78" s="694"/>
      <c r="AX78" s="694"/>
      <c r="AY78" s="694"/>
      <c r="AZ78" s="694"/>
      <c r="BA78" s="694"/>
      <c r="BB78" s="694"/>
      <c r="BC78" s="694"/>
      <c r="BD78" s="694"/>
      <c r="BE78" s="694"/>
      <c r="BF78" s="694"/>
      <c r="BG78" s="694"/>
      <c r="BH78" s="694"/>
      <c r="BI78" s="694"/>
      <c r="BJ78" s="694"/>
      <c r="BK78" s="694"/>
      <c r="BL78" s="694"/>
      <c r="BM78" s="694"/>
      <c r="BN78" s="694"/>
      <c r="BO78" s="694"/>
      <c r="BP78" s="694"/>
      <c r="BQ78" s="694"/>
      <c r="BR78" s="694"/>
      <c r="BS78" s="694"/>
      <c r="BT78" s="682">
        <v>1.8</v>
      </c>
      <c r="BU78" s="682"/>
      <c r="BV78" s="682"/>
      <c r="BW78" s="682"/>
      <c r="BX78" s="684"/>
      <c r="BY78" s="695"/>
      <c r="BZ78" s="696"/>
      <c r="CA78" s="696"/>
      <c r="CB78" s="696"/>
      <c r="CC78" s="696"/>
      <c r="CD78" s="696"/>
      <c r="CE78" s="696"/>
      <c r="CF78" s="696"/>
      <c r="CG78" s="696"/>
      <c r="CH78" s="696"/>
      <c r="CI78" s="696"/>
      <c r="CJ78" s="696"/>
      <c r="CK78" s="696"/>
      <c r="CL78" s="696"/>
      <c r="CM78" s="696"/>
      <c r="CN78" s="696"/>
      <c r="CO78" s="696"/>
      <c r="CP78" s="696"/>
      <c r="CQ78" s="696"/>
      <c r="CR78" s="696"/>
      <c r="CS78" s="696"/>
      <c r="CT78" s="696"/>
      <c r="CU78" s="696"/>
      <c r="CV78" s="696"/>
      <c r="CW78" s="696"/>
      <c r="CX78" s="696"/>
      <c r="CY78" s="696"/>
      <c r="CZ78" s="696"/>
      <c r="DA78" s="696"/>
      <c r="DB78" s="697"/>
      <c r="DC78" s="697"/>
      <c r="DD78" s="697"/>
      <c r="DE78" s="697"/>
      <c r="DF78" s="697"/>
      <c r="DG78" s="697"/>
      <c r="DH78" s="697"/>
      <c r="DI78" s="698"/>
      <c r="DJ78" s="708"/>
      <c r="DK78" s="706"/>
      <c r="DL78" s="706"/>
      <c r="DM78" s="706"/>
      <c r="DN78" s="706"/>
      <c r="DO78" s="706"/>
      <c r="DP78" s="706"/>
      <c r="DQ78" s="706"/>
      <c r="DR78" s="706"/>
      <c r="DS78" s="706"/>
      <c r="DT78" s="706"/>
      <c r="DU78" s="706"/>
      <c r="DV78" s="706"/>
      <c r="DW78" s="706"/>
      <c r="DX78" s="706"/>
      <c r="DY78" s="706"/>
      <c r="DZ78" s="706"/>
      <c r="EA78" s="706"/>
      <c r="EB78" s="706"/>
      <c r="EC78" s="706"/>
      <c r="ED78" s="706"/>
      <c r="EE78" s="706"/>
      <c r="EF78" s="706"/>
      <c r="EG78" s="706"/>
      <c r="EH78" s="706"/>
      <c r="EI78" s="706"/>
      <c r="EJ78" s="706"/>
      <c r="EK78" s="706"/>
      <c r="EL78" s="706"/>
      <c r="EM78" s="706"/>
      <c r="EN78" s="706"/>
      <c r="EO78" s="706"/>
      <c r="EP78" s="706"/>
      <c r="EQ78" s="706"/>
      <c r="ER78" s="706"/>
      <c r="ES78" s="706"/>
      <c r="ET78" s="706"/>
      <c r="EU78" s="706"/>
      <c r="EV78" s="706"/>
      <c r="EW78" s="706"/>
      <c r="EX78" s="706"/>
      <c r="EY78" s="706"/>
      <c r="EZ78" s="706"/>
      <c r="FA78" s="706"/>
      <c r="FB78" s="706"/>
      <c r="FC78" s="706"/>
      <c r="FD78" s="706"/>
      <c r="FE78" s="706"/>
      <c r="FF78" s="706"/>
      <c r="FG78" s="707"/>
    </row>
    <row r="79" spans="2:163" ht="8.65" customHeight="1">
      <c r="B79" s="702" t="s">
        <v>263</v>
      </c>
      <c r="C79" s="703"/>
      <c r="D79" s="703"/>
      <c r="E79" s="703"/>
      <c r="F79" s="703"/>
      <c r="G79" s="703"/>
      <c r="H79" s="703"/>
      <c r="I79" s="703"/>
      <c r="J79" s="703"/>
      <c r="K79" s="703"/>
      <c r="L79" s="703"/>
      <c r="M79" s="703"/>
      <c r="N79" s="703"/>
      <c r="O79" s="703"/>
      <c r="P79" s="703"/>
      <c r="Q79" s="703"/>
      <c r="R79" s="703"/>
      <c r="S79" s="703"/>
      <c r="T79" s="703"/>
      <c r="U79" s="703"/>
      <c r="V79" s="703"/>
      <c r="W79" s="703"/>
      <c r="X79" s="703"/>
      <c r="Y79" s="703"/>
      <c r="Z79" s="703"/>
      <c r="AA79" s="703"/>
      <c r="AB79" s="703"/>
      <c r="AC79" s="703"/>
      <c r="AD79" s="703"/>
      <c r="AE79" s="703"/>
      <c r="AF79" s="703"/>
      <c r="AG79" s="703"/>
      <c r="AH79" s="682">
        <v>1.01</v>
      </c>
      <c r="AI79" s="682"/>
      <c r="AJ79" s="682"/>
      <c r="AK79" s="682"/>
      <c r="AL79" s="682"/>
      <c r="AM79" s="682"/>
      <c r="AN79" s="682"/>
      <c r="AO79" s="682"/>
      <c r="AP79" s="682"/>
      <c r="AQ79" s="682"/>
      <c r="AR79" s="682"/>
      <c r="AS79" s="682"/>
      <c r="AT79" s="683"/>
      <c r="AU79" s="693"/>
      <c r="AV79" s="694"/>
      <c r="AW79" s="694"/>
      <c r="AX79" s="694"/>
      <c r="AY79" s="694"/>
      <c r="AZ79" s="694"/>
      <c r="BA79" s="694"/>
      <c r="BB79" s="694"/>
      <c r="BC79" s="694"/>
      <c r="BD79" s="694"/>
      <c r="BE79" s="694"/>
      <c r="BF79" s="694"/>
      <c r="BG79" s="694"/>
      <c r="BH79" s="694"/>
      <c r="BI79" s="694"/>
      <c r="BJ79" s="694"/>
      <c r="BK79" s="694"/>
      <c r="BL79" s="694"/>
      <c r="BM79" s="694"/>
      <c r="BN79" s="694"/>
      <c r="BO79" s="694"/>
      <c r="BP79" s="694"/>
      <c r="BQ79" s="694"/>
      <c r="BR79" s="694"/>
      <c r="BS79" s="694"/>
      <c r="BT79" s="682"/>
      <c r="BU79" s="682"/>
      <c r="BV79" s="682"/>
      <c r="BW79" s="682"/>
      <c r="BX79" s="684"/>
      <c r="BY79" s="695"/>
      <c r="BZ79" s="696"/>
      <c r="CA79" s="696"/>
      <c r="CB79" s="696"/>
      <c r="CC79" s="696"/>
      <c r="CD79" s="696"/>
      <c r="CE79" s="696"/>
      <c r="CF79" s="696"/>
      <c r="CG79" s="696"/>
      <c r="CH79" s="696"/>
      <c r="CI79" s="696"/>
      <c r="CJ79" s="696"/>
      <c r="CK79" s="696"/>
      <c r="CL79" s="696"/>
      <c r="CM79" s="696"/>
      <c r="CN79" s="696"/>
      <c r="CO79" s="696"/>
      <c r="CP79" s="696"/>
      <c r="CQ79" s="696"/>
      <c r="CR79" s="696"/>
      <c r="CS79" s="696"/>
      <c r="CT79" s="696"/>
      <c r="CU79" s="696"/>
      <c r="CV79" s="696"/>
      <c r="CW79" s="696"/>
      <c r="CX79" s="696"/>
      <c r="CY79" s="696"/>
      <c r="CZ79" s="696"/>
      <c r="DA79" s="696"/>
      <c r="DB79" s="697"/>
      <c r="DC79" s="697"/>
      <c r="DD79" s="697"/>
      <c r="DE79" s="697"/>
      <c r="DF79" s="697"/>
      <c r="DG79" s="697"/>
      <c r="DH79" s="697"/>
      <c r="DI79" s="698"/>
      <c r="DJ79" s="708"/>
      <c r="DK79" s="706"/>
      <c r="DL79" s="706"/>
      <c r="DM79" s="706"/>
      <c r="DN79" s="706"/>
      <c r="DO79" s="706"/>
      <c r="DP79" s="706"/>
      <c r="DQ79" s="706"/>
      <c r="DR79" s="706"/>
      <c r="DS79" s="706"/>
      <c r="DT79" s="706"/>
      <c r="DU79" s="706"/>
      <c r="DV79" s="706"/>
      <c r="DW79" s="706"/>
      <c r="DX79" s="706"/>
      <c r="DY79" s="706"/>
      <c r="DZ79" s="706"/>
      <c r="EA79" s="706"/>
      <c r="EB79" s="706"/>
      <c r="EC79" s="706"/>
      <c r="ED79" s="706"/>
      <c r="EE79" s="706"/>
      <c r="EF79" s="706"/>
      <c r="EG79" s="706"/>
      <c r="EH79" s="706"/>
      <c r="EI79" s="706"/>
      <c r="EJ79" s="706"/>
      <c r="EK79" s="706"/>
      <c r="EL79" s="706"/>
      <c r="EM79" s="706"/>
      <c r="EN79" s="706"/>
      <c r="EO79" s="706"/>
      <c r="EP79" s="706"/>
      <c r="EQ79" s="706"/>
      <c r="ER79" s="706"/>
      <c r="ES79" s="706"/>
      <c r="ET79" s="706"/>
      <c r="EU79" s="706"/>
      <c r="EV79" s="706"/>
      <c r="EW79" s="706"/>
      <c r="EX79" s="706"/>
      <c r="EY79" s="706"/>
      <c r="EZ79" s="706"/>
      <c r="FA79" s="706"/>
      <c r="FB79" s="706"/>
      <c r="FC79" s="706"/>
      <c r="FD79" s="706"/>
      <c r="FE79" s="706"/>
      <c r="FF79" s="706"/>
      <c r="FG79" s="707"/>
    </row>
    <row r="80" spans="2:163" ht="8.65" customHeight="1">
      <c r="B80" s="702"/>
      <c r="C80" s="703"/>
      <c r="D80" s="703"/>
      <c r="E80" s="703"/>
      <c r="F80" s="703"/>
      <c r="G80" s="703"/>
      <c r="H80" s="703"/>
      <c r="I80" s="703"/>
      <c r="J80" s="703"/>
      <c r="K80" s="703"/>
      <c r="L80" s="703"/>
      <c r="M80" s="703"/>
      <c r="N80" s="703"/>
      <c r="O80" s="703"/>
      <c r="P80" s="703"/>
      <c r="Q80" s="703"/>
      <c r="R80" s="703"/>
      <c r="S80" s="703"/>
      <c r="T80" s="703"/>
      <c r="U80" s="703"/>
      <c r="V80" s="703"/>
      <c r="W80" s="703"/>
      <c r="X80" s="703"/>
      <c r="Y80" s="703"/>
      <c r="Z80" s="703"/>
      <c r="AA80" s="703"/>
      <c r="AB80" s="703"/>
      <c r="AC80" s="703"/>
      <c r="AD80" s="703"/>
      <c r="AE80" s="703"/>
      <c r="AF80" s="703"/>
      <c r="AG80" s="703"/>
      <c r="AH80" s="682"/>
      <c r="AI80" s="682"/>
      <c r="AJ80" s="682"/>
      <c r="AK80" s="682"/>
      <c r="AL80" s="682"/>
      <c r="AM80" s="682"/>
      <c r="AN80" s="682"/>
      <c r="AO80" s="682"/>
      <c r="AP80" s="682"/>
      <c r="AQ80" s="682"/>
      <c r="AR80" s="682"/>
      <c r="AS80" s="682"/>
      <c r="AT80" s="683"/>
      <c r="AU80" s="693" t="s">
        <v>283</v>
      </c>
      <c r="AV80" s="694"/>
      <c r="AW80" s="694"/>
      <c r="AX80" s="694"/>
      <c r="AY80" s="694"/>
      <c r="AZ80" s="694"/>
      <c r="BA80" s="694"/>
      <c r="BB80" s="694"/>
      <c r="BC80" s="694"/>
      <c r="BD80" s="694"/>
      <c r="BE80" s="694"/>
      <c r="BF80" s="694"/>
      <c r="BG80" s="694"/>
      <c r="BH80" s="694"/>
      <c r="BI80" s="694"/>
      <c r="BJ80" s="694"/>
      <c r="BK80" s="694"/>
      <c r="BL80" s="694"/>
      <c r="BM80" s="694"/>
      <c r="BN80" s="694"/>
      <c r="BO80" s="694"/>
      <c r="BP80" s="694"/>
      <c r="BQ80" s="694"/>
      <c r="BR80" s="694"/>
      <c r="BS80" s="694"/>
      <c r="BT80" s="682">
        <v>0.8</v>
      </c>
      <c r="BU80" s="682"/>
      <c r="BV80" s="682"/>
      <c r="BW80" s="682"/>
      <c r="BX80" s="684"/>
      <c r="BY80" s="695" t="s">
        <v>284</v>
      </c>
      <c r="BZ80" s="696"/>
      <c r="CA80" s="696"/>
      <c r="CB80" s="696"/>
      <c r="CC80" s="696"/>
      <c r="CD80" s="696"/>
      <c r="CE80" s="696"/>
      <c r="CF80" s="696"/>
      <c r="CG80" s="696"/>
      <c r="CH80" s="696"/>
      <c r="CI80" s="696"/>
      <c r="CJ80" s="696"/>
      <c r="CK80" s="696"/>
      <c r="CL80" s="696"/>
      <c r="CM80" s="696"/>
      <c r="CN80" s="696"/>
      <c r="CO80" s="696"/>
      <c r="CP80" s="696"/>
      <c r="CQ80" s="696"/>
      <c r="CR80" s="696"/>
      <c r="CS80" s="696"/>
      <c r="CT80" s="696"/>
      <c r="CU80" s="696"/>
      <c r="CV80" s="696"/>
      <c r="CW80" s="696"/>
      <c r="CX80" s="696"/>
      <c r="CY80" s="696"/>
      <c r="CZ80" s="696"/>
      <c r="DA80" s="696"/>
      <c r="DB80" s="697">
        <v>6.8000000000000005E-2</v>
      </c>
      <c r="DC80" s="697"/>
      <c r="DD80" s="697"/>
      <c r="DE80" s="697"/>
      <c r="DF80" s="697"/>
      <c r="DG80" s="697"/>
      <c r="DH80" s="697"/>
      <c r="DI80" s="698"/>
      <c r="DJ80" s="699" t="s">
        <v>266</v>
      </c>
      <c r="DK80" s="700"/>
      <c r="DL80" s="700"/>
      <c r="DM80" s="700"/>
      <c r="DN80" s="700"/>
      <c r="DO80" s="700"/>
      <c r="DP80" s="700"/>
      <c r="DQ80" s="700"/>
      <c r="DR80" s="700"/>
      <c r="DS80" s="700"/>
      <c r="DT80" s="700"/>
      <c r="DU80" s="700"/>
      <c r="DV80" s="700"/>
      <c r="DW80" s="700"/>
      <c r="DX80" s="700"/>
      <c r="DY80" s="700"/>
      <c r="DZ80" s="700"/>
      <c r="EA80" s="700"/>
      <c r="EB80" s="700"/>
      <c r="EC80" s="700"/>
      <c r="ED80" s="700"/>
      <c r="EE80" s="700"/>
      <c r="EF80" s="700"/>
      <c r="EG80" s="700"/>
      <c r="EH80" s="700"/>
      <c r="EI80" s="700"/>
      <c r="EJ80" s="700"/>
      <c r="EK80" s="700"/>
      <c r="EL80" s="700"/>
      <c r="EM80" s="700"/>
      <c r="EN80" s="700"/>
      <c r="EO80" s="700"/>
      <c r="EP80" s="700"/>
      <c r="EQ80" s="700"/>
      <c r="ER80" s="700"/>
      <c r="ES80" s="700"/>
      <c r="ET80" s="700"/>
      <c r="EU80" s="700"/>
      <c r="EV80" s="700"/>
      <c r="EW80" s="700"/>
      <c r="EX80" s="700"/>
      <c r="EY80" s="700"/>
      <c r="EZ80" s="700"/>
      <c r="FA80" s="700"/>
      <c r="FB80" s="700"/>
      <c r="FC80" s="700"/>
      <c r="FD80" s="700"/>
      <c r="FE80" s="700"/>
      <c r="FF80" s="700"/>
      <c r="FG80" s="701"/>
    </row>
    <row r="81" spans="2:163" ht="8.65" customHeight="1">
      <c r="B81" s="702" t="s">
        <v>267</v>
      </c>
      <c r="C81" s="703"/>
      <c r="D81" s="703"/>
      <c r="E81" s="703"/>
      <c r="F81" s="703"/>
      <c r="G81" s="703"/>
      <c r="H81" s="703"/>
      <c r="I81" s="703"/>
      <c r="J81" s="703"/>
      <c r="K81" s="703"/>
      <c r="L81" s="703"/>
      <c r="M81" s="703"/>
      <c r="N81" s="703"/>
      <c r="O81" s="703"/>
      <c r="P81" s="703"/>
      <c r="Q81" s="703"/>
      <c r="R81" s="703"/>
      <c r="S81" s="703"/>
      <c r="T81" s="703"/>
      <c r="U81" s="703"/>
      <c r="V81" s="703"/>
      <c r="W81" s="703"/>
      <c r="X81" s="703"/>
      <c r="Y81" s="703"/>
      <c r="Z81" s="703"/>
      <c r="AA81" s="703"/>
      <c r="AB81" s="703"/>
      <c r="AC81" s="703"/>
      <c r="AD81" s="703"/>
      <c r="AE81" s="703"/>
      <c r="AF81" s="703"/>
      <c r="AG81" s="703"/>
      <c r="AH81" s="682" t="e">
        <v>#REF!</v>
      </c>
      <c r="AI81" s="682"/>
      <c r="AJ81" s="682"/>
      <c r="AK81" s="682"/>
      <c r="AL81" s="682"/>
      <c r="AM81" s="682"/>
      <c r="AN81" s="682"/>
      <c r="AO81" s="682"/>
      <c r="AP81" s="682"/>
      <c r="AQ81" s="682"/>
      <c r="AR81" s="682"/>
      <c r="AS81" s="682"/>
      <c r="AT81" s="683"/>
      <c r="AU81" s="693"/>
      <c r="AV81" s="694"/>
      <c r="AW81" s="694"/>
      <c r="AX81" s="694"/>
      <c r="AY81" s="694"/>
      <c r="AZ81" s="694"/>
      <c r="BA81" s="694"/>
      <c r="BB81" s="694"/>
      <c r="BC81" s="694"/>
      <c r="BD81" s="694"/>
      <c r="BE81" s="694"/>
      <c r="BF81" s="694"/>
      <c r="BG81" s="694"/>
      <c r="BH81" s="694"/>
      <c r="BI81" s="694"/>
      <c r="BJ81" s="694"/>
      <c r="BK81" s="694"/>
      <c r="BL81" s="694"/>
      <c r="BM81" s="694"/>
      <c r="BN81" s="694"/>
      <c r="BO81" s="694"/>
      <c r="BP81" s="694"/>
      <c r="BQ81" s="694"/>
      <c r="BR81" s="694"/>
      <c r="BS81" s="694"/>
      <c r="BT81" s="682"/>
      <c r="BU81" s="682"/>
      <c r="BV81" s="682"/>
      <c r="BW81" s="682"/>
      <c r="BX81" s="684"/>
      <c r="BY81" s="695"/>
      <c r="BZ81" s="696"/>
      <c r="CA81" s="696"/>
      <c r="CB81" s="696"/>
      <c r="CC81" s="696"/>
      <c r="CD81" s="696"/>
      <c r="CE81" s="696"/>
      <c r="CF81" s="696"/>
      <c r="CG81" s="696"/>
      <c r="CH81" s="696"/>
      <c r="CI81" s="696"/>
      <c r="CJ81" s="696"/>
      <c r="CK81" s="696"/>
      <c r="CL81" s="696"/>
      <c r="CM81" s="696"/>
      <c r="CN81" s="696"/>
      <c r="CO81" s="696"/>
      <c r="CP81" s="696"/>
      <c r="CQ81" s="696"/>
      <c r="CR81" s="696"/>
      <c r="CS81" s="696"/>
      <c r="CT81" s="696"/>
      <c r="CU81" s="696"/>
      <c r="CV81" s="696"/>
      <c r="CW81" s="696"/>
      <c r="CX81" s="696"/>
      <c r="CY81" s="696"/>
      <c r="CZ81" s="696"/>
      <c r="DA81" s="696"/>
      <c r="DB81" s="697"/>
      <c r="DC81" s="697"/>
      <c r="DD81" s="697"/>
      <c r="DE81" s="697"/>
      <c r="DF81" s="697"/>
      <c r="DG81" s="697"/>
      <c r="DH81" s="697"/>
      <c r="DI81" s="698"/>
      <c r="DJ81" s="699"/>
      <c r="DK81" s="700"/>
      <c r="DL81" s="700"/>
      <c r="DM81" s="700"/>
      <c r="DN81" s="700"/>
      <c r="DO81" s="700"/>
      <c r="DP81" s="700"/>
      <c r="DQ81" s="700"/>
      <c r="DR81" s="700"/>
      <c r="DS81" s="700"/>
      <c r="DT81" s="700"/>
      <c r="DU81" s="700"/>
      <c r="DV81" s="700"/>
      <c r="DW81" s="700"/>
      <c r="DX81" s="700"/>
      <c r="DY81" s="700"/>
      <c r="DZ81" s="700"/>
      <c r="EA81" s="700"/>
      <c r="EB81" s="700"/>
      <c r="EC81" s="700"/>
      <c r="ED81" s="700"/>
      <c r="EE81" s="700"/>
      <c r="EF81" s="700"/>
      <c r="EG81" s="700"/>
      <c r="EH81" s="700"/>
      <c r="EI81" s="700"/>
      <c r="EJ81" s="700"/>
      <c r="EK81" s="700"/>
      <c r="EL81" s="700"/>
      <c r="EM81" s="700"/>
      <c r="EN81" s="700"/>
      <c r="EO81" s="700"/>
      <c r="EP81" s="700"/>
      <c r="EQ81" s="700"/>
      <c r="ER81" s="700"/>
      <c r="ES81" s="700"/>
      <c r="ET81" s="700"/>
      <c r="EU81" s="700"/>
      <c r="EV81" s="700"/>
      <c r="EW81" s="700"/>
      <c r="EX81" s="700"/>
      <c r="EY81" s="700"/>
      <c r="EZ81" s="700"/>
      <c r="FA81" s="700"/>
      <c r="FB81" s="700"/>
      <c r="FC81" s="700"/>
      <c r="FD81" s="700"/>
      <c r="FE81" s="700"/>
      <c r="FF81" s="700"/>
      <c r="FG81" s="701"/>
    </row>
    <row r="82" spans="2:163" ht="8.65" customHeight="1">
      <c r="B82" s="702"/>
      <c r="C82" s="703"/>
      <c r="D82" s="703"/>
      <c r="E82" s="703"/>
      <c r="F82" s="703"/>
      <c r="G82" s="703"/>
      <c r="H82" s="703"/>
      <c r="I82" s="703"/>
      <c r="J82" s="703"/>
      <c r="K82" s="703"/>
      <c r="L82" s="703"/>
      <c r="M82" s="703"/>
      <c r="N82" s="703"/>
      <c r="O82" s="703"/>
      <c r="P82" s="703"/>
      <c r="Q82" s="703"/>
      <c r="R82" s="703"/>
      <c r="S82" s="703"/>
      <c r="T82" s="703"/>
      <c r="U82" s="703"/>
      <c r="V82" s="703"/>
      <c r="W82" s="703"/>
      <c r="X82" s="703"/>
      <c r="Y82" s="703"/>
      <c r="Z82" s="703"/>
      <c r="AA82" s="703"/>
      <c r="AB82" s="703"/>
      <c r="AC82" s="703"/>
      <c r="AD82" s="703"/>
      <c r="AE82" s="703"/>
      <c r="AF82" s="703"/>
      <c r="AG82" s="703"/>
      <c r="AH82" s="682"/>
      <c r="AI82" s="682"/>
      <c r="AJ82" s="682"/>
      <c r="AK82" s="682"/>
      <c r="AL82" s="682"/>
      <c r="AM82" s="682"/>
      <c r="AN82" s="682"/>
      <c r="AO82" s="682"/>
      <c r="AP82" s="682"/>
      <c r="AQ82" s="682"/>
      <c r="AR82" s="682"/>
      <c r="AS82" s="682"/>
      <c r="AT82" s="683"/>
      <c r="AU82" s="693" t="s">
        <v>286</v>
      </c>
      <c r="AV82" s="694"/>
      <c r="AW82" s="694"/>
      <c r="AX82" s="694"/>
      <c r="AY82" s="694"/>
      <c r="AZ82" s="694"/>
      <c r="BA82" s="694"/>
      <c r="BB82" s="694"/>
      <c r="BC82" s="694"/>
      <c r="BD82" s="694"/>
      <c r="BE82" s="694"/>
      <c r="BF82" s="694"/>
      <c r="BG82" s="694"/>
      <c r="BH82" s="694"/>
      <c r="BI82" s="694"/>
      <c r="BJ82" s="694"/>
      <c r="BK82" s="694"/>
      <c r="BL82" s="694"/>
      <c r="BM82" s="694"/>
      <c r="BN82" s="694"/>
      <c r="BO82" s="694"/>
      <c r="BP82" s="694"/>
      <c r="BQ82" s="694"/>
      <c r="BR82" s="694"/>
      <c r="BS82" s="694"/>
      <c r="BT82" s="682">
        <v>1.1000000000000001</v>
      </c>
      <c r="BU82" s="682"/>
      <c r="BV82" s="682"/>
      <c r="BW82" s="682"/>
      <c r="BX82" s="684"/>
      <c r="BY82" s="695"/>
      <c r="BZ82" s="696"/>
      <c r="CA82" s="696"/>
      <c r="CB82" s="696"/>
      <c r="CC82" s="696"/>
      <c r="CD82" s="696"/>
      <c r="CE82" s="696"/>
      <c r="CF82" s="696"/>
      <c r="CG82" s="696"/>
      <c r="CH82" s="696"/>
      <c r="CI82" s="696"/>
      <c r="CJ82" s="696"/>
      <c r="CK82" s="696"/>
      <c r="CL82" s="696"/>
      <c r="CM82" s="696"/>
      <c r="CN82" s="696"/>
      <c r="CO82" s="696"/>
      <c r="CP82" s="696"/>
      <c r="CQ82" s="696"/>
      <c r="CR82" s="696"/>
      <c r="CS82" s="696"/>
      <c r="CT82" s="696"/>
      <c r="CU82" s="696"/>
      <c r="CV82" s="696"/>
      <c r="CW82" s="696"/>
      <c r="CX82" s="696"/>
      <c r="CY82" s="696"/>
      <c r="CZ82" s="696"/>
      <c r="DA82" s="696"/>
      <c r="DB82" s="697"/>
      <c r="DC82" s="697"/>
      <c r="DD82" s="697"/>
      <c r="DE82" s="697"/>
      <c r="DF82" s="697"/>
      <c r="DG82" s="697"/>
      <c r="DH82" s="697"/>
      <c r="DI82" s="698"/>
      <c r="DJ82" s="699"/>
      <c r="DK82" s="700"/>
      <c r="DL82" s="700"/>
      <c r="DM82" s="700"/>
      <c r="DN82" s="700"/>
      <c r="DO82" s="700"/>
      <c r="DP82" s="700"/>
      <c r="DQ82" s="700"/>
      <c r="DR82" s="700"/>
      <c r="DS82" s="700"/>
      <c r="DT82" s="700"/>
      <c r="DU82" s="700"/>
      <c r="DV82" s="700"/>
      <c r="DW82" s="700"/>
      <c r="DX82" s="700"/>
      <c r="DY82" s="700"/>
      <c r="DZ82" s="700"/>
      <c r="EA82" s="700"/>
      <c r="EB82" s="700"/>
      <c r="EC82" s="700"/>
      <c r="ED82" s="700"/>
      <c r="EE82" s="700"/>
      <c r="EF82" s="700"/>
      <c r="EG82" s="700"/>
      <c r="EH82" s="700"/>
      <c r="EI82" s="700"/>
      <c r="EJ82" s="700"/>
      <c r="EK82" s="700"/>
      <c r="EL82" s="700"/>
      <c r="EM82" s="700"/>
      <c r="EN82" s="700"/>
      <c r="EO82" s="700"/>
      <c r="EP82" s="700"/>
      <c r="EQ82" s="700"/>
      <c r="ER82" s="700"/>
      <c r="ES82" s="700"/>
      <c r="ET82" s="700"/>
      <c r="EU82" s="700"/>
      <c r="EV82" s="700"/>
      <c r="EW82" s="700"/>
      <c r="EX82" s="700"/>
      <c r="EY82" s="700"/>
      <c r="EZ82" s="700"/>
      <c r="FA82" s="700"/>
      <c r="FB82" s="700"/>
      <c r="FC82" s="700"/>
      <c r="FD82" s="700"/>
      <c r="FE82" s="700"/>
      <c r="FF82" s="700"/>
      <c r="FG82" s="701"/>
    </row>
    <row r="83" spans="2:163" ht="8.65" customHeight="1">
      <c r="B83" s="709" t="s">
        <v>269</v>
      </c>
      <c r="C83" s="710"/>
      <c r="D83" s="710"/>
      <c r="E83" s="710"/>
      <c r="F83" s="710"/>
      <c r="G83" s="710"/>
      <c r="H83" s="710"/>
      <c r="I83" s="710"/>
      <c r="J83" s="710"/>
      <c r="K83" s="710"/>
      <c r="L83" s="710"/>
      <c r="M83" s="710"/>
      <c r="N83" s="710"/>
      <c r="O83" s="710"/>
      <c r="P83" s="710"/>
      <c r="Q83" s="710"/>
      <c r="R83" s="710"/>
      <c r="S83" s="710"/>
      <c r="T83" s="710"/>
      <c r="U83" s="710"/>
      <c r="V83" s="710"/>
      <c r="W83" s="710"/>
      <c r="X83" s="710"/>
      <c r="Y83" s="710"/>
      <c r="Z83" s="710"/>
      <c r="AA83" s="710"/>
      <c r="AB83" s="710"/>
      <c r="AC83" s="710"/>
      <c r="AD83" s="710"/>
      <c r="AE83" s="710"/>
      <c r="AF83" s="710"/>
      <c r="AG83" s="710"/>
      <c r="AH83" s="710"/>
      <c r="AI83" s="710"/>
      <c r="AJ83" s="710"/>
      <c r="AK83" s="710"/>
      <c r="AL83" s="710"/>
      <c r="AM83" s="710"/>
      <c r="AN83" s="710"/>
      <c r="AO83" s="710"/>
      <c r="AP83" s="710"/>
      <c r="AQ83" s="710"/>
      <c r="AR83" s="710"/>
      <c r="AS83" s="710"/>
      <c r="AT83" s="710"/>
      <c r="AU83" s="693"/>
      <c r="AV83" s="694"/>
      <c r="AW83" s="694"/>
      <c r="AX83" s="694"/>
      <c r="AY83" s="694"/>
      <c r="AZ83" s="694"/>
      <c r="BA83" s="694"/>
      <c r="BB83" s="694"/>
      <c r="BC83" s="694"/>
      <c r="BD83" s="694"/>
      <c r="BE83" s="694"/>
      <c r="BF83" s="694"/>
      <c r="BG83" s="694"/>
      <c r="BH83" s="694"/>
      <c r="BI83" s="694"/>
      <c r="BJ83" s="694"/>
      <c r="BK83" s="694"/>
      <c r="BL83" s="694"/>
      <c r="BM83" s="694"/>
      <c r="BN83" s="694"/>
      <c r="BO83" s="694"/>
      <c r="BP83" s="694"/>
      <c r="BQ83" s="694"/>
      <c r="BR83" s="694"/>
      <c r="BS83" s="694"/>
      <c r="BT83" s="682"/>
      <c r="BU83" s="682"/>
      <c r="BV83" s="682"/>
      <c r="BW83" s="682"/>
      <c r="BX83" s="684"/>
      <c r="BY83" s="695" t="s">
        <v>289</v>
      </c>
      <c r="BZ83" s="696"/>
      <c r="CA83" s="696"/>
      <c r="CB83" s="696"/>
      <c r="CC83" s="696"/>
      <c r="CD83" s="696"/>
      <c r="CE83" s="696"/>
      <c r="CF83" s="696"/>
      <c r="CG83" s="696"/>
      <c r="CH83" s="696"/>
      <c r="CI83" s="696"/>
      <c r="CJ83" s="696"/>
      <c r="CK83" s="696"/>
      <c r="CL83" s="696"/>
      <c r="CM83" s="696"/>
      <c r="CN83" s="696"/>
      <c r="CO83" s="696"/>
      <c r="CP83" s="696"/>
      <c r="CQ83" s="696"/>
      <c r="CR83" s="696"/>
      <c r="CS83" s="696"/>
      <c r="CT83" s="696"/>
      <c r="CU83" s="696"/>
      <c r="CV83" s="696"/>
      <c r="CW83" s="696"/>
      <c r="CX83" s="696"/>
      <c r="CY83" s="696"/>
      <c r="CZ83" s="696"/>
      <c r="DA83" s="696"/>
      <c r="DB83" s="697">
        <v>8.4000000000000005E-2</v>
      </c>
      <c r="DC83" s="697"/>
      <c r="DD83" s="697"/>
      <c r="DE83" s="697"/>
      <c r="DF83" s="697"/>
      <c r="DG83" s="697"/>
      <c r="DH83" s="697"/>
      <c r="DI83" s="698"/>
      <c r="DJ83" s="675" t="s">
        <v>271</v>
      </c>
      <c r="DK83" s="631"/>
      <c r="DL83" s="631"/>
      <c r="DM83" s="631"/>
      <c r="DN83" s="631"/>
      <c r="DO83" s="631"/>
      <c r="DP83" s="631"/>
      <c r="DQ83" s="631"/>
      <c r="DR83" s="631"/>
      <c r="DS83" s="631"/>
      <c r="DT83" s="631"/>
      <c r="DU83" s="631"/>
      <c r="DV83" s="631"/>
      <c r="DW83" s="631"/>
      <c r="DX83" s="631"/>
      <c r="DY83" s="631"/>
      <c r="DZ83" s="631"/>
      <c r="EA83" s="631"/>
      <c r="EB83" s="631"/>
      <c r="EC83" s="631"/>
      <c r="ED83" s="631"/>
      <c r="EE83" s="631"/>
      <c r="EF83" s="631"/>
      <c r="EG83" s="631"/>
      <c r="EH83" s="631"/>
      <c r="EI83" s="631"/>
      <c r="EJ83" s="631"/>
      <c r="EK83" s="631"/>
      <c r="EL83" s="631"/>
      <c r="EM83" s="631"/>
      <c r="EN83" s="631"/>
      <c r="EO83" s="631"/>
      <c r="EP83" s="631"/>
      <c r="EQ83" s="631"/>
      <c r="ER83" s="631"/>
      <c r="ES83" s="631"/>
      <c r="ET83" s="631"/>
      <c r="EU83" s="631"/>
      <c r="EV83" s="631"/>
      <c r="EW83" s="631"/>
      <c r="EX83" s="631"/>
      <c r="EY83" s="631"/>
      <c r="EZ83" s="631"/>
      <c r="FA83" s="631"/>
      <c r="FB83" s="631"/>
      <c r="FC83" s="631"/>
      <c r="FD83" s="631"/>
      <c r="FE83" s="631"/>
      <c r="FF83" s="631"/>
      <c r="FG83" s="632"/>
    </row>
    <row r="84" spans="2:163" ht="8.65" customHeight="1">
      <c r="B84" s="709"/>
      <c r="C84" s="710"/>
      <c r="D84" s="710"/>
      <c r="E84" s="710"/>
      <c r="F84" s="710"/>
      <c r="G84" s="710"/>
      <c r="H84" s="710"/>
      <c r="I84" s="710"/>
      <c r="J84" s="710"/>
      <c r="K84" s="710"/>
      <c r="L84" s="710"/>
      <c r="M84" s="710"/>
      <c r="N84" s="710"/>
      <c r="O84" s="710"/>
      <c r="P84" s="710"/>
      <c r="Q84" s="710"/>
      <c r="R84" s="710"/>
      <c r="S84" s="710"/>
      <c r="T84" s="710"/>
      <c r="U84" s="710"/>
      <c r="V84" s="710"/>
      <c r="W84" s="710"/>
      <c r="X84" s="710"/>
      <c r="Y84" s="710"/>
      <c r="Z84" s="710"/>
      <c r="AA84" s="710"/>
      <c r="AB84" s="710"/>
      <c r="AC84" s="710"/>
      <c r="AD84" s="710"/>
      <c r="AE84" s="710"/>
      <c r="AF84" s="710"/>
      <c r="AG84" s="710"/>
      <c r="AH84" s="710"/>
      <c r="AI84" s="710"/>
      <c r="AJ84" s="710"/>
      <c r="AK84" s="710"/>
      <c r="AL84" s="710"/>
      <c r="AM84" s="710"/>
      <c r="AN84" s="710"/>
      <c r="AO84" s="710"/>
      <c r="AP84" s="710"/>
      <c r="AQ84" s="710"/>
      <c r="AR84" s="710"/>
      <c r="AS84" s="710"/>
      <c r="AT84" s="710"/>
      <c r="AU84" s="693" t="s">
        <v>291</v>
      </c>
      <c r="AV84" s="694"/>
      <c r="AW84" s="694"/>
      <c r="AX84" s="694"/>
      <c r="AY84" s="694"/>
      <c r="AZ84" s="694"/>
      <c r="BA84" s="694"/>
      <c r="BB84" s="694"/>
      <c r="BC84" s="694"/>
      <c r="BD84" s="694"/>
      <c r="BE84" s="694"/>
      <c r="BF84" s="694"/>
      <c r="BG84" s="694"/>
      <c r="BH84" s="694"/>
      <c r="BI84" s="694"/>
      <c r="BJ84" s="694"/>
      <c r="BK84" s="694"/>
      <c r="BL84" s="694"/>
      <c r="BM84" s="694"/>
      <c r="BN84" s="694"/>
      <c r="BO84" s="694"/>
      <c r="BP84" s="694"/>
      <c r="BQ84" s="694"/>
      <c r="BR84" s="694"/>
      <c r="BS84" s="694"/>
      <c r="BT84" s="682">
        <v>0.6</v>
      </c>
      <c r="BU84" s="682"/>
      <c r="BV84" s="682"/>
      <c r="BW84" s="682"/>
      <c r="BX84" s="684"/>
      <c r="BY84" s="695"/>
      <c r="BZ84" s="696"/>
      <c r="CA84" s="696"/>
      <c r="CB84" s="696"/>
      <c r="CC84" s="696"/>
      <c r="CD84" s="696"/>
      <c r="CE84" s="696"/>
      <c r="CF84" s="696"/>
      <c r="CG84" s="696"/>
      <c r="CH84" s="696"/>
      <c r="CI84" s="696"/>
      <c r="CJ84" s="696"/>
      <c r="CK84" s="696"/>
      <c r="CL84" s="696"/>
      <c r="CM84" s="696"/>
      <c r="CN84" s="696"/>
      <c r="CO84" s="696"/>
      <c r="CP84" s="696"/>
      <c r="CQ84" s="696"/>
      <c r="CR84" s="696"/>
      <c r="CS84" s="696"/>
      <c r="CT84" s="696"/>
      <c r="CU84" s="696"/>
      <c r="CV84" s="696"/>
      <c r="CW84" s="696"/>
      <c r="CX84" s="696"/>
      <c r="CY84" s="696"/>
      <c r="CZ84" s="696"/>
      <c r="DA84" s="696"/>
      <c r="DB84" s="697"/>
      <c r="DC84" s="697"/>
      <c r="DD84" s="697"/>
      <c r="DE84" s="697"/>
      <c r="DF84" s="697"/>
      <c r="DG84" s="697"/>
      <c r="DH84" s="697"/>
      <c r="DI84" s="698"/>
      <c r="DJ84" s="630"/>
      <c r="DK84" s="631"/>
      <c r="DL84" s="631"/>
      <c r="DM84" s="631"/>
      <c r="DN84" s="631"/>
      <c r="DO84" s="631"/>
      <c r="DP84" s="631"/>
      <c r="DQ84" s="631"/>
      <c r="DR84" s="631"/>
      <c r="DS84" s="631"/>
      <c r="DT84" s="631"/>
      <c r="DU84" s="631"/>
      <c r="DV84" s="631"/>
      <c r="DW84" s="631"/>
      <c r="DX84" s="631"/>
      <c r="DY84" s="631"/>
      <c r="DZ84" s="631"/>
      <c r="EA84" s="631"/>
      <c r="EB84" s="631"/>
      <c r="EC84" s="631"/>
      <c r="ED84" s="631"/>
      <c r="EE84" s="631"/>
      <c r="EF84" s="631"/>
      <c r="EG84" s="631"/>
      <c r="EH84" s="631"/>
      <c r="EI84" s="631"/>
      <c r="EJ84" s="631"/>
      <c r="EK84" s="631"/>
      <c r="EL84" s="631"/>
      <c r="EM84" s="631"/>
      <c r="EN84" s="631"/>
      <c r="EO84" s="631"/>
      <c r="EP84" s="631"/>
      <c r="EQ84" s="631"/>
      <c r="ER84" s="631"/>
      <c r="ES84" s="631"/>
      <c r="ET84" s="631"/>
      <c r="EU84" s="631"/>
      <c r="EV84" s="631"/>
      <c r="EW84" s="631"/>
      <c r="EX84" s="631"/>
      <c r="EY84" s="631"/>
      <c r="EZ84" s="631"/>
      <c r="FA84" s="631"/>
      <c r="FB84" s="631"/>
      <c r="FC84" s="631"/>
      <c r="FD84" s="631"/>
      <c r="FE84" s="631"/>
      <c r="FF84" s="631"/>
      <c r="FG84" s="632"/>
    </row>
    <row r="85" spans="2:163" ht="8.65" customHeight="1">
      <c r="B85" s="709" t="s">
        <v>273</v>
      </c>
      <c r="C85" s="710"/>
      <c r="D85" s="710"/>
      <c r="E85" s="710"/>
      <c r="F85" s="710"/>
      <c r="G85" s="710"/>
      <c r="H85" s="710"/>
      <c r="I85" s="710"/>
      <c r="J85" s="710"/>
      <c r="K85" s="710"/>
      <c r="L85" s="710"/>
      <c r="M85" s="710"/>
      <c r="N85" s="710"/>
      <c r="O85" s="710"/>
      <c r="P85" s="710"/>
      <c r="Q85" s="710"/>
      <c r="R85" s="710"/>
      <c r="S85" s="710"/>
      <c r="T85" s="710"/>
      <c r="U85" s="710"/>
      <c r="V85" s="710"/>
      <c r="W85" s="710"/>
      <c r="X85" s="710"/>
      <c r="Y85" s="710"/>
      <c r="Z85" s="710"/>
      <c r="AA85" s="710"/>
      <c r="AB85" s="710"/>
      <c r="AC85" s="710"/>
      <c r="AD85" s="710"/>
      <c r="AE85" s="710"/>
      <c r="AF85" s="710"/>
      <c r="AG85" s="710"/>
      <c r="AH85" s="710"/>
      <c r="AI85" s="710"/>
      <c r="AJ85" s="710"/>
      <c r="AK85" s="710"/>
      <c r="AL85" s="710"/>
      <c r="AM85" s="710"/>
      <c r="AN85" s="710"/>
      <c r="AO85" s="710"/>
      <c r="AP85" s="710"/>
      <c r="AQ85" s="710"/>
      <c r="AR85" s="710"/>
      <c r="AS85" s="710"/>
      <c r="AT85" s="710"/>
      <c r="AU85" s="693"/>
      <c r="AV85" s="694"/>
      <c r="AW85" s="694"/>
      <c r="AX85" s="694"/>
      <c r="AY85" s="694"/>
      <c r="AZ85" s="694"/>
      <c r="BA85" s="694"/>
      <c r="BB85" s="694"/>
      <c r="BC85" s="694"/>
      <c r="BD85" s="694"/>
      <c r="BE85" s="694"/>
      <c r="BF85" s="694"/>
      <c r="BG85" s="694"/>
      <c r="BH85" s="694"/>
      <c r="BI85" s="694"/>
      <c r="BJ85" s="694"/>
      <c r="BK85" s="694"/>
      <c r="BL85" s="694"/>
      <c r="BM85" s="694"/>
      <c r="BN85" s="694"/>
      <c r="BO85" s="694"/>
      <c r="BP85" s="694"/>
      <c r="BQ85" s="694"/>
      <c r="BR85" s="694"/>
      <c r="BS85" s="694"/>
      <c r="BT85" s="682"/>
      <c r="BU85" s="682"/>
      <c r="BV85" s="682"/>
      <c r="BW85" s="682"/>
      <c r="BX85" s="684"/>
      <c r="BY85" s="695"/>
      <c r="BZ85" s="696"/>
      <c r="CA85" s="696"/>
      <c r="CB85" s="696"/>
      <c r="CC85" s="696"/>
      <c r="CD85" s="696"/>
      <c r="CE85" s="696"/>
      <c r="CF85" s="696"/>
      <c r="CG85" s="696"/>
      <c r="CH85" s="696"/>
      <c r="CI85" s="696"/>
      <c r="CJ85" s="696"/>
      <c r="CK85" s="696"/>
      <c r="CL85" s="696"/>
      <c r="CM85" s="696"/>
      <c r="CN85" s="696"/>
      <c r="CO85" s="696"/>
      <c r="CP85" s="696"/>
      <c r="CQ85" s="696"/>
      <c r="CR85" s="696"/>
      <c r="CS85" s="696"/>
      <c r="CT85" s="696"/>
      <c r="CU85" s="696"/>
      <c r="CV85" s="696"/>
      <c r="CW85" s="696"/>
      <c r="CX85" s="696"/>
      <c r="CY85" s="696"/>
      <c r="CZ85" s="696"/>
      <c r="DA85" s="696"/>
      <c r="DB85" s="697"/>
      <c r="DC85" s="697"/>
      <c r="DD85" s="697"/>
      <c r="DE85" s="697"/>
      <c r="DF85" s="697"/>
      <c r="DG85" s="697"/>
      <c r="DH85" s="697"/>
      <c r="DI85" s="698"/>
      <c r="DJ85" s="630"/>
      <c r="DK85" s="631"/>
      <c r="DL85" s="631"/>
      <c r="DM85" s="631"/>
      <c r="DN85" s="631"/>
      <c r="DO85" s="631"/>
      <c r="DP85" s="631"/>
      <c r="DQ85" s="631"/>
      <c r="DR85" s="631"/>
      <c r="DS85" s="631"/>
      <c r="DT85" s="631"/>
      <c r="DU85" s="631"/>
      <c r="DV85" s="631"/>
      <c r="DW85" s="631"/>
      <c r="DX85" s="631"/>
      <c r="DY85" s="631"/>
      <c r="DZ85" s="631"/>
      <c r="EA85" s="631"/>
      <c r="EB85" s="631"/>
      <c r="EC85" s="631"/>
      <c r="ED85" s="631"/>
      <c r="EE85" s="631"/>
      <c r="EF85" s="631"/>
      <c r="EG85" s="631"/>
      <c r="EH85" s="631"/>
      <c r="EI85" s="631"/>
      <c r="EJ85" s="631"/>
      <c r="EK85" s="631"/>
      <c r="EL85" s="631"/>
      <c r="EM85" s="631"/>
      <c r="EN85" s="631"/>
      <c r="EO85" s="631"/>
      <c r="EP85" s="631"/>
      <c r="EQ85" s="631"/>
      <c r="ER85" s="631"/>
      <c r="ES85" s="631"/>
      <c r="ET85" s="631"/>
      <c r="EU85" s="631"/>
      <c r="EV85" s="631"/>
      <c r="EW85" s="631"/>
      <c r="EX85" s="631"/>
      <c r="EY85" s="631"/>
      <c r="EZ85" s="631"/>
      <c r="FA85" s="631"/>
      <c r="FB85" s="631"/>
      <c r="FC85" s="631"/>
      <c r="FD85" s="631"/>
      <c r="FE85" s="631"/>
      <c r="FF85" s="631"/>
      <c r="FG85" s="632"/>
    </row>
    <row r="86" spans="2:163" ht="8.65" customHeight="1">
      <c r="B86" s="709"/>
      <c r="C86" s="710"/>
      <c r="D86" s="710"/>
      <c r="E86" s="710"/>
      <c r="F86" s="710"/>
      <c r="G86" s="710"/>
      <c r="H86" s="710"/>
      <c r="I86" s="710"/>
      <c r="J86" s="710"/>
      <c r="K86" s="710"/>
      <c r="L86" s="710"/>
      <c r="M86" s="710"/>
      <c r="N86" s="710"/>
      <c r="O86" s="710"/>
      <c r="P86" s="710"/>
      <c r="Q86" s="710"/>
      <c r="R86" s="710"/>
      <c r="S86" s="710"/>
      <c r="T86" s="710"/>
      <c r="U86" s="710"/>
      <c r="V86" s="710"/>
      <c r="W86" s="710"/>
      <c r="X86" s="710"/>
      <c r="Y86" s="710"/>
      <c r="Z86" s="710"/>
      <c r="AA86" s="710"/>
      <c r="AB86" s="710"/>
      <c r="AC86" s="710"/>
      <c r="AD86" s="710"/>
      <c r="AE86" s="710"/>
      <c r="AF86" s="710"/>
      <c r="AG86" s="710"/>
      <c r="AH86" s="710"/>
      <c r="AI86" s="710"/>
      <c r="AJ86" s="710"/>
      <c r="AK86" s="710"/>
      <c r="AL86" s="710"/>
      <c r="AM86" s="710"/>
      <c r="AN86" s="710"/>
      <c r="AO86" s="710"/>
      <c r="AP86" s="710"/>
      <c r="AQ86" s="710"/>
      <c r="AR86" s="710"/>
      <c r="AS86" s="710"/>
      <c r="AT86" s="710"/>
      <c r="AU86" s="693" t="s">
        <v>294</v>
      </c>
      <c r="AV86" s="694"/>
      <c r="AW86" s="694"/>
      <c r="AX86" s="694"/>
      <c r="AY86" s="694"/>
      <c r="AZ86" s="694"/>
      <c r="BA86" s="694"/>
      <c r="BB86" s="694"/>
      <c r="BC86" s="694"/>
      <c r="BD86" s="694"/>
      <c r="BE86" s="694"/>
      <c r="BF86" s="694"/>
      <c r="BG86" s="694"/>
      <c r="BH86" s="694"/>
      <c r="BI86" s="694"/>
      <c r="BJ86" s="694"/>
      <c r="BK86" s="694"/>
      <c r="BL86" s="694"/>
      <c r="BM86" s="694"/>
      <c r="BN86" s="694"/>
      <c r="BO86" s="694"/>
      <c r="BP86" s="694"/>
      <c r="BQ86" s="694"/>
      <c r="BR86" s="694"/>
      <c r="BS86" s="694"/>
      <c r="BT86" s="682">
        <v>0.8</v>
      </c>
      <c r="BU86" s="682"/>
      <c r="BV86" s="682"/>
      <c r="BW86" s="682"/>
      <c r="BX86" s="684"/>
      <c r="BY86" s="576" t="s">
        <v>295</v>
      </c>
      <c r="BZ86" s="577"/>
      <c r="CA86" s="577"/>
      <c r="CB86" s="577"/>
      <c r="CC86" s="577"/>
      <c r="CD86" s="577"/>
      <c r="CE86" s="577"/>
      <c r="CF86" s="577"/>
      <c r="CG86" s="577"/>
      <c r="CH86" s="577"/>
      <c r="CI86" s="577"/>
      <c r="CJ86" s="577"/>
      <c r="CK86" s="577"/>
      <c r="CL86" s="577"/>
      <c r="CM86" s="577"/>
      <c r="CN86" s="577"/>
      <c r="CO86" s="577"/>
      <c r="CP86" s="577"/>
      <c r="CQ86" s="577"/>
      <c r="CR86" s="577"/>
      <c r="CS86" s="577"/>
      <c r="CT86" s="577"/>
      <c r="CU86" s="577"/>
      <c r="CV86" s="577"/>
      <c r="CW86" s="577"/>
      <c r="CX86" s="577"/>
      <c r="CY86" s="577"/>
      <c r="CZ86" s="577"/>
      <c r="DA86" s="577"/>
      <c r="DB86" s="577"/>
      <c r="DC86" s="577"/>
      <c r="DD86" s="577"/>
      <c r="DE86" s="577"/>
      <c r="DF86" s="577"/>
      <c r="DG86" s="577"/>
      <c r="DH86" s="577"/>
      <c r="DI86" s="578"/>
      <c r="DJ86" s="711" t="s">
        <v>276</v>
      </c>
      <c r="DK86" s="712"/>
      <c r="DL86" s="712"/>
      <c r="DM86" s="712"/>
      <c r="DN86" s="712"/>
      <c r="DO86" s="712"/>
      <c r="DP86" s="712"/>
      <c r="DQ86" s="712"/>
      <c r="DR86" s="712"/>
      <c r="DS86" s="712"/>
      <c r="DT86" s="712"/>
      <c r="DU86" s="712"/>
      <c r="DV86" s="712"/>
      <c r="DW86" s="712"/>
      <c r="DX86" s="712"/>
      <c r="DY86" s="712"/>
      <c r="DZ86" s="712"/>
      <c r="EA86" s="712"/>
      <c r="EB86" s="712"/>
      <c r="EC86" s="712"/>
      <c r="ED86" s="712"/>
      <c r="EE86" s="712"/>
      <c r="EF86" s="712"/>
      <c r="EG86" s="712"/>
      <c r="EH86" s="712"/>
      <c r="EI86" s="712"/>
      <c r="EJ86" s="712"/>
      <c r="EK86" s="712"/>
      <c r="EL86" s="712"/>
      <c r="EM86" s="712"/>
      <c r="EN86" s="712"/>
      <c r="EO86" s="712"/>
      <c r="EP86" s="712"/>
      <c r="EQ86" s="712"/>
      <c r="ER86" s="712"/>
      <c r="ES86" s="712"/>
      <c r="ET86" s="712"/>
      <c r="EU86" s="712"/>
      <c r="EV86" s="712"/>
      <c r="EW86" s="712"/>
      <c r="EX86" s="712"/>
      <c r="EY86" s="712"/>
      <c r="EZ86" s="712"/>
      <c r="FA86" s="712"/>
      <c r="FB86" s="712"/>
      <c r="FC86" s="712"/>
      <c r="FD86" s="712"/>
      <c r="FE86" s="712"/>
      <c r="FF86" s="712"/>
      <c r="FG86" s="713"/>
    </row>
    <row r="87" spans="2:163" ht="8.65" customHeight="1">
      <c r="B87" s="709" t="s">
        <v>277</v>
      </c>
      <c r="C87" s="710"/>
      <c r="D87" s="710"/>
      <c r="E87" s="710"/>
      <c r="F87" s="710"/>
      <c r="G87" s="710"/>
      <c r="H87" s="710"/>
      <c r="I87" s="710"/>
      <c r="J87" s="710"/>
      <c r="K87" s="710"/>
      <c r="L87" s="710"/>
      <c r="M87" s="710"/>
      <c r="N87" s="710"/>
      <c r="O87" s="710"/>
      <c r="P87" s="710"/>
      <c r="Q87" s="710"/>
      <c r="R87" s="710"/>
      <c r="S87" s="710"/>
      <c r="T87" s="710"/>
      <c r="U87" s="710"/>
      <c r="V87" s="710"/>
      <c r="W87" s="710"/>
      <c r="X87" s="710"/>
      <c r="Y87" s="710"/>
      <c r="Z87" s="710"/>
      <c r="AA87" s="710"/>
      <c r="AB87" s="710"/>
      <c r="AC87" s="710"/>
      <c r="AD87" s="710"/>
      <c r="AE87" s="710"/>
      <c r="AF87" s="710"/>
      <c r="AG87" s="710"/>
      <c r="AH87" s="710"/>
      <c r="AI87" s="710"/>
      <c r="AJ87" s="710"/>
      <c r="AK87" s="710"/>
      <c r="AL87" s="710"/>
      <c r="AM87" s="710"/>
      <c r="AN87" s="710"/>
      <c r="AO87" s="710"/>
      <c r="AP87" s="710"/>
      <c r="AQ87" s="710"/>
      <c r="AR87" s="710"/>
      <c r="AS87" s="710"/>
      <c r="AT87" s="710"/>
      <c r="AU87" s="693"/>
      <c r="AV87" s="694"/>
      <c r="AW87" s="694"/>
      <c r="AX87" s="694"/>
      <c r="AY87" s="694"/>
      <c r="AZ87" s="694"/>
      <c r="BA87" s="694"/>
      <c r="BB87" s="694"/>
      <c r="BC87" s="694"/>
      <c r="BD87" s="694"/>
      <c r="BE87" s="694"/>
      <c r="BF87" s="694"/>
      <c r="BG87" s="694"/>
      <c r="BH87" s="694"/>
      <c r="BI87" s="694"/>
      <c r="BJ87" s="694"/>
      <c r="BK87" s="694"/>
      <c r="BL87" s="694"/>
      <c r="BM87" s="694"/>
      <c r="BN87" s="694"/>
      <c r="BO87" s="694"/>
      <c r="BP87" s="694"/>
      <c r="BQ87" s="694"/>
      <c r="BR87" s="694"/>
      <c r="BS87" s="694"/>
      <c r="BT87" s="682"/>
      <c r="BU87" s="682"/>
      <c r="BV87" s="682"/>
      <c r="BW87" s="682"/>
      <c r="BX87" s="684"/>
      <c r="BY87" s="576"/>
      <c r="BZ87" s="577"/>
      <c r="CA87" s="577"/>
      <c r="CB87" s="577"/>
      <c r="CC87" s="577"/>
      <c r="CD87" s="577"/>
      <c r="CE87" s="577"/>
      <c r="CF87" s="577"/>
      <c r="CG87" s="577"/>
      <c r="CH87" s="577"/>
      <c r="CI87" s="577"/>
      <c r="CJ87" s="577"/>
      <c r="CK87" s="577"/>
      <c r="CL87" s="577"/>
      <c r="CM87" s="577"/>
      <c r="CN87" s="577"/>
      <c r="CO87" s="577"/>
      <c r="CP87" s="577"/>
      <c r="CQ87" s="577"/>
      <c r="CR87" s="577"/>
      <c r="CS87" s="577"/>
      <c r="CT87" s="577"/>
      <c r="CU87" s="577"/>
      <c r="CV87" s="577"/>
      <c r="CW87" s="577"/>
      <c r="CX87" s="577"/>
      <c r="CY87" s="577"/>
      <c r="CZ87" s="577"/>
      <c r="DA87" s="577"/>
      <c r="DB87" s="577"/>
      <c r="DC87" s="577"/>
      <c r="DD87" s="577"/>
      <c r="DE87" s="577"/>
      <c r="DF87" s="577"/>
      <c r="DG87" s="577"/>
      <c r="DH87" s="577"/>
      <c r="DI87" s="578"/>
      <c r="DJ87" s="714"/>
      <c r="DK87" s="712"/>
      <c r="DL87" s="712"/>
      <c r="DM87" s="712"/>
      <c r="DN87" s="712"/>
      <c r="DO87" s="712"/>
      <c r="DP87" s="712"/>
      <c r="DQ87" s="712"/>
      <c r="DR87" s="712"/>
      <c r="DS87" s="712"/>
      <c r="DT87" s="712"/>
      <c r="DU87" s="712"/>
      <c r="DV87" s="712"/>
      <c r="DW87" s="712"/>
      <c r="DX87" s="712"/>
      <c r="DY87" s="712"/>
      <c r="DZ87" s="712"/>
      <c r="EA87" s="712"/>
      <c r="EB87" s="712"/>
      <c r="EC87" s="712"/>
      <c r="ED87" s="712"/>
      <c r="EE87" s="712"/>
      <c r="EF87" s="712"/>
      <c r="EG87" s="712"/>
      <c r="EH87" s="712"/>
      <c r="EI87" s="712"/>
      <c r="EJ87" s="712"/>
      <c r="EK87" s="712"/>
      <c r="EL87" s="712"/>
      <c r="EM87" s="712"/>
      <c r="EN87" s="712"/>
      <c r="EO87" s="712"/>
      <c r="EP87" s="712"/>
      <c r="EQ87" s="712"/>
      <c r="ER87" s="712"/>
      <c r="ES87" s="712"/>
      <c r="ET87" s="712"/>
      <c r="EU87" s="712"/>
      <c r="EV87" s="712"/>
      <c r="EW87" s="712"/>
      <c r="EX87" s="712"/>
      <c r="EY87" s="712"/>
      <c r="EZ87" s="712"/>
      <c r="FA87" s="712"/>
      <c r="FB87" s="712"/>
      <c r="FC87" s="712"/>
      <c r="FD87" s="712"/>
      <c r="FE87" s="712"/>
      <c r="FF87" s="712"/>
      <c r="FG87" s="713"/>
    </row>
    <row r="88" spans="2:163" ht="8.65" customHeight="1">
      <c r="B88" s="709"/>
      <c r="C88" s="710"/>
      <c r="D88" s="710"/>
      <c r="E88" s="710"/>
      <c r="F88" s="710"/>
      <c r="G88" s="710"/>
      <c r="H88" s="710"/>
      <c r="I88" s="710"/>
      <c r="J88" s="710"/>
      <c r="K88" s="710"/>
      <c r="L88" s="710"/>
      <c r="M88" s="710"/>
      <c r="N88" s="710"/>
      <c r="O88" s="710"/>
      <c r="P88" s="710"/>
      <c r="Q88" s="710"/>
      <c r="R88" s="710"/>
      <c r="S88" s="710"/>
      <c r="T88" s="710"/>
      <c r="U88" s="710"/>
      <c r="V88" s="710"/>
      <c r="W88" s="710"/>
      <c r="X88" s="710"/>
      <c r="Y88" s="710"/>
      <c r="Z88" s="710"/>
      <c r="AA88" s="710"/>
      <c r="AB88" s="710"/>
      <c r="AC88" s="710"/>
      <c r="AD88" s="710"/>
      <c r="AE88" s="710"/>
      <c r="AF88" s="710"/>
      <c r="AG88" s="710"/>
      <c r="AH88" s="710"/>
      <c r="AI88" s="710"/>
      <c r="AJ88" s="710"/>
      <c r="AK88" s="710"/>
      <c r="AL88" s="710"/>
      <c r="AM88" s="710"/>
      <c r="AN88" s="710"/>
      <c r="AO88" s="710"/>
      <c r="AP88" s="710"/>
      <c r="AQ88" s="710"/>
      <c r="AR88" s="710"/>
      <c r="AS88" s="710"/>
      <c r="AT88" s="710"/>
      <c r="AU88" s="715" t="s">
        <v>297</v>
      </c>
      <c r="AV88" s="716"/>
      <c r="AW88" s="716"/>
      <c r="AX88" s="716"/>
      <c r="AY88" s="716"/>
      <c r="AZ88" s="716"/>
      <c r="BA88" s="716"/>
      <c r="BB88" s="716"/>
      <c r="BC88" s="716"/>
      <c r="BD88" s="716"/>
      <c r="BE88" s="716"/>
      <c r="BF88" s="716"/>
      <c r="BG88" s="716"/>
      <c r="BH88" s="716"/>
      <c r="BI88" s="716"/>
      <c r="BJ88" s="716"/>
      <c r="BK88" s="716"/>
      <c r="BL88" s="716"/>
      <c r="BM88" s="716"/>
      <c r="BN88" s="716"/>
      <c r="BO88" s="716"/>
      <c r="BP88" s="716"/>
      <c r="BQ88" s="716"/>
      <c r="BR88" s="716"/>
      <c r="BS88" s="717"/>
      <c r="BT88" s="682">
        <v>0.7</v>
      </c>
      <c r="BU88" s="682"/>
      <c r="BV88" s="682"/>
      <c r="BW88" s="682"/>
      <c r="BX88" s="684"/>
      <c r="BY88" s="721" t="s">
        <v>298</v>
      </c>
      <c r="BZ88" s="722"/>
      <c r="CA88" s="722"/>
      <c r="CB88" s="722"/>
      <c r="CC88" s="722"/>
      <c r="CD88" s="722"/>
      <c r="CE88" s="722"/>
      <c r="CF88" s="722"/>
      <c r="CG88" s="722"/>
      <c r="CH88" s="722"/>
      <c r="CI88" s="722"/>
      <c r="CJ88" s="722"/>
      <c r="CK88" s="722"/>
      <c r="CL88" s="722"/>
      <c r="CM88" s="722"/>
      <c r="CN88" s="722"/>
      <c r="CO88" s="722"/>
      <c r="CP88" s="722"/>
      <c r="CQ88" s="722"/>
      <c r="CR88" s="722"/>
      <c r="CS88" s="722"/>
      <c r="CT88" s="722"/>
      <c r="CU88" s="722"/>
      <c r="CV88" s="722"/>
      <c r="CW88" s="722"/>
      <c r="CX88" s="722"/>
      <c r="CY88" s="722"/>
      <c r="CZ88" s="722"/>
      <c r="DA88" s="722"/>
      <c r="DB88" s="722"/>
      <c r="DC88" s="722"/>
      <c r="DD88" s="722"/>
      <c r="DE88" s="722"/>
      <c r="DF88" s="722"/>
      <c r="DG88" s="722"/>
      <c r="DH88" s="722"/>
      <c r="DI88" s="723"/>
      <c r="DJ88" s="714"/>
      <c r="DK88" s="712"/>
      <c r="DL88" s="712"/>
      <c r="DM88" s="712"/>
      <c r="DN88" s="712"/>
      <c r="DO88" s="712"/>
      <c r="DP88" s="712"/>
      <c r="DQ88" s="712"/>
      <c r="DR88" s="712"/>
      <c r="DS88" s="712"/>
      <c r="DT88" s="712"/>
      <c r="DU88" s="712"/>
      <c r="DV88" s="712"/>
      <c r="DW88" s="712"/>
      <c r="DX88" s="712"/>
      <c r="DY88" s="712"/>
      <c r="DZ88" s="712"/>
      <c r="EA88" s="712"/>
      <c r="EB88" s="712"/>
      <c r="EC88" s="712"/>
      <c r="ED88" s="712"/>
      <c r="EE88" s="712"/>
      <c r="EF88" s="712"/>
      <c r="EG88" s="712"/>
      <c r="EH88" s="712"/>
      <c r="EI88" s="712"/>
      <c r="EJ88" s="712"/>
      <c r="EK88" s="712"/>
      <c r="EL88" s="712"/>
      <c r="EM88" s="712"/>
      <c r="EN88" s="712"/>
      <c r="EO88" s="712"/>
      <c r="EP88" s="712"/>
      <c r="EQ88" s="712"/>
      <c r="ER88" s="712"/>
      <c r="ES88" s="712"/>
      <c r="ET88" s="712"/>
      <c r="EU88" s="712"/>
      <c r="EV88" s="712"/>
      <c r="EW88" s="712"/>
      <c r="EX88" s="712"/>
      <c r="EY88" s="712"/>
      <c r="EZ88" s="712"/>
      <c r="FA88" s="712"/>
      <c r="FB88" s="712"/>
      <c r="FC88" s="712"/>
      <c r="FD88" s="712"/>
      <c r="FE88" s="712"/>
      <c r="FF88" s="712"/>
      <c r="FG88" s="713"/>
    </row>
    <row r="89" spans="2:163" ht="8.65" customHeight="1">
      <c r="B89" s="724" t="s">
        <v>252</v>
      </c>
      <c r="C89" s="725"/>
      <c r="D89" s="725"/>
      <c r="E89" s="725"/>
      <c r="F89" s="725"/>
      <c r="G89" s="725"/>
      <c r="H89" s="725"/>
      <c r="I89" s="725"/>
      <c r="J89" s="725"/>
      <c r="K89" s="725"/>
      <c r="L89" s="725"/>
      <c r="M89" s="725"/>
      <c r="N89" s="725"/>
      <c r="O89" s="725"/>
      <c r="P89" s="725"/>
      <c r="Q89" s="725"/>
      <c r="R89" s="725"/>
      <c r="S89" s="725"/>
      <c r="T89" s="725"/>
      <c r="U89" s="725"/>
      <c r="V89" s="725"/>
      <c r="W89" s="725"/>
      <c r="X89" s="725"/>
      <c r="Y89" s="725"/>
      <c r="Z89" s="725"/>
      <c r="AA89" s="725"/>
      <c r="AB89" s="725"/>
      <c r="AC89" s="725"/>
      <c r="AD89" s="725"/>
      <c r="AE89" s="725"/>
      <c r="AF89" s="725"/>
      <c r="AG89" s="725"/>
      <c r="AH89" s="725"/>
      <c r="AI89" s="725"/>
      <c r="AJ89" s="725"/>
      <c r="AK89" s="725"/>
      <c r="AL89" s="725"/>
      <c r="AM89" s="725"/>
      <c r="AN89" s="725"/>
      <c r="AO89" s="725"/>
      <c r="AP89" s="725"/>
      <c r="AQ89" s="725"/>
      <c r="AR89" s="725"/>
      <c r="AS89" s="725"/>
      <c r="AT89" s="725"/>
      <c r="AU89" s="718"/>
      <c r="AV89" s="719"/>
      <c r="AW89" s="719"/>
      <c r="AX89" s="719"/>
      <c r="AY89" s="719"/>
      <c r="AZ89" s="719"/>
      <c r="BA89" s="719"/>
      <c r="BB89" s="719"/>
      <c r="BC89" s="719"/>
      <c r="BD89" s="719"/>
      <c r="BE89" s="719"/>
      <c r="BF89" s="719"/>
      <c r="BG89" s="719"/>
      <c r="BH89" s="719"/>
      <c r="BI89" s="719"/>
      <c r="BJ89" s="719"/>
      <c r="BK89" s="719"/>
      <c r="BL89" s="719"/>
      <c r="BM89" s="719"/>
      <c r="BN89" s="719"/>
      <c r="BO89" s="719"/>
      <c r="BP89" s="719"/>
      <c r="BQ89" s="719"/>
      <c r="BR89" s="719"/>
      <c r="BS89" s="720"/>
      <c r="BT89" s="682"/>
      <c r="BU89" s="682"/>
      <c r="BV89" s="682"/>
      <c r="BW89" s="682"/>
      <c r="BX89" s="684"/>
      <c r="BY89" s="721"/>
      <c r="BZ89" s="722"/>
      <c r="CA89" s="722"/>
      <c r="CB89" s="722"/>
      <c r="CC89" s="722"/>
      <c r="CD89" s="722"/>
      <c r="CE89" s="722"/>
      <c r="CF89" s="722"/>
      <c r="CG89" s="722"/>
      <c r="CH89" s="722"/>
      <c r="CI89" s="722"/>
      <c r="CJ89" s="722"/>
      <c r="CK89" s="722"/>
      <c r="CL89" s="722"/>
      <c r="CM89" s="722"/>
      <c r="CN89" s="722"/>
      <c r="CO89" s="722"/>
      <c r="CP89" s="722"/>
      <c r="CQ89" s="722"/>
      <c r="CR89" s="722"/>
      <c r="CS89" s="722"/>
      <c r="CT89" s="722"/>
      <c r="CU89" s="722"/>
      <c r="CV89" s="722"/>
      <c r="CW89" s="722"/>
      <c r="CX89" s="722"/>
      <c r="CY89" s="722"/>
      <c r="CZ89" s="722"/>
      <c r="DA89" s="722"/>
      <c r="DB89" s="722"/>
      <c r="DC89" s="722"/>
      <c r="DD89" s="722"/>
      <c r="DE89" s="722"/>
      <c r="DF89" s="722"/>
      <c r="DG89" s="722"/>
      <c r="DH89" s="722"/>
      <c r="DI89" s="723"/>
      <c r="DJ89" s="711" t="s">
        <v>280</v>
      </c>
      <c r="DK89" s="712"/>
      <c r="DL89" s="712"/>
      <c r="DM89" s="712"/>
      <c r="DN89" s="712"/>
      <c r="DO89" s="712"/>
      <c r="DP89" s="712"/>
      <c r="DQ89" s="712"/>
      <c r="DR89" s="712"/>
      <c r="DS89" s="712"/>
      <c r="DT89" s="712"/>
      <c r="DU89" s="712"/>
      <c r="DV89" s="712"/>
      <c r="DW89" s="712"/>
      <c r="DX89" s="712"/>
      <c r="DY89" s="712"/>
      <c r="DZ89" s="712"/>
      <c r="EA89" s="712"/>
      <c r="EB89" s="712"/>
      <c r="EC89" s="712"/>
      <c r="ED89" s="712"/>
      <c r="EE89" s="712"/>
      <c r="EF89" s="712"/>
      <c r="EG89" s="712"/>
      <c r="EH89" s="712"/>
      <c r="EI89" s="712"/>
      <c r="EJ89" s="712"/>
      <c r="EK89" s="712"/>
      <c r="EL89" s="712"/>
      <c r="EM89" s="712"/>
      <c r="EN89" s="712"/>
      <c r="EO89" s="712"/>
      <c r="EP89" s="712"/>
      <c r="EQ89" s="712"/>
      <c r="ER89" s="712"/>
      <c r="ES89" s="712"/>
      <c r="ET89" s="712"/>
      <c r="EU89" s="712"/>
      <c r="EV89" s="712"/>
      <c r="EW89" s="712"/>
      <c r="EX89" s="712"/>
      <c r="EY89" s="712"/>
      <c r="EZ89" s="712"/>
      <c r="FA89" s="712"/>
      <c r="FB89" s="712"/>
      <c r="FC89" s="712"/>
      <c r="FD89" s="712"/>
      <c r="FE89" s="712"/>
      <c r="FF89" s="712"/>
      <c r="FG89" s="713"/>
    </row>
    <row r="90" spans="2:163" ht="8.65" customHeight="1" thickBot="1">
      <c r="B90" s="726"/>
      <c r="C90" s="727"/>
      <c r="D90" s="727"/>
      <c r="E90" s="727"/>
      <c r="F90" s="727"/>
      <c r="G90" s="727"/>
      <c r="H90" s="727"/>
      <c r="I90" s="727"/>
      <c r="J90" s="727"/>
      <c r="K90" s="727"/>
      <c r="L90" s="727"/>
      <c r="M90" s="727"/>
      <c r="N90" s="727"/>
      <c r="O90" s="727"/>
      <c r="P90" s="727"/>
      <c r="Q90" s="727"/>
      <c r="R90" s="727"/>
      <c r="S90" s="727"/>
      <c r="T90" s="727"/>
      <c r="U90" s="727"/>
      <c r="V90" s="727"/>
      <c r="W90" s="727"/>
      <c r="X90" s="727"/>
      <c r="Y90" s="727"/>
      <c r="Z90" s="727"/>
      <c r="AA90" s="727"/>
      <c r="AB90" s="727"/>
      <c r="AC90" s="727"/>
      <c r="AD90" s="727"/>
      <c r="AE90" s="727"/>
      <c r="AF90" s="727"/>
      <c r="AG90" s="727"/>
      <c r="AH90" s="727"/>
      <c r="AI90" s="727"/>
      <c r="AJ90" s="727"/>
      <c r="AK90" s="727"/>
      <c r="AL90" s="727"/>
      <c r="AM90" s="727"/>
      <c r="AN90" s="727"/>
      <c r="AO90" s="727"/>
      <c r="AP90" s="727"/>
      <c r="AQ90" s="727"/>
      <c r="AR90" s="727"/>
      <c r="AS90" s="727"/>
      <c r="AT90" s="727"/>
      <c r="AU90" s="715" t="s">
        <v>302</v>
      </c>
      <c r="AV90" s="716"/>
      <c r="AW90" s="716"/>
      <c r="AX90" s="716"/>
      <c r="AY90" s="716"/>
      <c r="AZ90" s="716"/>
      <c r="BA90" s="716"/>
      <c r="BB90" s="716"/>
      <c r="BC90" s="716"/>
      <c r="BD90" s="716"/>
      <c r="BE90" s="716"/>
      <c r="BF90" s="716"/>
      <c r="BG90" s="716"/>
      <c r="BH90" s="716"/>
      <c r="BI90" s="716"/>
      <c r="BJ90" s="716"/>
      <c r="BK90" s="716"/>
      <c r="BL90" s="716"/>
      <c r="BM90" s="716"/>
      <c r="BN90" s="716"/>
      <c r="BO90" s="716"/>
      <c r="BP90" s="716"/>
      <c r="BQ90" s="716"/>
      <c r="BR90" s="716"/>
      <c r="BS90" s="717"/>
      <c r="BT90" s="682">
        <v>0.3</v>
      </c>
      <c r="BU90" s="682"/>
      <c r="BV90" s="682"/>
      <c r="BW90" s="682"/>
      <c r="BX90" s="684"/>
      <c r="BY90" s="721" t="s">
        <v>303</v>
      </c>
      <c r="BZ90" s="722"/>
      <c r="CA90" s="722"/>
      <c r="CB90" s="722"/>
      <c r="CC90" s="722"/>
      <c r="CD90" s="722"/>
      <c r="CE90" s="722"/>
      <c r="CF90" s="722"/>
      <c r="CG90" s="722"/>
      <c r="CH90" s="722"/>
      <c r="CI90" s="722"/>
      <c r="CJ90" s="722"/>
      <c r="CK90" s="722"/>
      <c r="CL90" s="722"/>
      <c r="CM90" s="722"/>
      <c r="CN90" s="722"/>
      <c r="CO90" s="722"/>
      <c r="CP90" s="722"/>
      <c r="CQ90" s="722"/>
      <c r="CR90" s="722"/>
      <c r="CS90" s="722"/>
      <c r="CT90" s="722"/>
      <c r="CU90" s="722"/>
      <c r="CV90" s="722"/>
      <c r="CW90" s="722"/>
      <c r="CX90" s="722"/>
      <c r="CY90" s="722"/>
      <c r="CZ90" s="722"/>
      <c r="DA90" s="722"/>
      <c r="DB90" s="722"/>
      <c r="DC90" s="722"/>
      <c r="DD90" s="722"/>
      <c r="DE90" s="722"/>
      <c r="DF90" s="722"/>
      <c r="DG90" s="722"/>
      <c r="DH90" s="722"/>
      <c r="DI90" s="723"/>
      <c r="DJ90" s="714"/>
      <c r="DK90" s="712"/>
      <c r="DL90" s="712"/>
      <c r="DM90" s="712"/>
      <c r="DN90" s="712"/>
      <c r="DO90" s="712"/>
      <c r="DP90" s="712"/>
      <c r="DQ90" s="712"/>
      <c r="DR90" s="712"/>
      <c r="DS90" s="712"/>
      <c r="DT90" s="712"/>
      <c r="DU90" s="712"/>
      <c r="DV90" s="712"/>
      <c r="DW90" s="712"/>
      <c r="DX90" s="712"/>
      <c r="DY90" s="712"/>
      <c r="DZ90" s="712"/>
      <c r="EA90" s="712"/>
      <c r="EB90" s="712"/>
      <c r="EC90" s="712"/>
      <c r="ED90" s="712"/>
      <c r="EE90" s="712"/>
      <c r="EF90" s="712"/>
      <c r="EG90" s="712"/>
      <c r="EH90" s="712"/>
      <c r="EI90" s="712"/>
      <c r="EJ90" s="712"/>
      <c r="EK90" s="712"/>
      <c r="EL90" s="712"/>
      <c r="EM90" s="712"/>
      <c r="EN90" s="712"/>
      <c r="EO90" s="712"/>
      <c r="EP90" s="712"/>
      <c r="EQ90" s="712"/>
      <c r="ER90" s="712"/>
      <c r="ES90" s="712"/>
      <c r="ET90" s="712"/>
      <c r="EU90" s="712"/>
      <c r="EV90" s="712"/>
      <c r="EW90" s="712"/>
      <c r="EX90" s="712"/>
      <c r="EY90" s="712"/>
      <c r="EZ90" s="712"/>
      <c r="FA90" s="712"/>
      <c r="FB90" s="712"/>
      <c r="FC90" s="712"/>
      <c r="FD90" s="712"/>
      <c r="FE90" s="712"/>
      <c r="FF90" s="712"/>
      <c r="FG90" s="713"/>
    </row>
    <row r="91" spans="2:163" ht="8.65" customHeight="1" thickBot="1">
      <c r="B91" s="391" t="s">
        <v>282</v>
      </c>
      <c r="C91" s="380"/>
      <c r="D91" s="380"/>
      <c r="E91" s="380"/>
      <c r="F91" s="380"/>
      <c r="G91" s="380"/>
      <c r="H91" s="380"/>
      <c r="I91" s="380"/>
      <c r="J91" s="380"/>
      <c r="K91" s="380"/>
      <c r="L91" s="380"/>
      <c r="M91" s="380"/>
      <c r="N91" s="380"/>
      <c r="O91" s="380"/>
      <c r="P91" s="380"/>
      <c r="Q91" s="380"/>
      <c r="R91" s="380"/>
      <c r="S91" s="380"/>
      <c r="T91" s="380"/>
      <c r="U91" s="380"/>
      <c r="V91" s="380"/>
      <c r="W91" s="380"/>
      <c r="X91" s="380"/>
      <c r="Y91" s="380"/>
      <c r="Z91" s="380"/>
      <c r="AA91" s="380"/>
      <c r="AB91" s="380"/>
      <c r="AC91" s="380"/>
      <c r="AD91" s="380"/>
      <c r="AE91" s="380"/>
      <c r="AF91" s="380"/>
      <c r="AG91" s="380"/>
      <c r="AH91" s="380"/>
      <c r="AI91" s="380"/>
      <c r="AJ91" s="380"/>
      <c r="AK91" s="380"/>
      <c r="AL91" s="380"/>
      <c r="AM91" s="380"/>
      <c r="AN91" s="380"/>
      <c r="AO91" s="380"/>
      <c r="AP91" s="380"/>
      <c r="AQ91" s="380"/>
      <c r="AR91" s="380"/>
      <c r="AS91" s="380"/>
      <c r="AT91" s="383"/>
      <c r="AU91" s="718"/>
      <c r="AV91" s="719"/>
      <c r="AW91" s="719"/>
      <c r="AX91" s="719"/>
      <c r="AY91" s="719"/>
      <c r="AZ91" s="719"/>
      <c r="BA91" s="719"/>
      <c r="BB91" s="719"/>
      <c r="BC91" s="719"/>
      <c r="BD91" s="719"/>
      <c r="BE91" s="719"/>
      <c r="BF91" s="719"/>
      <c r="BG91" s="719"/>
      <c r="BH91" s="719"/>
      <c r="BI91" s="719"/>
      <c r="BJ91" s="719"/>
      <c r="BK91" s="719"/>
      <c r="BL91" s="719"/>
      <c r="BM91" s="719"/>
      <c r="BN91" s="719"/>
      <c r="BO91" s="719"/>
      <c r="BP91" s="719"/>
      <c r="BQ91" s="719"/>
      <c r="BR91" s="719"/>
      <c r="BS91" s="720"/>
      <c r="BT91" s="682"/>
      <c r="BU91" s="682"/>
      <c r="BV91" s="682"/>
      <c r="BW91" s="682"/>
      <c r="BX91" s="684"/>
      <c r="BY91" s="728"/>
      <c r="BZ91" s="729"/>
      <c r="CA91" s="729"/>
      <c r="CB91" s="729"/>
      <c r="CC91" s="729"/>
      <c r="CD91" s="729"/>
      <c r="CE91" s="729"/>
      <c r="CF91" s="729"/>
      <c r="CG91" s="729"/>
      <c r="CH91" s="729"/>
      <c r="CI91" s="729"/>
      <c r="CJ91" s="729"/>
      <c r="CK91" s="729"/>
      <c r="CL91" s="729"/>
      <c r="CM91" s="729"/>
      <c r="CN91" s="729"/>
      <c r="CO91" s="729"/>
      <c r="CP91" s="729"/>
      <c r="CQ91" s="729"/>
      <c r="CR91" s="729"/>
      <c r="CS91" s="729"/>
      <c r="CT91" s="729"/>
      <c r="CU91" s="729"/>
      <c r="CV91" s="729"/>
      <c r="CW91" s="729"/>
      <c r="CX91" s="729"/>
      <c r="CY91" s="729"/>
      <c r="CZ91" s="729"/>
      <c r="DA91" s="729"/>
      <c r="DB91" s="729"/>
      <c r="DC91" s="729"/>
      <c r="DD91" s="729"/>
      <c r="DE91" s="729"/>
      <c r="DF91" s="729"/>
      <c r="DG91" s="729"/>
      <c r="DH91" s="729"/>
      <c r="DI91" s="730"/>
      <c r="DJ91" s="714"/>
      <c r="DK91" s="712"/>
      <c r="DL91" s="712"/>
      <c r="DM91" s="712"/>
      <c r="DN91" s="712"/>
      <c r="DO91" s="712"/>
      <c r="DP91" s="712"/>
      <c r="DQ91" s="712"/>
      <c r="DR91" s="712"/>
      <c r="DS91" s="712"/>
      <c r="DT91" s="712"/>
      <c r="DU91" s="712"/>
      <c r="DV91" s="712"/>
      <c r="DW91" s="712"/>
      <c r="DX91" s="712"/>
      <c r="DY91" s="712"/>
      <c r="DZ91" s="712"/>
      <c r="EA91" s="712"/>
      <c r="EB91" s="712"/>
      <c r="EC91" s="712"/>
      <c r="ED91" s="712"/>
      <c r="EE91" s="712"/>
      <c r="EF91" s="712"/>
      <c r="EG91" s="712"/>
      <c r="EH91" s="712"/>
      <c r="EI91" s="712"/>
      <c r="EJ91" s="712"/>
      <c r="EK91" s="712"/>
      <c r="EL91" s="712"/>
      <c r="EM91" s="712"/>
      <c r="EN91" s="712"/>
      <c r="EO91" s="712"/>
      <c r="EP91" s="712"/>
      <c r="EQ91" s="712"/>
      <c r="ER91" s="712"/>
      <c r="ES91" s="712"/>
      <c r="ET91" s="712"/>
      <c r="EU91" s="712"/>
      <c r="EV91" s="712"/>
      <c r="EW91" s="712"/>
      <c r="EX91" s="712"/>
      <c r="EY91" s="712"/>
      <c r="EZ91" s="712"/>
      <c r="FA91" s="712"/>
      <c r="FB91" s="712"/>
      <c r="FC91" s="712"/>
      <c r="FD91" s="712"/>
      <c r="FE91" s="712"/>
      <c r="FF91" s="712"/>
      <c r="FG91" s="713"/>
    </row>
    <row r="92" spans="2:163" ht="8.65" customHeight="1" thickTop="1">
      <c r="B92" s="391"/>
      <c r="C92" s="380"/>
      <c r="D92" s="380"/>
      <c r="E92" s="380"/>
      <c r="F92" s="380"/>
      <c r="G92" s="380"/>
      <c r="H92" s="380"/>
      <c r="I92" s="380"/>
      <c r="J92" s="380"/>
      <c r="K92" s="380"/>
      <c r="L92" s="380"/>
      <c r="M92" s="380"/>
      <c r="N92" s="380"/>
      <c r="O92" s="380"/>
      <c r="P92" s="380"/>
      <c r="Q92" s="380"/>
      <c r="R92" s="380"/>
      <c r="S92" s="380"/>
      <c r="T92" s="380"/>
      <c r="U92" s="380"/>
      <c r="V92" s="380"/>
      <c r="W92" s="380"/>
      <c r="X92" s="380"/>
      <c r="Y92" s="380"/>
      <c r="Z92" s="380"/>
      <c r="AA92" s="380"/>
      <c r="AB92" s="380"/>
      <c r="AC92" s="380"/>
      <c r="AD92" s="380"/>
      <c r="AE92" s="380"/>
      <c r="AF92" s="380"/>
      <c r="AG92" s="380"/>
      <c r="AH92" s="380"/>
      <c r="AI92" s="380"/>
      <c r="AJ92" s="380"/>
      <c r="AK92" s="380"/>
      <c r="AL92" s="380"/>
      <c r="AM92" s="380"/>
      <c r="AN92" s="380"/>
      <c r="AO92" s="380"/>
      <c r="AP92" s="380"/>
      <c r="AQ92" s="380"/>
      <c r="AR92" s="380"/>
      <c r="AS92" s="380"/>
      <c r="AT92" s="383"/>
      <c r="AU92" s="715" t="s">
        <v>306</v>
      </c>
      <c r="AV92" s="716"/>
      <c r="AW92" s="716"/>
      <c r="AX92" s="716"/>
      <c r="AY92" s="716"/>
      <c r="AZ92" s="716"/>
      <c r="BA92" s="716"/>
      <c r="BB92" s="716"/>
      <c r="BC92" s="716"/>
      <c r="BD92" s="716"/>
      <c r="BE92" s="716"/>
      <c r="BF92" s="716"/>
      <c r="BG92" s="716"/>
      <c r="BH92" s="716"/>
      <c r="BI92" s="716"/>
      <c r="BJ92" s="716"/>
      <c r="BK92" s="716"/>
      <c r="BL92" s="716"/>
      <c r="BM92" s="716"/>
      <c r="BN92" s="716"/>
      <c r="BO92" s="716"/>
      <c r="BP92" s="716"/>
      <c r="BQ92" s="716"/>
      <c r="BR92" s="716"/>
      <c r="BS92" s="717"/>
      <c r="BT92" s="682">
        <v>0.5</v>
      </c>
      <c r="BU92" s="682"/>
      <c r="BV92" s="682"/>
      <c r="BW92" s="682"/>
      <c r="BX92" s="684"/>
      <c r="BY92" s="669" t="s">
        <v>338</v>
      </c>
      <c r="BZ92" s="670"/>
      <c r="CA92" s="670"/>
      <c r="CB92" s="670"/>
      <c r="CC92" s="670"/>
      <c r="CD92" s="670"/>
      <c r="CE92" s="670"/>
      <c r="CF92" s="670"/>
      <c r="CG92" s="670"/>
      <c r="CH92" s="670"/>
      <c r="CI92" s="670"/>
      <c r="CJ92" s="670"/>
      <c r="CK92" s="670"/>
      <c r="CL92" s="670"/>
      <c r="CM92" s="670"/>
      <c r="CN92" s="670"/>
      <c r="CO92" s="670"/>
      <c r="CP92" s="670"/>
      <c r="CQ92" s="670"/>
      <c r="CR92" s="670"/>
      <c r="CS92" s="670"/>
      <c r="CT92" s="670"/>
      <c r="CU92" s="670"/>
      <c r="CV92" s="670"/>
      <c r="CW92" s="670"/>
      <c r="CX92" s="670"/>
      <c r="CY92" s="670"/>
      <c r="CZ92" s="670"/>
      <c r="DA92" s="670"/>
      <c r="DB92" s="670"/>
      <c r="DC92" s="670"/>
      <c r="DD92" s="670"/>
      <c r="DE92" s="670"/>
      <c r="DF92" s="670"/>
      <c r="DG92" s="670"/>
      <c r="DH92" s="670"/>
      <c r="DI92" s="671"/>
      <c r="DJ92" s="711" t="s">
        <v>285</v>
      </c>
      <c r="DK92" s="712"/>
      <c r="DL92" s="712"/>
      <c r="DM92" s="712"/>
      <c r="DN92" s="712"/>
      <c r="DO92" s="712"/>
      <c r="DP92" s="712"/>
      <c r="DQ92" s="712"/>
      <c r="DR92" s="712"/>
      <c r="DS92" s="712"/>
      <c r="DT92" s="712"/>
      <c r="DU92" s="712"/>
      <c r="DV92" s="712"/>
      <c r="DW92" s="712"/>
      <c r="DX92" s="712"/>
      <c r="DY92" s="712"/>
      <c r="DZ92" s="712"/>
      <c r="EA92" s="712"/>
      <c r="EB92" s="712"/>
      <c r="EC92" s="712"/>
      <c r="ED92" s="712"/>
      <c r="EE92" s="712"/>
      <c r="EF92" s="712"/>
      <c r="EG92" s="712"/>
      <c r="EH92" s="712"/>
      <c r="EI92" s="712"/>
      <c r="EJ92" s="712"/>
      <c r="EK92" s="712"/>
      <c r="EL92" s="712"/>
      <c r="EM92" s="712"/>
      <c r="EN92" s="712"/>
      <c r="EO92" s="712"/>
      <c r="EP92" s="712"/>
      <c r="EQ92" s="712"/>
      <c r="ER92" s="712"/>
      <c r="ES92" s="712"/>
      <c r="ET92" s="712"/>
      <c r="EU92" s="712"/>
      <c r="EV92" s="712"/>
      <c r="EW92" s="712"/>
      <c r="EX92" s="712"/>
      <c r="EY92" s="712"/>
      <c r="EZ92" s="712"/>
      <c r="FA92" s="712"/>
      <c r="FB92" s="712"/>
      <c r="FC92" s="712"/>
      <c r="FD92" s="712"/>
      <c r="FE92" s="712"/>
      <c r="FF92" s="712"/>
      <c r="FG92" s="713"/>
    </row>
    <row r="93" spans="2:163" ht="8.65" customHeight="1">
      <c r="B93" s="391"/>
      <c r="C93" s="380"/>
      <c r="D93" s="380"/>
      <c r="E93" s="380"/>
      <c r="F93" s="380"/>
      <c r="G93" s="380"/>
      <c r="H93" s="380"/>
      <c r="I93" s="380"/>
      <c r="J93" s="380"/>
      <c r="K93" s="380"/>
      <c r="L93" s="380"/>
      <c r="M93" s="380"/>
      <c r="N93" s="380"/>
      <c r="O93" s="380"/>
      <c r="P93" s="380"/>
      <c r="Q93" s="380"/>
      <c r="R93" s="380"/>
      <c r="S93" s="380"/>
      <c r="T93" s="380"/>
      <c r="U93" s="380"/>
      <c r="V93" s="380"/>
      <c r="W93" s="380"/>
      <c r="X93" s="380"/>
      <c r="Y93" s="380"/>
      <c r="Z93" s="380"/>
      <c r="AA93" s="380"/>
      <c r="AB93" s="380"/>
      <c r="AC93" s="380"/>
      <c r="AD93" s="380"/>
      <c r="AE93" s="380"/>
      <c r="AF93" s="380"/>
      <c r="AG93" s="380"/>
      <c r="AH93" s="380"/>
      <c r="AI93" s="380"/>
      <c r="AJ93" s="380"/>
      <c r="AK93" s="380"/>
      <c r="AL93" s="380"/>
      <c r="AM93" s="380"/>
      <c r="AN93" s="380"/>
      <c r="AO93" s="380"/>
      <c r="AP93" s="380"/>
      <c r="AQ93" s="380"/>
      <c r="AR93" s="380"/>
      <c r="AS93" s="380"/>
      <c r="AT93" s="383"/>
      <c r="AU93" s="718"/>
      <c r="AV93" s="719"/>
      <c r="AW93" s="719"/>
      <c r="AX93" s="719"/>
      <c r="AY93" s="719"/>
      <c r="AZ93" s="719"/>
      <c r="BA93" s="719"/>
      <c r="BB93" s="719"/>
      <c r="BC93" s="719"/>
      <c r="BD93" s="719"/>
      <c r="BE93" s="719"/>
      <c r="BF93" s="719"/>
      <c r="BG93" s="719"/>
      <c r="BH93" s="719"/>
      <c r="BI93" s="719"/>
      <c r="BJ93" s="719"/>
      <c r="BK93" s="719"/>
      <c r="BL93" s="719"/>
      <c r="BM93" s="719"/>
      <c r="BN93" s="719"/>
      <c r="BO93" s="719"/>
      <c r="BP93" s="719"/>
      <c r="BQ93" s="719"/>
      <c r="BR93" s="719"/>
      <c r="BS93" s="720"/>
      <c r="BT93" s="682"/>
      <c r="BU93" s="682"/>
      <c r="BV93" s="682"/>
      <c r="BW93" s="682"/>
      <c r="BX93" s="684"/>
      <c r="BY93" s="672"/>
      <c r="BZ93" s="673"/>
      <c r="CA93" s="673"/>
      <c r="CB93" s="673"/>
      <c r="CC93" s="673"/>
      <c r="CD93" s="673"/>
      <c r="CE93" s="673"/>
      <c r="CF93" s="673"/>
      <c r="CG93" s="673"/>
      <c r="CH93" s="673"/>
      <c r="CI93" s="673"/>
      <c r="CJ93" s="673"/>
      <c r="CK93" s="673"/>
      <c r="CL93" s="673"/>
      <c r="CM93" s="673"/>
      <c r="CN93" s="673"/>
      <c r="CO93" s="673"/>
      <c r="CP93" s="673"/>
      <c r="CQ93" s="673"/>
      <c r="CR93" s="673"/>
      <c r="CS93" s="673"/>
      <c r="CT93" s="673"/>
      <c r="CU93" s="673"/>
      <c r="CV93" s="673"/>
      <c r="CW93" s="673"/>
      <c r="CX93" s="673"/>
      <c r="CY93" s="673"/>
      <c r="CZ93" s="673"/>
      <c r="DA93" s="673"/>
      <c r="DB93" s="673"/>
      <c r="DC93" s="673"/>
      <c r="DD93" s="673"/>
      <c r="DE93" s="673"/>
      <c r="DF93" s="673"/>
      <c r="DG93" s="673"/>
      <c r="DH93" s="673"/>
      <c r="DI93" s="674"/>
      <c r="DJ93" s="714"/>
      <c r="DK93" s="712"/>
      <c r="DL93" s="712"/>
      <c r="DM93" s="712"/>
      <c r="DN93" s="712"/>
      <c r="DO93" s="712"/>
      <c r="DP93" s="712"/>
      <c r="DQ93" s="712"/>
      <c r="DR93" s="712"/>
      <c r="DS93" s="712"/>
      <c r="DT93" s="712"/>
      <c r="DU93" s="712"/>
      <c r="DV93" s="712"/>
      <c r="DW93" s="712"/>
      <c r="DX93" s="712"/>
      <c r="DY93" s="712"/>
      <c r="DZ93" s="712"/>
      <c r="EA93" s="712"/>
      <c r="EB93" s="712"/>
      <c r="EC93" s="712"/>
      <c r="ED93" s="712"/>
      <c r="EE93" s="712"/>
      <c r="EF93" s="712"/>
      <c r="EG93" s="712"/>
      <c r="EH93" s="712"/>
      <c r="EI93" s="712"/>
      <c r="EJ93" s="712"/>
      <c r="EK93" s="712"/>
      <c r="EL93" s="712"/>
      <c r="EM93" s="712"/>
      <c r="EN93" s="712"/>
      <c r="EO93" s="712"/>
      <c r="EP93" s="712"/>
      <c r="EQ93" s="712"/>
      <c r="ER93" s="712"/>
      <c r="ES93" s="712"/>
      <c r="ET93" s="712"/>
      <c r="EU93" s="712"/>
      <c r="EV93" s="712"/>
      <c r="EW93" s="712"/>
      <c r="EX93" s="712"/>
      <c r="EY93" s="712"/>
      <c r="EZ93" s="712"/>
      <c r="FA93" s="712"/>
      <c r="FB93" s="712"/>
      <c r="FC93" s="712"/>
      <c r="FD93" s="712"/>
      <c r="FE93" s="712"/>
      <c r="FF93" s="712"/>
      <c r="FG93" s="713"/>
    </row>
    <row r="94" spans="2:163" ht="8.65" customHeight="1">
      <c r="B94" s="599"/>
      <c r="C94" s="600"/>
      <c r="D94" s="600"/>
      <c r="E94" s="600"/>
      <c r="F94" s="600"/>
      <c r="G94" s="600"/>
      <c r="H94" s="600"/>
      <c r="I94" s="600"/>
      <c r="J94" s="600"/>
      <c r="K94" s="600"/>
      <c r="L94" s="600"/>
      <c r="M94" s="600"/>
      <c r="N94" s="600"/>
      <c r="O94" s="600"/>
      <c r="P94" s="600"/>
      <c r="Q94" s="600"/>
      <c r="R94" s="600"/>
      <c r="S94" s="600"/>
      <c r="T94" s="600"/>
      <c r="U94" s="600"/>
      <c r="V94" s="600"/>
      <c r="W94" s="600"/>
      <c r="X94" s="600"/>
      <c r="Y94" s="600"/>
      <c r="Z94" s="600"/>
      <c r="AA94" s="600"/>
      <c r="AB94" s="600"/>
      <c r="AC94" s="600"/>
      <c r="AD94" s="600"/>
      <c r="AE94" s="600"/>
      <c r="AF94" s="600"/>
      <c r="AG94" s="600"/>
      <c r="AH94" s="600"/>
      <c r="AI94" s="600"/>
      <c r="AJ94" s="600"/>
      <c r="AK94" s="600"/>
      <c r="AL94" s="600"/>
      <c r="AM94" s="600"/>
      <c r="AN94" s="600"/>
      <c r="AO94" s="600"/>
      <c r="AP94" s="600"/>
      <c r="AQ94" s="600"/>
      <c r="AR94" s="600"/>
      <c r="AS94" s="600"/>
      <c r="AT94" s="604"/>
      <c r="AU94" s="715" t="s">
        <v>309</v>
      </c>
      <c r="AV94" s="716"/>
      <c r="AW94" s="716"/>
      <c r="AX94" s="716"/>
      <c r="AY94" s="716"/>
      <c r="AZ94" s="716"/>
      <c r="BA94" s="716"/>
      <c r="BB94" s="716"/>
      <c r="BC94" s="716"/>
      <c r="BD94" s="716"/>
      <c r="BE94" s="716"/>
      <c r="BF94" s="716"/>
      <c r="BG94" s="716"/>
      <c r="BH94" s="716"/>
      <c r="BI94" s="716"/>
      <c r="BJ94" s="716"/>
      <c r="BK94" s="716"/>
      <c r="BL94" s="716"/>
      <c r="BM94" s="716"/>
      <c r="BN94" s="716"/>
      <c r="BO94" s="716"/>
      <c r="BP94" s="716"/>
      <c r="BQ94" s="716"/>
      <c r="BR94" s="716"/>
      <c r="BS94" s="717"/>
      <c r="BT94" s="682">
        <v>0.3</v>
      </c>
      <c r="BU94" s="682"/>
      <c r="BV94" s="682"/>
      <c r="BW94" s="682"/>
      <c r="BX94" s="684"/>
      <c r="BY94" s="672"/>
      <c r="BZ94" s="673"/>
      <c r="CA94" s="673"/>
      <c r="CB94" s="673"/>
      <c r="CC94" s="673"/>
      <c r="CD94" s="673"/>
      <c r="CE94" s="673"/>
      <c r="CF94" s="673"/>
      <c r="CG94" s="673"/>
      <c r="CH94" s="673"/>
      <c r="CI94" s="673"/>
      <c r="CJ94" s="673"/>
      <c r="CK94" s="673"/>
      <c r="CL94" s="673"/>
      <c r="CM94" s="673"/>
      <c r="CN94" s="673"/>
      <c r="CO94" s="673"/>
      <c r="CP94" s="673"/>
      <c r="CQ94" s="673"/>
      <c r="CR94" s="673"/>
      <c r="CS94" s="673"/>
      <c r="CT94" s="673"/>
      <c r="CU94" s="673"/>
      <c r="CV94" s="673"/>
      <c r="CW94" s="673"/>
      <c r="CX94" s="673"/>
      <c r="CY94" s="673"/>
      <c r="CZ94" s="673"/>
      <c r="DA94" s="673"/>
      <c r="DB94" s="673"/>
      <c r="DC94" s="673"/>
      <c r="DD94" s="673"/>
      <c r="DE94" s="673"/>
      <c r="DF94" s="673"/>
      <c r="DG94" s="673"/>
      <c r="DH94" s="673"/>
      <c r="DI94" s="674"/>
      <c r="DJ94" s="714"/>
      <c r="DK94" s="712"/>
      <c r="DL94" s="712"/>
      <c r="DM94" s="712"/>
      <c r="DN94" s="712"/>
      <c r="DO94" s="712"/>
      <c r="DP94" s="712"/>
      <c r="DQ94" s="712"/>
      <c r="DR94" s="712"/>
      <c r="DS94" s="712"/>
      <c r="DT94" s="712"/>
      <c r="DU94" s="712"/>
      <c r="DV94" s="712"/>
      <c r="DW94" s="712"/>
      <c r="DX94" s="712"/>
      <c r="DY94" s="712"/>
      <c r="DZ94" s="712"/>
      <c r="EA94" s="712"/>
      <c r="EB94" s="712"/>
      <c r="EC94" s="712"/>
      <c r="ED94" s="712"/>
      <c r="EE94" s="712"/>
      <c r="EF94" s="712"/>
      <c r="EG94" s="712"/>
      <c r="EH94" s="712"/>
      <c r="EI94" s="712"/>
      <c r="EJ94" s="712"/>
      <c r="EK94" s="712"/>
      <c r="EL94" s="712"/>
      <c r="EM94" s="712"/>
      <c r="EN94" s="712"/>
      <c r="EO94" s="712"/>
      <c r="EP94" s="712"/>
      <c r="EQ94" s="712"/>
      <c r="ER94" s="712"/>
      <c r="ES94" s="712"/>
      <c r="ET94" s="712"/>
      <c r="EU94" s="712"/>
      <c r="EV94" s="712"/>
      <c r="EW94" s="712"/>
      <c r="EX94" s="712"/>
      <c r="EY94" s="712"/>
      <c r="EZ94" s="712"/>
      <c r="FA94" s="712"/>
      <c r="FB94" s="712"/>
      <c r="FC94" s="712"/>
      <c r="FD94" s="712"/>
      <c r="FE94" s="712"/>
      <c r="FF94" s="712"/>
      <c r="FG94" s="713"/>
    </row>
    <row r="95" spans="2:163" ht="8.65" customHeight="1">
      <c r="B95" s="731" t="s">
        <v>287</v>
      </c>
      <c r="C95" s="732"/>
      <c r="D95" s="732"/>
      <c r="E95" s="732"/>
      <c r="F95" s="732"/>
      <c r="G95" s="732"/>
      <c r="H95" s="732"/>
      <c r="I95" s="732"/>
      <c r="J95" s="732"/>
      <c r="K95" s="732"/>
      <c r="L95" s="732"/>
      <c r="M95" s="732"/>
      <c r="N95" s="732"/>
      <c r="O95" s="733"/>
      <c r="P95" s="737" t="s">
        <v>288</v>
      </c>
      <c r="Q95" s="662"/>
      <c r="R95" s="662"/>
      <c r="S95" s="662"/>
      <c r="T95" s="662"/>
      <c r="U95" s="662"/>
      <c r="V95" s="662"/>
      <c r="W95" s="662"/>
      <c r="X95" s="662"/>
      <c r="Y95" s="662"/>
      <c r="Z95" s="662"/>
      <c r="AA95" s="662"/>
      <c r="AB95" s="662"/>
      <c r="AC95" s="662"/>
      <c r="AD95" s="662"/>
      <c r="AE95" s="662"/>
      <c r="AF95" s="662"/>
      <c r="AG95" s="662"/>
      <c r="AH95" s="662"/>
      <c r="AI95" s="662"/>
      <c r="AJ95" s="662"/>
      <c r="AK95" s="662"/>
      <c r="AL95" s="662"/>
      <c r="AM95" s="662"/>
      <c r="AN95" s="662"/>
      <c r="AO95" s="662"/>
      <c r="AP95" s="662"/>
      <c r="AQ95" s="662"/>
      <c r="AR95" s="662"/>
      <c r="AS95" s="662"/>
      <c r="AT95" s="738"/>
      <c r="AU95" s="718"/>
      <c r="AV95" s="719"/>
      <c r="AW95" s="719"/>
      <c r="AX95" s="719"/>
      <c r="AY95" s="719"/>
      <c r="AZ95" s="719"/>
      <c r="BA95" s="719"/>
      <c r="BB95" s="719"/>
      <c r="BC95" s="719"/>
      <c r="BD95" s="719"/>
      <c r="BE95" s="719"/>
      <c r="BF95" s="719"/>
      <c r="BG95" s="719"/>
      <c r="BH95" s="719"/>
      <c r="BI95" s="719"/>
      <c r="BJ95" s="719"/>
      <c r="BK95" s="719"/>
      <c r="BL95" s="719"/>
      <c r="BM95" s="719"/>
      <c r="BN95" s="719"/>
      <c r="BO95" s="719"/>
      <c r="BP95" s="719"/>
      <c r="BQ95" s="719"/>
      <c r="BR95" s="719"/>
      <c r="BS95" s="720"/>
      <c r="BT95" s="682"/>
      <c r="BU95" s="682"/>
      <c r="BV95" s="682"/>
      <c r="BW95" s="682"/>
      <c r="BX95" s="684"/>
      <c r="BY95" s="672"/>
      <c r="BZ95" s="673"/>
      <c r="CA95" s="673"/>
      <c r="CB95" s="673"/>
      <c r="CC95" s="673"/>
      <c r="CD95" s="673"/>
      <c r="CE95" s="673"/>
      <c r="CF95" s="673"/>
      <c r="CG95" s="673"/>
      <c r="CH95" s="673"/>
      <c r="CI95" s="673"/>
      <c r="CJ95" s="673"/>
      <c r="CK95" s="673"/>
      <c r="CL95" s="673"/>
      <c r="CM95" s="673"/>
      <c r="CN95" s="673"/>
      <c r="CO95" s="673"/>
      <c r="CP95" s="673"/>
      <c r="CQ95" s="673"/>
      <c r="CR95" s="673"/>
      <c r="CS95" s="673"/>
      <c r="CT95" s="673"/>
      <c r="CU95" s="673"/>
      <c r="CV95" s="673"/>
      <c r="CW95" s="673"/>
      <c r="CX95" s="673"/>
      <c r="CY95" s="673"/>
      <c r="CZ95" s="673"/>
      <c r="DA95" s="673"/>
      <c r="DB95" s="673"/>
      <c r="DC95" s="673"/>
      <c r="DD95" s="673"/>
      <c r="DE95" s="673"/>
      <c r="DF95" s="673"/>
      <c r="DG95" s="673"/>
      <c r="DH95" s="673"/>
      <c r="DI95" s="674"/>
      <c r="DJ95" s="711" t="s">
        <v>290</v>
      </c>
      <c r="DK95" s="712"/>
      <c r="DL95" s="712"/>
      <c r="DM95" s="712"/>
      <c r="DN95" s="712"/>
      <c r="DO95" s="712"/>
      <c r="DP95" s="712"/>
      <c r="DQ95" s="712"/>
      <c r="DR95" s="712"/>
      <c r="DS95" s="712"/>
      <c r="DT95" s="712"/>
      <c r="DU95" s="712"/>
      <c r="DV95" s="712"/>
      <c r="DW95" s="712"/>
      <c r="DX95" s="712"/>
      <c r="DY95" s="712"/>
      <c r="DZ95" s="712"/>
      <c r="EA95" s="712"/>
      <c r="EB95" s="712"/>
      <c r="EC95" s="712"/>
      <c r="ED95" s="712"/>
      <c r="EE95" s="712"/>
      <c r="EF95" s="712"/>
      <c r="EG95" s="712"/>
      <c r="EH95" s="712"/>
      <c r="EI95" s="712"/>
      <c r="EJ95" s="712"/>
      <c r="EK95" s="712"/>
      <c r="EL95" s="712"/>
      <c r="EM95" s="712"/>
      <c r="EN95" s="712"/>
      <c r="EO95" s="712"/>
      <c r="EP95" s="712"/>
      <c r="EQ95" s="712"/>
      <c r="ER95" s="712"/>
      <c r="ES95" s="712"/>
      <c r="ET95" s="712"/>
      <c r="EU95" s="712"/>
      <c r="EV95" s="712"/>
      <c r="EW95" s="712"/>
      <c r="EX95" s="712"/>
      <c r="EY95" s="712"/>
      <c r="EZ95" s="712"/>
      <c r="FA95" s="712"/>
      <c r="FB95" s="712"/>
      <c r="FC95" s="712"/>
      <c r="FD95" s="712"/>
      <c r="FE95" s="712"/>
      <c r="FF95" s="712"/>
      <c r="FG95" s="713"/>
    </row>
    <row r="96" spans="2:163" ht="8.65" customHeight="1">
      <c r="B96" s="734"/>
      <c r="C96" s="735"/>
      <c r="D96" s="735"/>
      <c r="E96" s="735"/>
      <c r="F96" s="735"/>
      <c r="G96" s="735"/>
      <c r="H96" s="735"/>
      <c r="I96" s="735"/>
      <c r="J96" s="735"/>
      <c r="K96" s="735"/>
      <c r="L96" s="735"/>
      <c r="M96" s="735"/>
      <c r="N96" s="735"/>
      <c r="O96" s="736"/>
      <c r="P96" s="739"/>
      <c r="Q96" s="740"/>
      <c r="R96" s="740"/>
      <c r="S96" s="740"/>
      <c r="T96" s="740"/>
      <c r="U96" s="740"/>
      <c r="V96" s="740"/>
      <c r="W96" s="740"/>
      <c r="X96" s="740"/>
      <c r="Y96" s="740"/>
      <c r="Z96" s="740"/>
      <c r="AA96" s="740"/>
      <c r="AB96" s="740"/>
      <c r="AC96" s="740"/>
      <c r="AD96" s="740"/>
      <c r="AE96" s="740"/>
      <c r="AF96" s="740"/>
      <c r="AG96" s="740"/>
      <c r="AH96" s="740"/>
      <c r="AI96" s="740"/>
      <c r="AJ96" s="740"/>
      <c r="AK96" s="740"/>
      <c r="AL96" s="740"/>
      <c r="AM96" s="740"/>
      <c r="AN96" s="740"/>
      <c r="AO96" s="740"/>
      <c r="AP96" s="740"/>
      <c r="AQ96" s="740"/>
      <c r="AR96" s="740"/>
      <c r="AS96" s="740"/>
      <c r="AT96" s="741"/>
      <c r="AU96" s="742" t="s">
        <v>313</v>
      </c>
      <c r="AV96" s="743"/>
      <c r="AW96" s="743"/>
      <c r="AX96" s="743"/>
      <c r="AY96" s="743"/>
      <c r="AZ96" s="743"/>
      <c r="BA96" s="743"/>
      <c r="BB96" s="743"/>
      <c r="BC96" s="743"/>
      <c r="BD96" s="743"/>
      <c r="BE96" s="743"/>
      <c r="BF96" s="743"/>
      <c r="BG96" s="743"/>
      <c r="BH96" s="743"/>
      <c r="BI96" s="743"/>
      <c r="BJ96" s="743"/>
      <c r="BK96" s="743"/>
      <c r="BL96" s="743"/>
      <c r="BM96" s="743"/>
      <c r="BN96" s="743"/>
      <c r="BO96" s="743"/>
      <c r="BP96" s="743"/>
      <c r="BQ96" s="743"/>
      <c r="BR96" s="743"/>
      <c r="BS96" s="743"/>
      <c r="BT96" s="743"/>
      <c r="BU96" s="743"/>
      <c r="BV96" s="743"/>
      <c r="BW96" s="743"/>
      <c r="BX96" s="744"/>
      <c r="BY96" s="748" t="s">
        <v>339</v>
      </c>
      <c r="BZ96" s="749"/>
      <c r="CA96" s="749"/>
      <c r="CB96" s="749"/>
      <c r="CC96" s="749"/>
      <c r="CD96" s="749"/>
      <c r="CE96" s="749"/>
      <c r="CF96" s="749"/>
      <c r="CG96" s="749"/>
      <c r="CH96" s="749"/>
      <c r="CI96" s="749"/>
      <c r="CJ96" s="749"/>
      <c r="CK96" s="749"/>
      <c r="CL96" s="749"/>
      <c r="CM96" s="749"/>
      <c r="CN96" s="749"/>
      <c r="CO96" s="749"/>
      <c r="CP96" s="749"/>
      <c r="CQ96" s="749"/>
      <c r="CR96" s="749" t="s">
        <v>340</v>
      </c>
      <c r="CS96" s="749"/>
      <c r="CT96" s="749"/>
      <c r="CU96" s="749"/>
      <c r="CV96" s="749"/>
      <c r="CW96" s="749"/>
      <c r="CX96" s="749"/>
      <c r="CY96" s="749"/>
      <c r="CZ96" s="749"/>
      <c r="DA96" s="749"/>
      <c r="DB96" s="749"/>
      <c r="DC96" s="749"/>
      <c r="DD96" s="749"/>
      <c r="DE96" s="749"/>
      <c r="DF96" s="749"/>
      <c r="DG96" s="749"/>
      <c r="DH96" s="749"/>
      <c r="DI96" s="752"/>
      <c r="DJ96" s="714"/>
      <c r="DK96" s="712"/>
      <c r="DL96" s="712"/>
      <c r="DM96" s="712"/>
      <c r="DN96" s="712"/>
      <c r="DO96" s="712"/>
      <c r="DP96" s="712"/>
      <c r="DQ96" s="712"/>
      <c r="DR96" s="712"/>
      <c r="DS96" s="712"/>
      <c r="DT96" s="712"/>
      <c r="DU96" s="712"/>
      <c r="DV96" s="712"/>
      <c r="DW96" s="712"/>
      <c r="DX96" s="712"/>
      <c r="DY96" s="712"/>
      <c r="DZ96" s="712"/>
      <c r="EA96" s="712"/>
      <c r="EB96" s="712"/>
      <c r="EC96" s="712"/>
      <c r="ED96" s="712"/>
      <c r="EE96" s="712"/>
      <c r="EF96" s="712"/>
      <c r="EG96" s="712"/>
      <c r="EH96" s="712"/>
      <c r="EI96" s="712"/>
      <c r="EJ96" s="712"/>
      <c r="EK96" s="712"/>
      <c r="EL96" s="712"/>
      <c r="EM96" s="712"/>
      <c r="EN96" s="712"/>
      <c r="EO96" s="712"/>
      <c r="EP96" s="712"/>
      <c r="EQ96" s="712"/>
      <c r="ER96" s="712"/>
      <c r="ES96" s="712"/>
      <c r="ET96" s="712"/>
      <c r="EU96" s="712"/>
      <c r="EV96" s="712"/>
      <c r="EW96" s="712"/>
      <c r="EX96" s="712"/>
      <c r="EY96" s="712"/>
      <c r="EZ96" s="712"/>
      <c r="FA96" s="712"/>
      <c r="FB96" s="712"/>
      <c r="FC96" s="712"/>
      <c r="FD96" s="712"/>
      <c r="FE96" s="712"/>
      <c r="FF96" s="712"/>
      <c r="FG96" s="713"/>
    </row>
    <row r="97" spans="2:163" ht="8.65" customHeight="1">
      <c r="B97" s="734"/>
      <c r="C97" s="735"/>
      <c r="D97" s="735"/>
      <c r="E97" s="735"/>
      <c r="F97" s="735"/>
      <c r="G97" s="735"/>
      <c r="H97" s="735"/>
      <c r="I97" s="735"/>
      <c r="J97" s="735"/>
      <c r="K97" s="735"/>
      <c r="L97" s="735"/>
      <c r="M97" s="735"/>
      <c r="N97" s="735"/>
      <c r="O97" s="736"/>
      <c r="P97" s="739"/>
      <c r="Q97" s="740"/>
      <c r="R97" s="740"/>
      <c r="S97" s="740"/>
      <c r="T97" s="740"/>
      <c r="U97" s="740"/>
      <c r="V97" s="740"/>
      <c r="W97" s="740"/>
      <c r="X97" s="740"/>
      <c r="Y97" s="740"/>
      <c r="Z97" s="740"/>
      <c r="AA97" s="740"/>
      <c r="AB97" s="740"/>
      <c r="AC97" s="740"/>
      <c r="AD97" s="740"/>
      <c r="AE97" s="740"/>
      <c r="AF97" s="740"/>
      <c r="AG97" s="740"/>
      <c r="AH97" s="740"/>
      <c r="AI97" s="740"/>
      <c r="AJ97" s="740"/>
      <c r="AK97" s="740"/>
      <c r="AL97" s="740"/>
      <c r="AM97" s="740"/>
      <c r="AN97" s="740"/>
      <c r="AO97" s="740"/>
      <c r="AP97" s="740"/>
      <c r="AQ97" s="740"/>
      <c r="AR97" s="740"/>
      <c r="AS97" s="740"/>
      <c r="AT97" s="741"/>
      <c r="AU97" s="745"/>
      <c r="AV97" s="746"/>
      <c r="AW97" s="746"/>
      <c r="AX97" s="746"/>
      <c r="AY97" s="746"/>
      <c r="AZ97" s="746"/>
      <c r="BA97" s="746"/>
      <c r="BB97" s="746"/>
      <c r="BC97" s="746"/>
      <c r="BD97" s="746"/>
      <c r="BE97" s="746"/>
      <c r="BF97" s="746"/>
      <c r="BG97" s="746"/>
      <c r="BH97" s="746"/>
      <c r="BI97" s="746"/>
      <c r="BJ97" s="746"/>
      <c r="BK97" s="746"/>
      <c r="BL97" s="746"/>
      <c r="BM97" s="746"/>
      <c r="BN97" s="746"/>
      <c r="BO97" s="746"/>
      <c r="BP97" s="746"/>
      <c r="BQ97" s="746"/>
      <c r="BR97" s="746"/>
      <c r="BS97" s="746"/>
      <c r="BT97" s="746"/>
      <c r="BU97" s="746"/>
      <c r="BV97" s="746"/>
      <c r="BW97" s="746"/>
      <c r="BX97" s="747"/>
      <c r="BY97" s="750"/>
      <c r="BZ97" s="751"/>
      <c r="CA97" s="751"/>
      <c r="CB97" s="751"/>
      <c r="CC97" s="751"/>
      <c r="CD97" s="751"/>
      <c r="CE97" s="751"/>
      <c r="CF97" s="751"/>
      <c r="CG97" s="751"/>
      <c r="CH97" s="751"/>
      <c r="CI97" s="751"/>
      <c r="CJ97" s="751"/>
      <c r="CK97" s="751"/>
      <c r="CL97" s="751"/>
      <c r="CM97" s="751"/>
      <c r="CN97" s="751"/>
      <c r="CO97" s="751"/>
      <c r="CP97" s="751"/>
      <c r="CQ97" s="751"/>
      <c r="CR97" s="751"/>
      <c r="CS97" s="751"/>
      <c r="CT97" s="751"/>
      <c r="CU97" s="751"/>
      <c r="CV97" s="751"/>
      <c r="CW97" s="751"/>
      <c r="CX97" s="751"/>
      <c r="CY97" s="751"/>
      <c r="CZ97" s="751"/>
      <c r="DA97" s="751"/>
      <c r="DB97" s="751"/>
      <c r="DC97" s="751"/>
      <c r="DD97" s="751"/>
      <c r="DE97" s="751"/>
      <c r="DF97" s="751"/>
      <c r="DG97" s="751"/>
      <c r="DH97" s="751"/>
      <c r="DI97" s="753"/>
      <c r="DJ97" s="714"/>
      <c r="DK97" s="712"/>
      <c r="DL97" s="712"/>
      <c r="DM97" s="712"/>
      <c r="DN97" s="712"/>
      <c r="DO97" s="712"/>
      <c r="DP97" s="712"/>
      <c r="DQ97" s="712"/>
      <c r="DR97" s="712"/>
      <c r="DS97" s="712"/>
      <c r="DT97" s="712"/>
      <c r="DU97" s="712"/>
      <c r="DV97" s="712"/>
      <c r="DW97" s="712"/>
      <c r="DX97" s="712"/>
      <c r="DY97" s="712"/>
      <c r="DZ97" s="712"/>
      <c r="EA97" s="712"/>
      <c r="EB97" s="712"/>
      <c r="EC97" s="712"/>
      <c r="ED97" s="712"/>
      <c r="EE97" s="712"/>
      <c r="EF97" s="712"/>
      <c r="EG97" s="712"/>
      <c r="EH97" s="712"/>
      <c r="EI97" s="712"/>
      <c r="EJ97" s="712"/>
      <c r="EK97" s="712"/>
      <c r="EL97" s="712"/>
      <c r="EM97" s="712"/>
      <c r="EN97" s="712"/>
      <c r="EO97" s="712"/>
      <c r="EP97" s="712"/>
      <c r="EQ97" s="712"/>
      <c r="ER97" s="712"/>
      <c r="ES97" s="712"/>
      <c r="ET97" s="712"/>
      <c r="EU97" s="712"/>
      <c r="EV97" s="712"/>
      <c r="EW97" s="712"/>
      <c r="EX97" s="712"/>
      <c r="EY97" s="712"/>
      <c r="EZ97" s="712"/>
      <c r="FA97" s="712"/>
      <c r="FB97" s="712"/>
      <c r="FC97" s="712"/>
      <c r="FD97" s="712"/>
      <c r="FE97" s="712"/>
      <c r="FF97" s="712"/>
      <c r="FG97" s="713"/>
    </row>
    <row r="98" spans="2:163" ht="8.65" customHeight="1">
      <c r="B98" s="754" t="s">
        <v>292</v>
      </c>
      <c r="C98" s="755"/>
      <c r="D98" s="755"/>
      <c r="E98" s="755"/>
      <c r="F98" s="755"/>
      <c r="G98" s="755"/>
      <c r="H98" s="755"/>
      <c r="I98" s="755"/>
      <c r="J98" s="755"/>
      <c r="K98" s="755"/>
      <c r="L98" s="755"/>
      <c r="M98" s="755"/>
      <c r="N98" s="755"/>
      <c r="O98" s="756"/>
      <c r="P98" s="757" t="s">
        <v>293</v>
      </c>
      <c r="Q98" s="758"/>
      <c r="R98" s="758"/>
      <c r="S98" s="758"/>
      <c r="T98" s="758"/>
      <c r="U98" s="758"/>
      <c r="V98" s="758"/>
      <c r="W98" s="758"/>
      <c r="X98" s="758"/>
      <c r="Y98" s="758"/>
      <c r="Z98" s="758"/>
      <c r="AA98" s="758"/>
      <c r="AB98" s="758"/>
      <c r="AC98" s="758"/>
      <c r="AD98" s="758"/>
      <c r="AE98" s="758"/>
      <c r="AF98" s="758"/>
      <c r="AG98" s="758"/>
      <c r="AH98" s="758"/>
      <c r="AI98" s="758"/>
      <c r="AJ98" s="758"/>
      <c r="AK98" s="758"/>
      <c r="AL98" s="758"/>
      <c r="AM98" s="758"/>
      <c r="AN98" s="758"/>
      <c r="AO98" s="758"/>
      <c r="AP98" s="758"/>
      <c r="AQ98" s="758"/>
      <c r="AR98" s="758"/>
      <c r="AS98" s="758"/>
      <c r="AT98" s="759"/>
      <c r="AU98" s="745"/>
      <c r="AV98" s="746"/>
      <c r="AW98" s="746"/>
      <c r="AX98" s="746"/>
      <c r="AY98" s="746"/>
      <c r="AZ98" s="746"/>
      <c r="BA98" s="746"/>
      <c r="BB98" s="746"/>
      <c r="BC98" s="746"/>
      <c r="BD98" s="746"/>
      <c r="BE98" s="746"/>
      <c r="BF98" s="746"/>
      <c r="BG98" s="746"/>
      <c r="BH98" s="746"/>
      <c r="BI98" s="746"/>
      <c r="BJ98" s="746"/>
      <c r="BK98" s="746"/>
      <c r="BL98" s="746"/>
      <c r="BM98" s="746"/>
      <c r="BN98" s="746"/>
      <c r="BO98" s="746"/>
      <c r="BP98" s="746"/>
      <c r="BQ98" s="746"/>
      <c r="BR98" s="746"/>
      <c r="BS98" s="746"/>
      <c r="BT98" s="746"/>
      <c r="BU98" s="746"/>
      <c r="BV98" s="746"/>
      <c r="BW98" s="746"/>
      <c r="BX98" s="747"/>
      <c r="BY98" s="750"/>
      <c r="BZ98" s="751"/>
      <c r="CA98" s="751"/>
      <c r="CB98" s="751"/>
      <c r="CC98" s="751"/>
      <c r="CD98" s="751"/>
      <c r="CE98" s="751"/>
      <c r="CF98" s="751"/>
      <c r="CG98" s="751"/>
      <c r="CH98" s="751"/>
      <c r="CI98" s="751"/>
      <c r="CJ98" s="751"/>
      <c r="CK98" s="751"/>
      <c r="CL98" s="751"/>
      <c r="CM98" s="751"/>
      <c r="CN98" s="751"/>
      <c r="CO98" s="751"/>
      <c r="CP98" s="751"/>
      <c r="CQ98" s="751"/>
      <c r="CR98" s="751"/>
      <c r="CS98" s="751"/>
      <c r="CT98" s="751"/>
      <c r="CU98" s="751"/>
      <c r="CV98" s="751"/>
      <c r="CW98" s="751"/>
      <c r="CX98" s="751"/>
      <c r="CY98" s="751"/>
      <c r="CZ98" s="751"/>
      <c r="DA98" s="751"/>
      <c r="DB98" s="751"/>
      <c r="DC98" s="751"/>
      <c r="DD98" s="751"/>
      <c r="DE98" s="751"/>
      <c r="DF98" s="751"/>
      <c r="DG98" s="751"/>
      <c r="DH98" s="751"/>
      <c r="DI98" s="753"/>
      <c r="DJ98" s="699" t="s">
        <v>296</v>
      </c>
      <c r="DK98" s="700"/>
      <c r="DL98" s="700"/>
      <c r="DM98" s="700"/>
      <c r="DN98" s="700"/>
      <c r="DO98" s="700"/>
      <c r="DP98" s="700"/>
      <c r="DQ98" s="700"/>
      <c r="DR98" s="700"/>
      <c r="DS98" s="700"/>
      <c r="DT98" s="700"/>
      <c r="DU98" s="700"/>
      <c r="DV98" s="700"/>
      <c r="DW98" s="700"/>
      <c r="DX98" s="700"/>
      <c r="DY98" s="700"/>
      <c r="DZ98" s="700"/>
      <c r="EA98" s="700"/>
      <c r="EB98" s="700"/>
      <c r="EC98" s="700"/>
      <c r="ED98" s="700"/>
      <c r="EE98" s="700"/>
      <c r="EF98" s="700"/>
      <c r="EG98" s="700"/>
      <c r="EH98" s="700"/>
      <c r="EI98" s="700"/>
      <c r="EJ98" s="700"/>
      <c r="EK98" s="700"/>
      <c r="EL98" s="700"/>
      <c r="EM98" s="700"/>
      <c r="EN98" s="700"/>
      <c r="EO98" s="700"/>
      <c r="EP98" s="700"/>
      <c r="EQ98" s="700"/>
      <c r="ER98" s="700"/>
      <c r="ES98" s="700"/>
      <c r="ET98" s="700"/>
      <c r="EU98" s="700"/>
      <c r="EV98" s="700"/>
      <c r="EW98" s="700"/>
      <c r="EX98" s="700"/>
      <c r="EY98" s="700"/>
      <c r="EZ98" s="700"/>
      <c r="FA98" s="700"/>
      <c r="FB98" s="700"/>
      <c r="FC98" s="700"/>
      <c r="FD98" s="700"/>
      <c r="FE98" s="700"/>
      <c r="FF98" s="700"/>
      <c r="FG98" s="701"/>
    </row>
    <row r="99" spans="2:163" ht="8.65" customHeight="1">
      <c r="B99" s="754"/>
      <c r="C99" s="755"/>
      <c r="D99" s="755"/>
      <c r="E99" s="755"/>
      <c r="F99" s="755"/>
      <c r="G99" s="755"/>
      <c r="H99" s="755"/>
      <c r="I99" s="755"/>
      <c r="J99" s="755"/>
      <c r="K99" s="755"/>
      <c r="L99" s="755"/>
      <c r="M99" s="755"/>
      <c r="N99" s="755"/>
      <c r="O99" s="756"/>
      <c r="P99" s="757"/>
      <c r="Q99" s="758"/>
      <c r="R99" s="758"/>
      <c r="S99" s="758"/>
      <c r="T99" s="758"/>
      <c r="U99" s="758"/>
      <c r="V99" s="758"/>
      <c r="W99" s="758"/>
      <c r="X99" s="758"/>
      <c r="Y99" s="758"/>
      <c r="Z99" s="758"/>
      <c r="AA99" s="758"/>
      <c r="AB99" s="758"/>
      <c r="AC99" s="758"/>
      <c r="AD99" s="758"/>
      <c r="AE99" s="758"/>
      <c r="AF99" s="758"/>
      <c r="AG99" s="758"/>
      <c r="AH99" s="758"/>
      <c r="AI99" s="758"/>
      <c r="AJ99" s="758"/>
      <c r="AK99" s="758"/>
      <c r="AL99" s="758"/>
      <c r="AM99" s="758"/>
      <c r="AN99" s="758"/>
      <c r="AO99" s="758"/>
      <c r="AP99" s="758"/>
      <c r="AQ99" s="758"/>
      <c r="AR99" s="758"/>
      <c r="AS99" s="758"/>
      <c r="AT99" s="759"/>
      <c r="AU99" s="745" t="s">
        <v>318</v>
      </c>
      <c r="AV99" s="746"/>
      <c r="AW99" s="746"/>
      <c r="AX99" s="746"/>
      <c r="AY99" s="746"/>
      <c r="AZ99" s="746"/>
      <c r="BA99" s="746"/>
      <c r="BB99" s="746"/>
      <c r="BC99" s="746"/>
      <c r="BD99" s="746"/>
      <c r="BE99" s="746"/>
      <c r="BF99" s="746"/>
      <c r="BG99" s="746"/>
      <c r="BH99" s="746"/>
      <c r="BI99" s="746"/>
      <c r="BJ99" s="746"/>
      <c r="BK99" s="746"/>
      <c r="BL99" s="746"/>
      <c r="BM99" s="746"/>
      <c r="BN99" s="746"/>
      <c r="BO99" s="746"/>
      <c r="BP99" s="746"/>
      <c r="BQ99" s="746"/>
      <c r="BR99" s="746"/>
      <c r="BS99" s="746"/>
      <c r="BT99" s="746"/>
      <c r="BU99" s="746"/>
      <c r="BV99" s="746"/>
      <c r="BW99" s="746"/>
      <c r="BX99" s="747"/>
      <c r="BY99" s="760" t="s">
        <v>341</v>
      </c>
      <c r="BZ99" s="761"/>
      <c r="CA99" s="761"/>
      <c r="CB99" s="761"/>
      <c r="CC99" s="761"/>
      <c r="CD99" s="761"/>
      <c r="CE99" s="761"/>
      <c r="CF99" s="761"/>
      <c r="CG99" s="761"/>
      <c r="CH99" s="761"/>
      <c r="CI99" s="761"/>
      <c r="CJ99" s="761"/>
      <c r="CK99" s="761"/>
      <c r="CL99" s="761"/>
      <c r="CM99" s="761"/>
      <c r="CN99" s="761"/>
      <c r="CO99" s="761"/>
      <c r="CP99" s="761"/>
      <c r="CQ99" s="761"/>
      <c r="CR99" s="766" t="s">
        <v>342</v>
      </c>
      <c r="CS99" s="761"/>
      <c r="CT99" s="761"/>
      <c r="CU99" s="761"/>
      <c r="CV99" s="761"/>
      <c r="CW99" s="761"/>
      <c r="CX99" s="761"/>
      <c r="CY99" s="761"/>
      <c r="CZ99" s="761"/>
      <c r="DA99" s="761"/>
      <c r="DB99" s="761"/>
      <c r="DC99" s="761"/>
      <c r="DD99" s="761"/>
      <c r="DE99" s="761"/>
      <c r="DF99" s="761"/>
      <c r="DG99" s="761"/>
      <c r="DH99" s="761"/>
      <c r="DI99" s="767"/>
      <c r="DJ99" s="699"/>
      <c r="DK99" s="700"/>
      <c r="DL99" s="700"/>
      <c r="DM99" s="700"/>
      <c r="DN99" s="700"/>
      <c r="DO99" s="700"/>
      <c r="DP99" s="700"/>
      <c r="DQ99" s="700"/>
      <c r="DR99" s="700"/>
      <c r="DS99" s="700"/>
      <c r="DT99" s="700"/>
      <c r="DU99" s="700"/>
      <c r="DV99" s="700"/>
      <c r="DW99" s="700"/>
      <c r="DX99" s="700"/>
      <c r="DY99" s="700"/>
      <c r="DZ99" s="700"/>
      <c r="EA99" s="700"/>
      <c r="EB99" s="700"/>
      <c r="EC99" s="700"/>
      <c r="ED99" s="700"/>
      <c r="EE99" s="700"/>
      <c r="EF99" s="700"/>
      <c r="EG99" s="700"/>
      <c r="EH99" s="700"/>
      <c r="EI99" s="700"/>
      <c r="EJ99" s="700"/>
      <c r="EK99" s="700"/>
      <c r="EL99" s="700"/>
      <c r="EM99" s="700"/>
      <c r="EN99" s="700"/>
      <c r="EO99" s="700"/>
      <c r="EP99" s="700"/>
      <c r="EQ99" s="700"/>
      <c r="ER99" s="700"/>
      <c r="ES99" s="700"/>
      <c r="ET99" s="700"/>
      <c r="EU99" s="700"/>
      <c r="EV99" s="700"/>
      <c r="EW99" s="700"/>
      <c r="EX99" s="700"/>
      <c r="EY99" s="700"/>
      <c r="EZ99" s="700"/>
      <c r="FA99" s="700"/>
      <c r="FB99" s="700"/>
      <c r="FC99" s="700"/>
      <c r="FD99" s="700"/>
      <c r="FE99" s="700"/>
      <c r="FF99" s="700"/>
      <c r="FG99" s="701"/>
    </row>
    <row r="100" spans="2:163" ht="8.65" customHeight="1">
      <c r="B100" s="754"/>
      <c r="C100" s="755"/>
      <c r="D100" s="755"/>
      <c r="E100" s="755"/>
      <c r="F100" s="755"/>
      <c r="G100" s="755"/>
      <c r="H100" s="755"/>
      <c r="I100" s="755"/>
      <c r="J100" s="755"/>
      <c r="K100" s="755"/>
      <c r="L100" s="755"/>
      <c r="M100" s="755"/>
      <c r="N100" s="755"/>
      <c r="O100" s="756"/>
      <c r="P100" s="757"/>
      <c r="Q100" s="758"/>
      <c r="R100" s="758"/>
      <c r="S100" s="758"/>
      <c r="T100" s="758"/>
      <c r="U100" s="758"/>
      <c r="V100" s="758"/>
      <c r="W100" s="758"/>
      <c r="X100" s="758"/>
      <c r="Y100" s="758"/>
      <c r="Z100" s="758"/>
      <c r="AA100" s="758"/>
      <c r="AB100" s="758"/>
      <c r="AC100" s="758"/>
      <c r="AD100" s="758"/>
      <c r="AE100" s="758"/>
      <c r="AF100" s="758"/>
      <c r="AG100" s="758"/>
      <c r="AH100" s="758"/>
      <c r="AI100" s="758"/>
      <c r="AJ100" s="758"/>
      <c r="AK100" s="758"/>
      <c r="AL100" s="758"/>
      <c r="AM100" s="758"/>
      <c r="AN100" s="758"/>
      <c r="AO100" s="758"/>
      <c r="AP100" s="758"/>
      <c r="AQ100" s="758"/>
      <c r="AR100" s="758"/>
      <c r="AS100" s="758"/>
      <c r="AT100" s="759"/>
      <c r="AU100" s="745"/>
      <c r="AV100" s="746"/>
      <c r="AW100" s="746"/>
      <c r="AX100" s="746"/>
      <c r="AY100" s="746"/>
      <c r="AZ100" s="746"/>
      <c r="BA100" s="746"/>
      <c r="BB100" s="746"/>
      <c r="BC100" s="746"/>
      <c r="BD100" s="746"/>
      <c r="BE100" s="746"/>
      <c r="BF100" s="746"/>
      <c r="BG100" s="746"/>
      <c r="BH100" s="746"/>
      <c r="BI100" s="746"/>
      <c r="BJ100" s="746"/>
      <c r="BK100" s="746"/>
      <c r="BL100" s="746"/>
      <c r="BM100" s="746"/>
      <c r="BN100" s="746"/>
      <c r="BO100" s="746"/>
      <c r="BP100" s="746"/>
      <c r="BQ100" s="746"/>
      <c r="BR100" s="746"/>
      <c r="BS100" s="746"/>
      <c r="BT100" s="746"/>
      <c r="BU100" s="746"/>
      <c r="BV100" s="746"/>
      <c r="BW100" s="746"/>
      <c r="BX100" s="747"/>
      <c r="BY100" s="762"/>
      <c r="BZ100" s="763"/>
      <c r="CA100" s="763"/>
      <c r="CB100" s="763"/>
      <c r="CC100" s="763"/>
      <c r="CD100" s="763"/>
      <c r="CE100" s="763"/>
      <c r="CF100" s="763"/>
      <c r="CG100" s="763"/>
      <c r="CH100" s="763"/>
      <c r="CI100" s="763"/>
      <c r="CJ100" s="763"/>
      <c r="CK100" s="763"/>
      <c r="CL100" s="763"/>
      <c r="CM100" s="763"/>
      <c r="CN100" s="763"/>
      <c r="CO100" s="763"/>
      <c r="CP100" s="763"/>
      <c r="CQ100" s="763"/>
      <c r="CR100" s="763"/>
      <c r="CS100" s="763"/>
      <c r="CT100" s="763"/>
      <c r="CU100" s="763"/>
      <c r="CV100" s="763"/>
      <c r="CW100" s="763"/>
      <c r="CX100" s="763"/>
      <c r="CY100" s="763"/>
      <c r="CZ100" s="763"/>
      <c r="DA100" s="763"/>
      <c r="DB100" s="763"/>
      <c r="DC100" s="763"/>
      <c r="DD100" s="763"/>
      <c r="DE100" s="763"/>
      <c r="DF100" s="763"/>
      <c r="DG100" s="763"/>
      <c r="DH100" s="763"/>
      <c r="DI100" s="768"/>
      <c r="DJ100" s="699"/>
      <c r="DK100" s="700"/>
      <c r="DL100" s="700"/>
      <c r="DM100" s="700"/>
      <c r="DN100" s="700"/>
      <c r="DO100" s="700"/>
      <c r="DP100" s="700"/>
      <c r="DQ100" s="700"/>
      <c r="DR100" s="700"/>
      <c r="DS100" s="700"/>
      <c r="DT100" s="700"/>
      <c r="DU100" s="700"/>
      <c r="DV100" s="700"/>
      <c r="DW100" s="700"/>
      <c r="DX100" s="700"/>
      <c r="DY100" s="700"/>
      <c r="DZ100" s="700"/>
      <c r="EA100" s="700"/>
      <c r="EB100" s="700"/>
      <c r="EC100" s="700"/>
      <c r="ED100" s="700"/>
      <c r="EE100" s="700"/>
      <c r="EF100" s="700"/>
      <c r="EG100" s="700"/>
      <c r="EH100" s="700"/>
      <c r="EI100" s="700"/>
      <c r="EJ100" s="700"/>
      <c r="EK100" s="700"/>
      <c r="EL100" s="700"/>
      <c r="EM100" s="700"/>
      <c r="EN100" s="700"/>
      <c r="EO100" s="700"/>
      <c r="EP100" s="700"/>
      <c r="EQ100" s="700"/>
      <c r="ER100" s="700"/>
      <c r="ES100" s="700"/>
      <c r="ET100" s="700"/>
      <c r="EU100" s="700"/>
      <c r="EV100" s="700"/>
      <c r="EW100" s="700"/>
      <c r="EX100" s="700"/>
      <c r="EY100" s="700"/>
      <c r="EZ100" s="700"/>
      <c r="FA100" s="700"/>
      <c r="FB100" s="700"/>
      <c r="FC100" s="700"/>
      <c r="FD100" s="700"/>
      <c r="FE100" s="700"/>
      <c r="FF100" s="700"/>
      <c r="FG100" s="701"/>
    </row>
    <row r="101" spans="2:163" ht="8.65" customHeight="1">
      <c r="B101" s="754" t="s">
        <v>299</v>
      </c>
      <c r="C101" s="755"/>
      <c r="D101" s="755"/>
      <c r="E101" s="755"/>
      <c r="F101" s="755"/>
      <c r="G101" s="755"/>
      <c r="H101" s="755"/>
      <c r="I101" s="755"/>
      <c r="J101" s="755"/>
      <c r="K101" s="755"/>
      <c r="L101" s="755"/>
      <c r="M101" s="755"/>
      <c r="N101" s="755"/>
      <c r="O101" s="756"/>
      <c r="P101" s="757" t="s">
        <v>300</v>
      </c>
      <c r="Q101" s="758"/>
      <c r="R101" s="758"/>
      <c r="S101" s="758"/>
      <c r="T101" s="758"/>
      <c r="U101" s="758"/>
      <c r="V101" s="758"/>
      <c r="W101" s="758"/>
      <c r="X101" s="758"/>
      <c r="Y101" s="758"/>
      <c r="Z101" s="758"/>
      <c r="AA101" s="758"/>
      <c r="AB101" s="758"/>
      <c r="AC101" s="758"/>
      <c r="AD101" s="758"/>
      <c r="AE101" s="758"/>
      <c r="AF101" s="758"/>
      <c r="AG101" s="758"/>
      <c r="AH101" s="758"/>
      <c r="AI101" s="758"/>
      <c r="AJ101" s="758"/>
      <c r="AK101" s="758"/>
      <c r="AL101" s="758"/>
      <c r="AM101" s="758"/>
      <c r="AN101" s="758"/>
      <c r="AO101" s="758"/>
      <c r="AP101" s="758"/>
      <c r="AQ101" s="758"/>
      <c r="AR101" s="758"/>
      <c r="AS101" s="758"/>
      <c r="AT101" s="759"/>
      <c r="AU101" s="627" t="s">
        <v>321</v>
      </c>
      <c r="AV101" s="628"/>
      <c r="AW101" s="628"/>
      <c r="AX101" s="628"/>
      <c r="AY101" s="628"/>
      <c r="AZ101" s="628"/>
      <c r="BA101" s="628"/>
      <c r="BB101" s="628"/>
      <c r="BC101" s="628"/>
      <c r="BD101" s="628"/>
      <c r="BE101" s="628"/>
      <c r="BF101" s="628"/>
      <c r="BG101" s="628"/>
      <c r="BH101" s="628"/>
      <c r="BI101" s="628"/>
      <c r="BJ101" s="628"/>
      <c r="BK101" s="628"/>
      <c r="BL101" s="628"/>
      <c r="BM101" s="628"/>
      <c r="BN101" s="628"/>
      <c r="BO101" s="628"/>
      <c r="BP101" s="628"/>
      <c r="BQ101" s="628"/>
      <c r="BR101" s="628"/>
      <c r="BS101" s="628"/>
      <c r="BT101" s="628"/>
      <c r="BU101" s="628"/>
      <c r="BV101" s="628"/>
      <c r="BW101" s="628"/>
      <c r="BX101" s="629"/>
      <c r="BY101" s="764"/>
      <c r="BZ101" s="765"/>
      <c r="CA101" s="765"/>
      <c r="CB101" s="765"/>
      <c r="CC101" s="765"/>
      <c r="CD101" s="765"/>
      <c r="CE101" s="765"/>
      <c r="CF101" s="765"/>
      <c r="CG101" s="765"/>
      <c r="CH101" s="765"/>
      <c r="CI101" s="765"/>
      <c r="CJ101" s="765"/>
      <c r="CK101" s="765"/>
      <c r="CL101" s="765"/>
      <c r="CM101" s="765"/>
      <c r="CN101" s="765"/>
      <c r="CO101" s="765"/>
      <c r="CP101" s="765"/>
      <c r="CQ101" s="765"/>
      <c r="CR101" s="765"/>
      <c r="CS101" s="765"/>
      <c r="CT101" s="765"/>
      <c r="CU101" s="765"/>
      <c r="CV101" s="765"/>
      <c r="CW101" s="765"/>
      <c r="CX101" s="765"/>
      <c r="CY101" s="765"/>
      <c r="CZ101" s="765"/>
      <c r="DA101" s="765"/>
      <c r="DB101" s="765"/>
      <c r="DC101" s="765"/>
      <c r="DD101" s="765"/>
      <c r="DE101" s="765"/>
      <c r="DF101" s="765"/>
      <c r="DG101" s="765"/>
      <c r="DH101" s="765"/>
      <c r="DI101" s="769"/>
      <c r="DJ101" s="770" t="s">
        <v>301</v>
      </c>
      <c r="DK101" s="771"/>
      <c r="DL101" s="771"/>
      <c r="DM101" s="771"/>
      <c r="DN101" s="771"/>
      <c r="DO101" s="771"/>
      <c r="DP101" s="771"/>
      <c r="DQ101" s="771"/>
      <c r="DR101" s="771"/>
      <c r="DS101" s="771"/>
      <c r="DT101" s="771"/>
      <c r="DU101" s="771"/>
      <c r="DV101" s="771"/>
      <c r="DW101" s="771"/>
      <c r="DX101" s="771"/>
      <c r="DY101" s="771"/>
      <c r="DZ101" s="771"/>
      <c r="EA101" s="771"/>
      <c r="EB101" s="771"/>
      <c r="EC101" s="771"/>
      <c r="ED101" s="771"/>
      <c r="EE101" s="771"/>
      <c r="EF101" s="771"/>
      <c r="EG101" s="771"/>
      <c r="EH101" s="771"/>
      <c r="EI101" s="771"/>
      <c r="EJ101" s="771"/>
      <c r="EK101" s="771"/>
      <c r="EL101" s="771"/>
      <c r="EM101" s="771"/>
      <c r="EN101" s="771"/>
      <c r="EO101" s="771"/>
      <c r="EP101" s="771"/>
      <c r="EQ101" s="771"/>
      <c r="ER101" s="771"/>
      <c r="ES101" s="771"/>
      <c r="ET101" s="771"/>
      <c r="EU101" s="771"/>
      <c r="EV101" s="771"/>
      <c r="EW101" s="771"/>
      <c r="EX101" s="771"/>
      <c r="EY101" s="771"/>
      <c r="EZ101" s="771"/>
      <c r="FA101" s="771"/>
      <c r="FB101" s="771"/>
      <c r="FC101" s="771"/>
      <c r="FD101" s="771"/>
      <c r="FE101" s="771"/>
      <c r="FF101" s="771"/>
      <c r="FG101" s="772"/>
    </row>
    <row r="102" spans="2:163" ht="8.65" customHeight="1">
      <c r="B102" s="754"/>
      <c r="C102" s="755"/>
      <c r="D102" s="755"/>
      <c r="E102" s="755"/>
      <c r="F102" s="755"/>
      <c r="G102" s="755"/>
      <c r="H102" s="755"/>
      <c r="I102" s="755"/>
      <c r="J102" s="755"/>
      <c r="K102" s="755"/>
      <c r="L102" s="755"/>
      <c r="M102" s="755"/>
      <c r="N102" s="755"/>
      <c r="O102" s="756"/>
      <c r="P102" s="757"/>
      <c r="Q102" s="758"/>
      <c r="R102" s="758"/>
      <c r="S102" s="758"/>
      <c r="T102" s="758"/>
      <c r="U102" s="758"/>
      <c r="V102" s="758"/>
      <c r="W102" s="758"/>
      <c r="X102" s="758"/>
      <c r="Y102" s="758"/>
      <c r="Z102" s="758"/>
      <c r="AA102" s="758"/>
      <c r="AB102" s="758"/>
      <c r="AC102" s="758"/>
      <c r="AD102" s="758"/>
      <c r="AE102" s="758"/>
      <c r="AF102" s="758"/>
      <c r="AG102" s="758"/>
      <c r="AH102" s="758"/>
      <c r="AI102" s="758"/>
      <c r="AJ102" s="758"/>
      <c r="AK102" s="758"/>
      <c r="AL102" s="758"/>
      <c r="AM102" s="758"/>
      <c r="AN102" s="758"/>
      <c r="AO102" s="758"/>
      <c r="AP102" s="758"/>
      <c r="AQ102" s="758"/>
      <c r="AR102" s="758"/>
      <c r="AS102" s="758"/>
      <c r="AT102" s="759"/>
      <c r="AU102" s="630"/>
      <c r="AV102" s="631"/>
      <c r="AW102" s="631"/>
      <c r="AX102" s="631"/>
      <c r="AY102" s="631"/>
      <c r="AZ102" s="631"/>
      <c r="BA102" s="631"/>
      <c r="BB102" s="631"/>
      <c r="BC102" s="631"/>
      <c r="BD102" s="631"/>
      <c r="BE102" s="631"/>
      <c r="BF102" s="631"/>
      <c r="BG102" s="631"/>
      <c r="BH102" s="631"/>
      <c r="BI102" s="631"/>
      <c r="BJ102" s="631"/>
      <c r="BK102" s="631"/>
      <c r="BL102" s="631"/>
      <c r="BM102" s="631"/>
      <c r="BN102" s="631"/>
      <c r="BO102" s="631"/>
      <c r="BP102" s="631"/>
      <c r="BQ102" s="631"/>
      <c r="BR102" s="631"/>
      <c r="BS102" s="631"/>
      <c r="BT102" s="631"/>
      <c r="BU102" s="631"/>
      <c r="BV102" s="631"/>
      <c r="BW102" s="631"/>
      <c r="BX102" s="632"/>
      <c r="BY102" s="774" t="s">
        <v>343</v>
      </c>
      <c r="BZ102" s="775"/>
      <c r="CA102" s="775"/>
      <c r="CB102" s="775"/>
      <c r="CC102" s="775"/>
      <c r="CD102" s="775"/>
      <c r="CE102" s="775"/>
      <c r="CF102" s="775"/>
      <c r="CG102" s="775"/>
      <c r="CH102" s="775"/>
      <c r="CI102" s="775"/>
      <c r="CJ102" s="775"/>
      <c r="CK102" s="775"/>
      <c r="CL102" s="775"/>
      <c r="CM102" s="775"/>
      <c r="CN102" s="775"/>
      <c r="CO102" s="775"/>
      <c r="CP102" s="775"/>
      <c r="CQ102" s="775"/>
      <c r="CR102" s="775"/>
      <c r="CS102" s="775"/>
      <c r="CT102" s="775"/>
      <c r="CU102" s="775"/>
      <c r="CV102" s="775"/>
      <c r="CW102" s="775"/>
      <c r="CX102" s="775"/>
      <c r="CY102" s="775"/>
      <c r="CZ102" s="775"/>
      <c r="DA102" s="775"/>
      <c r="DB102" s="775"/>
      <c r="DC102" s="775"/>
      <c r="DD102" s="775"/>
      <c r="DE102" s="775"/>
      <c r="DF102" s="775"/>
      <c r="DG102" s="775"/>
      <c r="DH102" s="775"/>
      <c r="DI102" s="776"/>
      <c r="DJ102" s="773"/>
      <c r="DK102" s="771"/>
      <c r="DL102" s="771"/>
      <c r="DM102" s="771"/>
      <c r="DN102" s="771"/>
      <c r="DO102" s="771"/>
      <c r="DP102" s="771"/>
      <c r="DQ102" s="771"/>
      <c r="DR102" s="771"/>
      <c r="DS102" s="771"/>
      <c r="DT102" s="771"/>
      <c r="DU102" s="771"/>
      <c r="DV102" s="771"/>
      <c r="DW102" s="771"/>
      <c r="DX102" s="771"/>
      <c r="DY102" s="771"/>
      <c r="DZ102" s="771"/>
      <c r="EA102" s="771"/>
      <c r="EB102" s="771"/>
      <c r="EC102" s="771"/>
      <c r="ED102" s="771"/>
      <c r="EE102" s="771"/>
      <c r="EF102" s="771"/>
      <c r="EG102" s="771"/>
      <c r="EH102" s="771"/>
      <c r="EI102" s="771"/>
      <c r="EJ102" s="771"/>
      <c r="EK102" s="771"/>
      <c r="EL102" s="771"/>
      <c r="EM102" s="771"/>
      <c r="EN102" s="771"/>
      <c r="EO102" s="771"/>
      <c r="EP102" s="771"/>
      <c r="EQ102" s="771"/>
      <c r="ER102" s="771"/>
      <c r="ES102" s="771"/>
      <c r="ET102" s="771"/>
      <c r="EU102" s="771"/>
      <c r="EV102" s="771"/>
      <c r="EW102" s="771"/>
      <c r="EX102" s="771"/>
      <c r="EY102" s="771"/>
      <c r="EZ102" s="771"/>
      <c r="FA102" s="771"/>
      <c r="FB102" s="771"/>
      <c r="FC102" s="771"/>
      <c r="FD102" s="771"/>
      <c r="FE102" s="771"/>
      <c r="FF102" s="771"/>
      <c r="FG102" s="772"/>
    </row>
    <row r="103" spans="2:163" ht="8.65" customHeight="1">
      <c r="B103" s="754"/>
      <c r="C103" s="755"/>
      <c r="D103" s="755"/>
      <c r="E103" s="755"/>
      <c r="F103" s="755"/>
      <c r="G103" s="755"/>
      <c r="H103" s="755"/>
      <c r="I103" s="755"/>
      <c r="J103" s="755"/>
      <c r="K103" s="755"/>
      <c r="L103" s="755"/>
      <c r="M103" s="755"/>
      <c r="N103" s="755"/>
      <c r="O103" s="756"/>
      <c r="P103" s="757"/>
      <c r="Q103" s="758"/>
      <c r="R103" s="758"/>
      <c r="S103" s="758"/>
      <c r="T103" s="758"/>
      <c r="U103" s="758"/>
      <c r="V103" s="758"/>
      <c r="W103" s="758"/>
      <c r="X103" s="758"/>
      <c r="Y103" s="758"/>
      <c r="Z103" s="758"/>
      <c r="AA103" s="758"/>
      <c r="AB103" s="758"/>
      <c r="AC103" s="758"/>
      <c r="AD103" s="758"/>
      <c r="AE103" s="758"/>
      <c r="AF103" s="758"/>
      <c r="AG103" s="758"/>
      <c r="AH103" s="758"/>
      <c r="AI103" s="758"/>
      <c r="AJ103" s="758"/>
      <c r="AK103" s="758"/>
      <c r="AL103" s="758"/>
      <c r="AM103" s="758"/>
      <c r="AN103" s="758"/>
      <c r="AO103" s="758"/>
      <c r="AP103" s="758"/>
      <c r="AQ103" s="758"/>
      <c r="AR103" s="758"/>
      <c r="AS103" s="758"/>
      <c r="AT103" s="759"/>
      <c r="AU103" s="630"/>
      <c r="AV103" s="631"/>
      <c r="AW103" s="631"/>
      <c r="AX103" s="631"/>
      <c r="AY103" s="631"/>
      <c r="AZ103" s="631"/>
      <c r="BA103" s="631"/>
      <c r="BB103" s="631"/>
      <c r="BC103" s="631"/>
      <c r="BD103" s="631"/>
      <c r="BE103" s="631"/>
      <c r="BF103" s="631"/>
      <c r="BG103" s="631"/>
      <c r="BH103" s="631"/>
      <c r="BI103" s="631"/>
      <c r="BJ103" s="631"/>
      <c r="BK103" s="631"/>
      <c r="BL103" s="631"/>
      <c r="BM103" s="631"/>
      <c r="BN103" s="631"/>
      <c r="BO103" s="631"/>
      <c r="BP103" s="631"/>
      <c r="BQ103" s="631"/>
      <c r="BR103" s="631"/>
      <c r="BS103" s="631"/>
      <c r="BT103" s="631"/>
      <c r="BU103" s="631"/>
      <c r="BV103" s="631"/>
      <c r="BW103" s="631"/>
      <c r="BX103" s="632"/>
      <c r="BY103" s="777"/>
      <c r="BZ103" s="778"/>
      <c r="CA103" s="778"/>
      <c r="CB103" s="778"/>
      <c r="CC103" s="778"/>
      <c r="CD103" s="778"/>
      <c r="CE103" s="778"/>
      <c r="CF103" s="778"/>
      <c r="CG103" s="778"/>
      <c r="CH103" s="778"/>
      <c r="CI103" s="778"/>
      <c r="CJ103" s="778"/>
      <c r="CK103" s="778"/>
      <c r="CL103" s="778"/>
      <c r="CM103" s="778"/>
      <c r="CN103" s="778"/>
      <c r="CO103" s="778"/>
      <c r="CP103" s="778"/>
      <c r="CQ103" s="778"/>
      <c r="CR103" s="778"/>
      <c r="CS103" s="778"/>
      <c r="CT103" s="778"/>
      <c r="CU103" s="778"/>
      <c r="CV103" s="778"/>
      <c r="CW103" s="778"/>
      <c r="CX103" s="778"/>
      <c r="CY103" s="778"/>
      <c r="CZ103" s="778"/>
      <c r="DA103" s="778"/>
      <c r="DB103" s="778"/>
      <c r="DC103" s="778"/>
      <c r="DD103" s="778"/>
      <c r="DE103" s="778"/>
      <c r="DF103" s="778"/>
      <c r="DG103" s="778"/>
      <c r="DH103" s="778"/>
      <c r="DI103" s="779"/>
      <c r="DJ103" s="773"/>
      <c r="DK103" s="771"/>
      <c r="DL103" s="771"/>
      <c r="DM103" s="771"/>
      <c r="DN103" s="771"/>
      <c r="DO103" s="771"/>
      <c r="DP103" s="771"/>
      <c r="DQ103" s="771"/>
      <c r="DR103" s="771"/>
      <c r="DS103" s="771"/>
      <c r="DT103" s="771"/>
      <c r="DU103" s="771"/>
      <c r="DV103" s="771"/>
      <c r="DW103" s="771"/>
      <c r="DX103" s="771"/>
      <c r="DY103" s="771"/>
      <c r="DZ103" s="771"/>
      <c r="EA103" s="771"/>
      <c r="EB103" s="771"/>
      <c r="EC103" s="771"/>
      <c r="ED103" s="771"/>
      <c r="EE103" s="771"/>
      <c r="EF103" s="771"/>
      <c r="EG103" s="771"/>
      <c r="EH103" s="771"/>
      <c r="EI103" s="771"/>
      <c r="EJ103" s="771"/>
      <c r="EK103" s="771"/>
      <c r="EL103" s="771"/>
      <c r="EM103" s="771"/>
      <c r="EN103" s="771"/>
      <c r="EO103" s="771"/>
      <c r="EP103" s="771"/>
      <c r="EQ103" s="771"/>
      <c r="ER103" s="771"/>
      <c r="ES103" s="771"/>
      <c r="ET103" s="771"/>
      <c r="EU103" s="771"/>
      <c r="EV103" s="771"/>
      <c r="EW103" s="771"/>
      <c r="EX103" s="771"/>
      <c r="EY103" s="771"/>
      <c r="EZ103" s="771"/>
      <c r="FA103" s="771"/>
      <c r="FB103" s="771"/>
      <c r="FC103" s="771"/>
      <c r="FD103" s="771"/>
      <c r="FE103" s="771"/>
      <c r="FF103" s="771"/>
      <c r="FG103" s="772"/>
    </row>
    <row r="104" spans="2:163" ht="8.65" customHeight="1">
      <c r="B104" s="754" t="s">
        <v>304</v>
      </c>
      <c r="C104" s="755"/>
      <c r="D104" s="755"/>
      <c r="E104" s="755"/>
      <c r="F104" s="755"/>
      <c r="G104" s="755"/>
      <c r="H104" s="755"/>
      <c r="I104" s="755"/>
      <c r="J104" s="755"/>
      <c r="K104" s="755"/>
      <c r="L104" s="755"/>
      <c r="M104" s="755"/>
      <c r="N104" s="755"/>
      <c r="O104" s="756"/>
      <c r="P104" s="757" t="s">
        <v>305</v>
      </c>
      <c r="Q104" s="758"/>
      <c r="R104" s="758"/>
      <c r="S104" s="758"/>
      <c r="T104" s="758"/>
      <c r="U104" s="758"/>
      <c r="V104" s="758"/>
      <c r="W104" s="758"/>
      <c r="X104" s="758"/>
      <c r="Y104" s="758"/>
      <c r="Z104" s="758"/>
      <c r="AA104" s="758"/>
      <c r="AB104" s="758"/>
      <c r="AC104" s="758"/>
      <c r="AD104" s="758"/>
      <c r="AE104" s="758"/>
      <c r="AF104" s="758"/>
      <c r="AG104" s="758"/>
      <c r="AH104" s="758"/>
      <c r="AI104" s="758"/>
      <c r="AJ104" s="758"/>
      <c r="AK104" s="758"/>
      <c r="AL104" s="758"/>
      <c r="AM104" s="758"/>
      <c r="AN104" s="758"/>
      <c r="AO104" s="758"/>
      <c r="AP104" s="758"/>
      <c r="AQ104" s="758"/>
      <c r="AR104" s="758"/>
      <c r="AS104" s="758"/>
      <c r="AT104" s="759"/>
      <c r="AU104" s="630" t="s">
        <v>324</v>
      </c>
      <c r="AV104" s="631"/>
      <c r="AW104" s="631"/>
      <c r="AX104" s="631"/>
      <c r="AY104" s="631"/>
      <c r="AZ104" s="631"/>
      <c r="BA104" s="631"/>
      <c r="BB104" s="631"/>
      <c r="BC104" s="631"/>
      <c r="BD104" s="631"/>
      <c r="BE104" s="631"/>
      <c r="BF104" s="631"/>
      <c r="BG104" s="631"/>
      <c r="BH104" s="631"/>
      <c r="BI104" s="631"/>
      <c r="BJ104" s="631"/>
      <c r="BK104" s="631"/>
      <c r="BL104" s="631"/>
      <c r="BM104" s="631"/>
      <c r="BN104" s="631"/>
      <c r="BO104" s="631"/>
      <c r="BP104" s="631"/>
      <c r="BQ104" s="631"/>
      <c r="BR104" s="631"/>
      <c r="BS104" s="631"/>
      <c r="BT104" s="631"/>
      <c r="BU104" s="631"/>
      <c r="BV104" s="631"/>
      <c r="BW104" s="631"/>
      <c r="BX104" s="632"/>
      <c r="BY104" s="783" t="s">
        <v>344</v>
      </c>
      <c r="BZ104" s="778"/>
      <c r="CA104" s="778"/>
      <c r="CB104" s="778"/>
      <c r="CC104" s="778"/>
      <c r="CD104" s="778"/>
      <c r="CE104" s="778"/>
      <c r="CF104" s="778"/>
      <c r="CG104" s="778"/>
      <c r="CH104" s="778"/>
      <c r="CI104" s="778"/>
      <c r="CJ104" s="778"/>
      <c r="CK104" s="778"/>
      <c r="CL104" s="778"/>
      <c r="CM104" s="778"/>
      <c r="CN104" s="778"/>
      <c r="CO104" s="778"/>
      <c r="CP104" s="778"/>
      <c r="CQ104" s="778"/>
      <c r="CR104" s="778"/>
      <c r="CS104" s="778"/>
      <c r="CT104" s="778"/>
      <c r="CU104" s="778"/>
      <c r="CV104" s="778"/>
      <c r="CW104" s="778"/>
      <c r="CX104" s="778"/>
      <c r="CY104" s="778"/>
      <c r="CZ104" s="778"/>
      <c r="DA104" s="778"/>
      <c r="DB104" s="778"/>
      <c r="DC104" s="778"/>
      <c r="DD104" s="778"/>
      <c r="DE104" s="778"/>
      <c r="DF104" s="778"/>
      <c r="DG104" s="778"/>
      <c r="DH104" s="778"/>
      <c r="DI104" s="779"/>
      <c r="DJ104" s="711" t="s">
        <v>307</v>
      </c>
      <c r="DK104" s="712"/>
      <c r="DL104" s="712"/>
      <c r="DM104" s="712"/>
      <c r="DN104" s="712"/>
      <c r="DO104" s="712"/>
      <c r="DP104" s="712"/>
      <c r="DQ104" s="712"/>
      <c r="DR104" s="712"/>
      <c r="DS104" s="712"/>
      <c r="DT104" s="712"/>
      <c r="DU104" s="712"/>
      <c r="DV104" s="712"/>
      <c r="DW104" s="712"/>
      <c r="DX104" s="712"/>
      <c r="DY104" s="712"/>
      <c r="DZ104" s="712"/>
      <c r="EA104" s="712"/>
      <c r="EB104" s="712"/>
      <c r="EC104" s="712"/>
      <c r="ED104" s="712"/>
      <c r="EE104" s="712"/>
      <c r="EF104" s="712"/>
      <c r="EG104" s="712"/>
      <c r="EH104" s="712"/>
      <c r="EI104" s="712"/>
      <c r="EJ104" s="712"/>
      <c r="EK104" s="712"/>
      <c r="EL104" s="712"/>
      <c r="EM104" s="712"/>
      <c r="EN104" s="712"/>
      <c r="EO104" s="712"/>
      <c r="EP104" s="712"/>
      <c r="EQ104" s="712"/>
      <c r="ER104" s="712"/>
      <c r="ES104" s="712"/>
      <c r="ET104" s="712"/>
      <c r="EU104" s="712"/>
      <c r="EV104" s="712"/>
      <c r="EW104" s="712"/>
      <c r="EX104" s="712"/>
      <c r="EY104" s="712"/>
      <c r="EZ104" s="712"/>
      <c r="FA104" s="712"/>
      <c r="FB104" s="712"/>
      <c r="FC104" s="712"/>
      <c r="FD104" s="712"/>
      <c r="FE104" s="712"/>
      <c r="FF104" s="712"/>
      <c r="FG104" s="713"/>
    </row>
    <row r="105" spans="2:163" ht="8.65" customHeight="1" thickBot="1">
      <c r="B105" s="754"/>
      <c r="C105" s="755"/>
      <c r="D105" s="755"/>
      <c r="E105" s="755"/>
      <c r="F105" s="755"/>
      <c r="G105" s="755"/>
      <c r="H105" s="755"/>
      <c r="I105" s="755"/>
      <c r="J105" s="755"/>
      <c r="K105" s="755"/>
      <c r="L105" s="755"/>
      <c r="M105" s="755"/>
      <c r="N105" s="755"/>
      <c r="O105" s="756"/>
      <c r="P105" s="757"/>
      <c r="Q105" s="758"/>
      <c r="R105" s="758"/>
      <c r="S105" s="758"/>
      <c r="T105" s="758"/>
      <c r="U105" s="758"/>
      <c r="V105" s="758"/>
      <c r="W105" s="758"/>
      <c r="X105" s="758"/>
      <c r="Y105" s="758"/>
      <c r="Z105" s="758"/>
      <c r="AA105" s="758"/>
      <c r="AB105" s="758"/>
      <c r="AC105" s="758"/>
      <c r="AD105" s="758"/>
      <c r="AE105" s="758"/>
      <c r="AF105" s="758"/>
      <c r="AG105" s="758"/>
      <c r="AH105" s="758"/>
      <c r="AI105" s="758"/>
      <c r="AJ105" s="758"/>
      <c r="AK105" s="758"/>
      <c r="AL105" s="758"/>
      <c r="AM105" s="758"/>
      <c r="AN105" s="758"/>
      <c r="AO105" s="758"/>
      <c r="AP105" s="758"/>
      <c r="AQ105" s="758"/>
      <c r="AR105" s="758"/>
      <c r="AS105" s="758"/>
      <c r="AT105" s="759"/>
      <c r="AU105" s="780"/>
      <c r="AV105" s="781"/>
      <c r="AW105" s="781"/>
      <c r="AX105" s="781"/>
      <c r="AY105" s="781"/>
      <c r="AZ105" s="781"/>
      <c r="BA105" s="781"/>
      <c r="BB105" s="781"/>
      <c r="BC105" s="781"/>
      <c r="BD105" s="781"/>
      <c r="BE105" s="781"/>
      <c r="BF105" s="781"/>
      <c r="BG105" s="781"/>
      <c r="BH105" s="781"/>
      <c r="BI105" s="781"/>
      <c r="BJ105" s="781"/>
      <c r="BK105" s="781"/>
      <c r="BL105" s="781"/>
      <c r="BM105" s="781"/>
      <c r="BN105" s="781"/>
      <c r="BO105" s="781"/>
      <c r="BP105" s="781"/>
      <c r="BQ105" s="781"/>
      <c r="BR105" s="781"/>
      <c r="BS105" s="781"/>
      <c r="BT105" s="781"/>
      <c r="BU105" s="781"/>
      <c r="BV105" s="781"/>
      <c r="BW105" s="781"/>
      <c r="BX105" s="782"/>
      <c r="BY105" s="777"/>
      <c r="BZ105" s="778"/>
      <c r="CA105" s="778"/>
      <c r="CB105" s="778"/>
      <c r="CC105" s="778"/>
      <c r="CD105" s="778"/>
      <c r="CE105" s="778"/>
      <c r="CF105" s="778"/>
      <c r="CG105" s="778"/>
      <c r="CH105" s="778"/>
      <c r="CI105" s="778"/>
      <c r="CJ105" s="778"/>
      <c r="CK105" s="778"/>
      <c r="CL105" s="778"/>
      <c r="CM105" s="778"/>
      <c r="CN105" s="778"/>
      <c r="CO105" s="778"/>
      <c r="CP105" s="778"/>
      <c r="CQ105" s="778"/>
      <c r="CR105" s="778"/>
      <c r="CS105" s="778"/>
      <c r="CT105" s="778"/>
      <c r="CU105" s="778"/>
      <c r="CV105" s="778"/>
      <c r="CW105" s="778"/>
      <c r="CX105" s="778"/>
      <c r="CY105" s="778"/>
      <c r="CZ105" s="778"/>
      <c r="DA105" s="778"/>
      <c r="DB105" s="778"/>
      <c r="DC105" s="778"/>
      <c r="DD105" s="778"/>
      <c r="DE105" s="778"/>
      <c r="DF105" s="778"/>
      <c r="DG105" s="778"/>
      <c r="DH105" s="778"/>
      <c r="DI105" s="779"/>
      <c r="DJ105" s="714"/>
      <c r="DK105" s="712"/>
      <c r="DL105" s="712"/>
      <c r="DM105" s="712"/>
      <c r="DN105" s="712"/>
      <c r="DO105" s="712"/>
      <c r="DP105" s="712"/>
      <c r="DQ105" s="712"/>
      <c r="DR105" s="712"/>
      <c r="DS105" s="712"/>
      <c r="DT105" s="712"/>
      <c r="DU105" s="712"/>
      <c r="DV105" s="712"/>
      <c r="DW105" s="712"/>
      <c r="DX105" s="712"/>
      <c r="DY105" s="712"/>
      <c r="DZ105" s="712"/>
      <c r="EA105" s="712"/>
      <c r="EB105" s="712"/>
      <c r="EC105" s="712"/>
      <c r="ED105" s="712"/>
      <c r="EE105" s="712"/>
      <c r="EF105" s="712"/>
      <c r="EG105" s="712"/>
      <c r="EH105" s="712"/>
      <c r="EI105" s="712"/>
      <c r="EJ105" s="712"/>
      <c r="EK105" s="712"/>
      <c r="EL105" s="712"/>
      <c r="EM105" s="712"/>
      <c r="EN105" s="712"/>
      <c r="EO105" s="712"/>
      <c r="EP105" s="712"/>
      <c r="EQ105" s="712"/>
      <c r="ER105" s="712"/>
      <c r="ES105" s="712"/>
      <c r="ET105" s="712"/>
      <c r="EU105" s="712"/>
      <c r="EV105" s="712"/>
      <c r="EW105" s="712"/>
      <c r="EX105" s="712"/>
      <c r="EY105" s="712"/>
      <c r="EZ105" s="712"/>
      <c r="FA105" s="712"/>
      <c r="FB105" s="712"/>
      <c r="FC105" s="712"/>
      <c r="FD105" s="712"/>
      <c r="FE105" s="712"/>
      <c r="FF105" s="712"/>
      <c r="FG105" s="713"/>
    </row>
    <row r="106" spans="2:163" ht="8.65" customHeight="1" thickTop="1">
      <c r="B106" s="754"/>
      <c r="C106" s="755"/>
      <c r="D106" s="755"/>
      <c r="E106" s="755"/>
      <c r="F106" s="755"/>
      <c r="G106" s="755"/>
      <c r="H106" s="755"/>
      <c r="I106" s="755"/>
      <c r="J106" s="755"/>
      <c r="K106" s="755"/>
      <c r="L106" s="755"/>
      <c r="M106" s="755"/>
      <c r="N106" s="755"/>
      <c r="O106" s="756"/>
      <c r="P106" s="757"/>
      <c r="Q106" s="758"/>
      <c r="R106" s="758"/>
      <c r="S106" s="758"/>
      <c r="T106" s="758"/>
      <c r="U106" s="758"/>
      <c r="V106" s="758"/>
      <c r="W106" s="758"/>
      <c r="X106" s="758"/>
      <c r="Y106" s="758"/>
      <c r="Z106" s="758"/>
      <c r="AA106" s="758"/>
      <c r="AB106" s="758"/>
      <c r="AC106" s="758"/>
      <c r="AD106" s="758"/>
      <c r="AE106" s="758"/>
      <c r="AF106" s="758"/>
      <c r="AG106" s="758"/>
      <c r="AH106" s="758"/>
      <c r="AI106" s="758"/>
      <c r="AJ106" s="758"/>
      <c r="AK106" s="758"/>
      <c r="AL106" s="758"/>
      <c r="AM106" s="758"/>
      <c r="AN106" s="758"/>
      <c r="AO106" s="758"/>
      <c r="AP106" s="758"/>
      <c r="AQ106" s="758"/>
      <c r="AR106" s="758"/>
      <c r="AS106" s="758"/>
      <c r="AT106" s="759"/>
      <c r="AU106" s="669" t="s">
        <v>308</v>
      </c>
      <c r="AV106" s="670"/>
      <c r="AW106" s="670"/>
      <c r="AX106" s="670"/>
      <c r="AY106" s="670"/>
      <c r="AZ106" s="670"/>
      <c r="BA106" s="670"/>
      <c r="BB106" s="670"/>
      <c r="BC106" s="670"/>
      <c r="BD106" s="670"/>
      <c r="BE106" s="670"/>
      <c r="BF106" s="670"/>
      <c r="BG106" s="670"/>
      <c r="BH106" s="670"/>
      <c r="BI106" s="670"/>
      <c r="BJ106" s="670"/>
      <c r="BK106" s="670"/>
      <c r="BL106" s="670"/>
      <c r="BM106" s="670"/>
      <c r="BN106" s="670"/>
      <c r="BO106" s="670"/>
      <c r="BP106" s="670"/>
      <c r="BQ106" s="670"/>
      <c r="BR106" s="670"/>
      <c r="BS106" s="670"/>
      <c r="BT106" s="670"/>
      <c r="BU106" s="670"/>
      <c r="BV106" s="670"/>
      <c r="BW106" s="670"/>
      <c r="BX106" s="671"/>
      <c r="BY106" s="784" t="s">
        <v>352</v>
      </c>
      <c r="BZ106" s="785"/>
      <c r="CA106" s="785"/>
      <c r="CB106" s="785"/>
      <c r="CC106" s="785"/>
      <c r="CD106" s="785"/>
      <c r="CE106" s="785"/>
      <c r="CF106" s="785"/>
      <c r="CG106" s="785"/>
      <c r="CH106" s="785"/>
      <c r="CI106" s="785"/>
      <c r="CJ106" s="785"/>
      <c r="CK106" s="785"/>
      <c r="CL106" s="785"/>
      <c r="CM106" s="785"/>
      <c r="CN106" s="785"/>
      <c r="CO106" s="785"/>
      <c r="CP106" s="785"/>
      <c r="CQ106" s="785"/>
      <c r="CR106" s="785"/>
      <c r="CS106" s="785"/>
      <c r="CT106" s="785"/>
      <c r="CU106" s="785"/>
      <c r="CV106" s="785"/>
      <c r="CW106" s="785"/>
      <c r="CX106" s="785"/>
      <c r="CY106" s="785"/>
      <c r="CZ106" s="785"/>
      <c r="DA106" s="785"/>
      <c r="DB106" s="785"/>
      <c r="DC106" s="785"/>
      <c r="DD106" s="785"/>
      <c r="DE106" s="785"/>
      <c r="DF106" s="785"/>
      <c r="DG106" s="785"/>
      <c r="DH106" s="785"/>
      <c r="DI106" s="786"/>
      <c r="DJ106" s="714"/>
      <c r="DK106" s="712"/>
      <c r="DL106" s="712"/>
      <c r="DM106" s="712"/>
      <c r="DN106" s="712"/>
      <c r="DO106" s="712"/>
      <c r="DP106" s="712"/>
      <c r="DQ106" s="712"/>
      <c r="DR106" s="712"/>
      <c r="DS106" s="712"/>
      <c r="DT106" s="712"/>
      <c r="DU106" s="712"/>
      <c r="DV106" s="712"/>
      <c r="DW106" s="712"/>
      <c r="DX106" s="712"/>
      <c r="DY106" s="712"/>
      <c r="DZ106" s="712"/>
      <c r="EA106" s="712"/>
      <c r="EB106" s="712"/>
      <c r="EC106" s="712"/>
      <c r="ED106" s="712"/>
      <c r="EE106" s="712"/>
      <c r="EF106" s="712"/>
      <c r="EG106" s="712"/>
      <c r="EH106" s="712"/>
      <c r="EI106" s="712"/>
      <c r="EJ106" s="712"/>
      <c r="EK106" s="712"/>
      <c r="EL106" s="712"/>
      <c r="EM106" s="712"/>
      <c r="EN106" s="712"/>
      <c r="EO106" s="712"/>
      <c r="EP106" s="712"/>
      <c r="EQ106" s="712"/>
      <c r="ER106" s="712"/>
      <c r="ES106" s="712"/>
      <c r="ET106" s="712"/>
      <c r="EU106" s="712"/>
      <c r="EV106" s="712"/>
      <c r="EW106" s="712"/>
      <c r="EX106" s="712"/>
      <c r="EY106" s="712"/>
      <c r="EZ106" s="712"/>
      <c r="FA106" s="712"/>
      <c r="FB106" s="712"/>
      <c r="FC106" s="712"/>
      <c r="FD106" s="712"/>
      <c r="FE106" s="712"/>
      <c r="FF106" s="712"/>
      <c r="FG106" s="713"/>
    </row>
    <row r="107" spans="2:163" ht="8.65" customHeight="1">
      <c r="B107" s="754" t="s">
        <v>310</v>
      </c>
      <c r="C107" s="755"/>
      <c r="D107" s="755"/>
      <c r="E107" s="755"/>
      <c r="F107" s="755"/>
      <c r="G107" s="755"/>
      <c r="H107" s="755"/>
      <c r="I107" s="755"/>
      <c r="J107" s="755"/>
      <c r="K107" s="755"/>
      <c r="L107" s="755"/>
      <c r="M107" s="755"/>
      <c r="N107" s="755"/>
      <c r="O107" s="756"/>
      <c r="P107" s="757" t="s">
        <v>311</v>
      </c>
      <c r="Q107" s="758"/>
      <c r="R107" s="758"/>
      <c r="S107" s="758"/>
      <c r="T107" s="758"/>
      <c r="U107" s="758"/>
      <c r="V107" s="758"/>
      <c r="W107" s="758"/>
      <c r="X107" s="758"/>
      <c r="Y107" s="758"/>
      <c r="Z107" s="758"/>
      <c r="AA107" s="758"/>
      <c r="AB107" s="758"/>
      <c r="AC107" s="758"/>
      <c r="AD107" s="758"/>
      <c r="AE107" s="758"/>
      <c r="AF107" s="758"/>
      <c r="AG107" s="758"/>
      <c r="AH107" s="758"/>
      <c r="AI107" s="758"/>
      <c r="AJ107" s="758"/>
      <c r="AK107" s="758"/>
      <c r="AL107" s="758"/>
      <c r="AM107" s="758"/>
      <c r="AN107" s="758"/>
      <c r="AO107" s="758"/>
      <c r="AP107" s="758"/>
      <c r="AQ107" s="758"/>
      <c r="AR107" s="758"/>
      <c r="AS107" s="758"/>
      <c r="AT107" s="759"/>
      <c r="AU107" s="672"/>
      <c r="AV107" s="673"/>
      <c r="AW107" s="673"/>
      <c r="AX107" s="673"/>
      <c r="AY107" s="673"/>
      <c r="AZ107" s="673"/>
      <c r="BA107" s="673"/>
      <c r="BB107" s="673"/>
      <c r="BC107" s="673"/>
      <c r="BD107" s="673"/>
      <c r="BE107" s="673"/>
      <c r="BF107" s="673"/>
      <c r="BG107" s="673"/>
      <c r="BH107" s="673"/>
      <c r="BI107" s="673"/>
      <c r="BJ107" s="673"/>
      <c r="BK107" s="673"/>
      <c r="BL107" s="673"/>
      <c r="BM107" s="673"/>
      <c r="BN107" s="673"/>
      <c r="BO107" s="673"/>
      <c r="BP107" s="673"/>
      <c r="BQ107" s="673"/>
      <c r="BR107" s="673"/>
      <c r="BS107" s="673"/>
      <c r="BT107" s="673"/>
      <c r="BU107" s="673"/>
      <c r="BV107" s="673"/>
      <c r="BW107" s="673"/>
      <c r="BX107" s="674"/>
      <c r="BY107" s="784"/>
      <c r="BZ107" s="785"/>
      <c r="CA107" s="785"/>
      <c r="CB107" s="785"/>
      <c r="CC107" s="785"/>
      <c r="CD107" s="785"/>
      <c r="CE107" s="785"/>
      <c r="CF107" s="785"/>
      <c r="CG107" s="785"/>
      <c r="CH107" s="785"/>
      <c r="CI107" s="785"/>
      <c r="CJ107" s="785"/>
      <c r="CK107" s="785"/>
      <c r="CL107" s="785"/>
      <c r="CM107" s="785"/>
      <c r="CN107" s="785"/>
      <c r="CO107" s="785"/>
      <c r="CP107" s="785"/>
      <c r="CQ107" s="785"/>
      <c r="CR107" s="785"/>
      <c r="CS107" s="785"/>
      <c r="CT107" s="785"/>
      <c r="CU107" s="785"/>
      <c r="CV107" s="785"/>
      <c r="CW107" s="785"/>
      <c r="CX107" s="785"/>
      <c r="CY107" s="785"/>
      <c r="CZ107" s="785"/>
      <c r="DA107" s="785"/>
      <c r="DB107" s="785"/>
      <c r="DC107" s="785"/>
      <c r="DD107" s="785"/>
      <c r="DE107" s="785"/>
      <c r="DF107" s="785"/>
      <c r="DG107" s="785"/>
      <c r="DH107" s="785"/>
      <c r="DI107" s="786"/>
      <c r="DJ107" s="787" t="s">
        <v>312</v>
      </c>
      <c r="DK107" s="788"/>
      <c r="DL107" s="788"/>
      <c r="DM107" s="788"/>
      <c r="DN107" s="788"/>
      <c r="DO107" s="788"/>
      <c r="DP107" s="788"/>
      <c r="DQ107" s="788"/>
      <c r="DR107" s="788"/>
      <c r="DS107" s="788"/>
      <c r="DT107" s="788"/>
      <c r="DU107" s="788"/>
      <c r="DV107" s="788"/>
      <c r="DW107" s="788"/>
      <c r="DX107" s="788"/>
      <c r="DY107" s="788"/>
      <c r="DZ107" s="788"/>
      <c r="EA107" s="788"/>
      <c r="EB107" s="788"/>
      <c r="EC107" s="788"/>
      <c r="ED107" s="788"/>
      <c r="EE107" s="788"/>
      <c r="EF107" s="788"/>
      <c r="EG107" s="788"/>
      <c r="EH107" s="788"/>
      <c r="EI107" s="788"/>
      <c r="EJ107" s="788"/>
      <c r="EK107" s="788"/>
      <c r="EL107" s="788"/>
      <c r="EM107" s="788"/>
      <c r="EN107" s="788"/>
      <c r="EO107" s="788"/>
      <c r="EP107" s="788"/>
      <c r="EQ107" s="788"/>
      <c r="ER107" s="788"/>
      <c r="ES107" s="788"/>
      <c r="ET107" s="788"/>
      <c r="EU107" s="788"/>
      <c r="EV107" s="788"/>
      <c r="EW107" s="788"/>
      <c r="EX107" s="788"/>
      <c r="EY107" s="788"/>
      <c r="EZ107" s="788"/>
      <c r="FA107" s="788"/>
      <c r="FB107" s="788"/>
      <c r="FC107" s="788"/>
      <c r="FD107" s="788"/>
      <c r="FE107" s="788"/>
      <c r="FF107" s="788"/>
      <c r="FG107" s="789"/>
    </row>
    <row r="108" spans="2:163" ht="8.65" customHeight="1">
      <c r="B108" s="754"/>
      <c r="C108" s="755"/>
      <c r="D108" s="755"/>
      <c r="E108" s="755"/>
      <c r="F108" s="755"/>
      <c r="G108" s="755"/>
      <c r="H108" s="755"/>
      <c r="I108" s="755"/>
      <c r="J108" s="755"/>
      <c r="K108" s="755"/>
      <c r="L108" s="755"/>
      <c r="M108" s="755"/>
      <c r="N108" s="755"/>
      <c r="O108" s="756"/>
      <c r="P108" s="757"/>
      <c r="Q108" s="758"/>
      <c r="R108" s="758"/>
      <c r="S108" s="758"/>
      <c r="T108" s="758"/>
      <c r="U108" s="758"/>
      <c r="V108" s="758"/>
      <c r="W108" s="758"/>
      <c r="X108" s="758"/>
      <c r="Y108" s="758"/>
      <c r="Z108" s="758"/>
      <c r="AA108" s="758"/>
      <c r="AB108" s="758"/>
      <c r="AC108" s="758"/>
      <c r="AD108" s="758"/>
      <c r="AE108" s="758"/>
      <c r="AF108" s="758"/>
      <c r="AG108" s="758"/>
      <c r="AH108" s="758"/>
      <c r="AI108" s="758"/>
      <c r="AJ108" s="758"/>
      <c r="AK108" s="758"/>
      <c r="AL108" s="758"/>
      <c r="AM108" s="758"/>
      <c r="AN108" s="758"/>
      <c r="AO108" s="758"/>
      <c r="AP108" s="758"/>
      <c r="AQ108" s="758"/>
      <c r="AR108" s="758"/>
      <c r="AS108" s="758"/>
      <c r="AT108" s="759"/>
      <c r="AU108" s="672"/>
      <c r="AV108" s="673"/>
      <c r="AW108" s="673"/>
      <c r="AX108" s="673"/>
      <c r="AY108" s="673"/>
      <c r="AZ108" s="673"/>
      <c r="BA108" s="673"/>
      <c r="BB108" s="673"/>
      <c r="BC108" s="673"/>
      <c r="BD108" s="673"/>
      <c r="BE108" s="673"/>
      <c r="BF108" s="673"/>
      <c r="BG108" s="673"/>
      <c r="BH108" s="673"/>
      <c r="BI108" s="673"/>
      <c r="BJ108" s="673"/>
      <c r="BK108" s="673"/>
      <c r="BL108" s="673"/>
      <c r="BM108" s="673"/>
      <c r="BN108" s="673"/>
      <c r="BO108" s="673"/>
      <c r="BP108" s="673"/>
      <c r="BQ108" s="673"/>
      <c r="BR108" s="673"/>
      <c r="BS108" s="673"/>
      <c r="BT108" s="673"/>
      <c r="BU108" s="673"/>
      <c r="BV108" s="673"/>
      <c r="BW108" s="673"/>
      <c r="BX108" s="674"/>
      <c r="BY108" s="150"/>
      <c r="BZ108" s="151"/>
      <c r="CA108" s="151"/>
      <c r="CB108" s="151"/>
      <c r="CC108" s="151"/>
      <c r="CD108" s="151"/>
      <c r="CE108" s="151"/>
      <c r="CF108" s="151"/>
      <c r="CG108" s="151"/>
      <c r="CH108" s="151"/>
      <c r="CI108" s="151"/>
      <c r="CJ108" s="151"/>
      <c r="CK108" s="151"/>
      <c r="CL108" s="151"/>
      <c r="CM108" s="151"/>
      <c r="CN108" s="151"/>
      <c r="CO108" s="151"/>
      <c r="CP108" s="151"/>
      <c r="CQ108" s="151"/>
      <c r="CR108" s="151"/>
      <c r="CS108" s="151"/>
      <c r="CT108" s="151"/>
      <c r="CU108" s="151"/>
      <c r="CV108" s="151"/>
      <c r="CW108" s="151"/>
      <c r="CX108" s="151"/>
      <c r="CY108" s="151"/>
      <c r="CZ108" s="151"/>
      <c r="DA108" s="151"/>
      <c r="DB108" s="151"/>
      <c r="DC108" s="151"/>
      <c r="DD108" s="151"/>
      <c r="DE108" s="151"/>
      <c r="DF108" s="151"/>
      <c r="DG108" s="151"/>
      <c r="DH108" s="151"/>
      <c r="DI108" s="152"/>
      <c r="DJ108" s="790"/>
      <c r="DK108" s="788"/>
      <c r="DL108" s="788"/>
      <c r="DM108" s="788"/>
      <c r="DN108" s="788"/>
      <c r="DO108" s="788"/>
      <c r="DP108" s="788"/>
      <c r="DQ108" s="788"/>
      <c r="DR108" s="788"/>
      <c r="DS108" s="788"/>
      <c r="DT108" s="788"/>
      <c r="DU108" s="788"/>
      <c r="DV108" s="788"/>
      <c r="DW108" s="788"/>
      <c r="DX108" s="788"/>
      <c r="DY108" s="788"/>
      <c r="DZ108" s="788"/>
      <c r="EA108" s="788"/>
      <c r="EB108" s="788"/>
      <c r="EC108" s="788"/>
      <c r="ED108" s="788"/>
      <c r="EE108" s="788"/>
      <c r="EF108" s="788"/>
      <c r="EG108" s="788"/>
      <c r="EH108" s="788"/>
      <c r="EI108" s="788"/>
      <c r="EJ108" s="788"/>
      <c r="EK108" s="788"/>
      <c r="EL108" s="788"/>
      <c r="EM108" s="788"/>
      <c r="EN108" s="788"/>
      <c r="EO108" s="788"/>
      <c r="EP108" s="788"/>
      <c r="EQ108" s="788"/>
      <c r="ER108" s="788"/>
      <c r="ES108" s="788"/>
      <c r="ET108" s="788"/>
      <c r="EU108" s="788"/>
      <c r="EV108" s="788"/>
      <c r="EW108" s="788"/>
      <c r="EX108" s="788"/>
      <c r="EY108" s="788"/>
      <c r="EZ108" s="788"/>
      <c r="FA108" s="788"/>
      <c r="FB108" s="788"/>
      <c r="FC108" s="788"/>
      <c r="FD108" s="788"/>
      <c r="FE108" s="788"/>
      <c r="FF108" s="788"/>
      <c r="FG108" s="789"/>
    </row>
    <row r="109" spans="2:163" ht="8.85" customHeight="1">
      <c r="B109" s="754"/>
      <c r="C109" s="755"/>
      <c r="D109" s="755"/>
      <c r="E109" s="755"/>
      <c r="F109" s="755"/>
      <c r="G109" s="755"/>
      <c r="H109" s="755"/>
      <c r="I109" s="755"/>
      <c r="J109" s="755"/>
      <c r="K109" s="755"/>
      <c r="L109" s="755"/>
      <c r="M109" s="755"/>
      <c r="N109" s="755"/>
      <c r="O109" s="756"/>
      <c r="P109" s="757"/>
      <c r="Q109" s="758"/>
      <c r="R109" s="758"/>
      <c r="S109" s="758"/>
      <c r="T109" s="758"/>
      <c r="U109" s="758"/>
      <c r="V109" s="758"/>
      <c r="W109" s="758"/>
      <c r="X109" s="758"/>
      <c r="Y109" s="758"/>
      <c r="Z109" s="758"/>
      <c r="AA109" s="758"/>
      <c r="AB109" s="758"/>
      <c r="AC109" s="758"/>
      <c r="AD109" s="758"/>
      <c r="AE109" s="758"/>
      <c r="AF109" s="758"/>
      <c r="AG109" s="758"/>
      <c r="AH109" s="758"/>
      <c r="AI109" s="758"/>
      <c r="AJ109" s="758"/>
      <c r="AK109" s="758"/>
      <c r="AL109" s="758"/>
      <c r="AM109" s="758"/>
      <c r="AN109" s="758"/>
      <c r="AO109" s="758"/>
      <c r="AP109" s="758"/>
      <c r="AQ109" s="758"/>
      <c r="AR109" s="758"/>
      <c r="AS109" s="758"/>
      <c r="AT109" s="759"/>
      <c r="AU109" s="672"/>
      <c r="AV109" s="673"/>
      <c r="AW109" s="673"/>
      <c r="AX109" s="673"/>
      <c r="AY109" s="673"/>
      <c r="AZ109" s="673"/>
      <c r="BA109" s="673"/>
      <c r="BB109" s="673"/>
      <c r="BC109" s="673"/>
      <c r="BD109" s="673"/>
      <c r="BE109" s="673"/>
      <c r="BF109" s="673"/>
      <c r="BG109" s="673"/>
      <c r="BH109" s="673"/>
      <c r="BI109" s="673"/>
      <c r="BJ109" s="673"/>
      <c r="BK109" s="673"/>
      <c r="BL109" s="673"/>
      <c r="BM109" s="673"/>
      <c r="BN109" s="673"/>
      <c r="BO109" s="673"/>
      <c r="BP109" s="673"/>
      <c r="BQ109" s="673"/>
      <c r="BR109" s="673"/>
      <c r="BS109" s="673"/>
      <c r="BT109" s="673"/>
      <c r="BU109" s="673"/>
      <c r="BV109" s="673"/>
      <c r="BW109" s="673"/>
      <c r="BX109" s="674"/>
      <c r="BY109" s="150"/>
      <c r="BZ109" s="151"/>
      <c r="CA109" s="151"/>
      <c r="CB109" s="151"/>
      <c r="CC109" s="151"/>
      <c r="CD109" s="151"/>
      <c r="CE109" s="151"/>
      <c r="CF109" s="151"/>
      <c r="CG109" s="151"/>
      <c r="CH109" s="151"/>
      <c r="CI109" s="151"/>
      <c r="CJ109" s="151"/>
      <c r="CK109" s="151"/>
      <c r="CL109" s="151"/>
      <c r="CM109" s="151"/>
      <c r="CN109" s="151"/>
      <c r="CO109" s="151"/>
      <c r="CP109" s="151"/>
      <c r="CQ109" s="151"/>
      <c r="CR109" s="151"/>
      <c r="CS109" s="151"/>
      <c r="CT109" s="151"/>
      <c r="CU109" s="151"/>
      <c r="CV109" s="151"/>
      <c r="CW109" s="151"/>
      <c r="CX109" s="151"/>
      <c r="CY109" s="151"/>
      <c r="CZ109" s="151"/>
      <c r="DA109" s="151"/>
      <c r="DB109" s="151"/>
      <c r="DC109" s="151"/>
      <c r="DD109" s="151"/>
      <c r="DE109" s="151"/>
      <c r="DF109" s="151"/>
      <c r="DG109" s="151"/>
      <c r="DH109" s="151"/>
      <c r="DI109" s="152"/>
      <c r="DJ109" s="790"/>
      <c r="DK109" s="788"/>
      <c r="DL109" s="788"/>
      <c r="DM109" s="788"/>
      <c r="DN109" s="788"/>
      <c r="DO109" s="788"/>
      <c r="DP109" s="788"/>
      <c r="DQ109" s="788"/>
      <c r="DR109" s="788"/>
      <c r="DS109" s="788"/>
      <c r="DT109" s="788"/>
      <c r="DU109" s="788"/>
      <c r="DV109" s="788"/>
      <c r="DW109" s="788"/>
      <c r="DX109" s="788"/>
      <c r="DY109" s="788"/>
      <c r="DZ109" s="788"/>
      <c r="EA109" s="788"/>
      <c r="EB109" s="788"/>
      <c r="EC109" s="788"/>
      <c r="ED109" s="788"/>
      <c r="EE109" s="788"/>
      <c r="EF109" s="788"/>
      <c r="EG109" s="788"/>
      <c r="EH109" s="788"/>
      <c r="EI109" s="788"/>
      <c r="EJ109" s="788"/>
      <c r="EK109" s="788"/>
      <c r="EL109" s="788"/>
      <c r="EM109" s="788"/>
      <c r="EN109" s="788"/>
      <c r="EO109" s="788"/>
      <c r="EP109" s="788"/>
      <c r="EQ109" s="788"/>
      <c r="ER109" s="788"/>
      <c r="ES109" s="788"/>
      <c r="ET109" s="788"/>
      <c r="EU109" s="788"/>
      <c r="EV109" s="788"/>
      <c r="EW109" s="788"/>
      <c r="EX109" s="788"/>
      <c r="EY109" s="788"/>
      <c r="EZ109" s="788"/>
      <c r="FA109" s="788"/>
      <c r="FB109" s="788"/>
      <c r="FC109" s="788"/>
      <c r="FD109" s="788"/>
      <c r="FE109" s="788"/>
      <c r="FF109" s="788"/>
      <c r="FG109" s="789"/>
    </row>
    <row r="110" spans="2:163" ht="8.85" customHeight="1">
      <c r="B110" s="754" t="s">
        <v>315</v>
      </c>
      <c r="C110" s="755"/>
      <c r="D110" s="755"/>
      <c r="E110" s="755"/>
      <c r="F110" s="755"/>
      <c r="G110" s="755"/>
      <c r="H110" s="755"/>
      <c r="I110" s="755"/>
      <c r="J110" s="755"/>
      <c r="K110" s="755"/>
      <c r="L110" s="755"/>
      <c r="M110" s="755"/>
      <c r="N110" s="755"/>
      <c r="O110" s="756"/>
      <c r="P110" s="757" t="s">
        <v>316</v>
      </c>
      <c r="Q110" s="758"/>
      <c r="R110" s="758"/>
      <c r="S110" s="758"/>
      <c r="T110" s="758"/>
      <c r="U110" s="758"/>
      <c r="V110" s="758"/>
      <c r="W110" s="758"/>
      <c r="X110" s="758"/>
      <c r="Y110" s="758"/>
      <c r="Z110" s="758"/>
      <c r="AA110" s="758"/>
      <c r="AB110" s="758"/>
      <c r="AC110" s="758"/>
      <c r="AD110" s="758"/>
      <c r="AE110" s="758"/>
      <c r="AF110" s="758"/>
      <c r="AG110" s="758"/>
      <c r="AH110" s="758"/>
      <c r="AI110" s="758"/>
      <c r="AJ110" s="758"/>
      <c r="AK110" s="758"/>
      <c r="AL110" s="758"/>
      <c r="AM110" s="758"/>
      <c r="AN110" s="758"/>
      <c r="AO110" s="758"/>
      <c r="AP110" s="758"/>
      <c r="AQ110" s="758"/>
      <c r="AR110" s="758"/>
      <c r="AS110" s="758"/>
      <c r="AT110" s="759"/>
      <c r="AU110" s="804" t="s">
        <v>314</v>
      </c>
      <c r="AV110" s="805"/>
      <c r="AW110" s="805"/>
      <c r="AX110" s="805"/>
      <c r="AY110" s="805"/>
      <c r="AZ110" s="805"/>
      <c r="BA110" s="805"/>
      <c r="BB110" s="805"/>
      <c r="BC110" s="805"/>
      <c r="BD110" s="805"/>
      <c r="BE110" s="805"/>
      <c r="BF110" s="805"/>
      <c r="BG110" s="805"/>
      <c r="BH110" s="805"/>
      <c r="BI110" s="805"/>
      <c r="BJ110" s="805"/>
      <c r="BK110" s="805"/>
      <c r="BL110" s="805"/>
      <c r="BM110" s="805"/>
      <c r="BN110" s="805"/>
      <c r="BO110" s="805"/>
      <c r="BP110" s="805"/>
      <c r="BQ110" s="805"/>
      <c r="BR110" s="805"/>
      <c r="BS110" s="805"/>
      <c r="BT110" s="805"/>
      <c r="BU110" s="805"/>
      <c r="BV110" s="805"/>
      <c r="BW110" s="805"/>
      <c r="BX110" s="806"/>
      <c r="BY110" s="153"/>
      <c r="BZ110" s="154"/>
      <c r="CA110" s="154"/>
      <c r="CB110" s="154"/>
      <c r="CC110" s="154"/>
      <c r="CD110" s="154"/>
      <c r="CE110" s="154"/>
      <c r="CF110" s="154"/>
      <c r="CG110" s="154"/>
      <c r="CH110" s="154"/>
      <c r="CI110" s="154"/>
      <c r="CJ110" s="154"/>
      <c r="CK110" s="154"/>
      <c r="CL110" s="154"/>
      <c r="CM110" s="154"/>
      <c r="CN110" s="154"/>
      <c r="CO110" s="154"/>
      <c r="CP110" s="154"/>
      <c r="CQ110" s="154"/>
      <c r="CR110" s="154"/>
      <c r="CS110" s="154"/>
      <c r="CT110" s="154"/>
      <c r="CU110" s="154"/>
      <c r="CV110" s="154"/>
      <c r="CW110" s="154"/>
      <c r="CX110" s="154"/>
      <c r="CY110" s="154"/>
      <c r="CZ110" s="154"/>
      <c r="DA110" s="154"/>
      <c r="DB110" s="154"/>
      <c r="DC110" s="154"/>
      <c r="DD110" s="154"/>
      <c r="DE110" s="154"/>
      <c r="DF110" s="154"/>
      <c r="DG110" s="154"/>
      <c r="DH110" s="154"/>
      <c r="DI110" s="155"/>
      <c r="DJ110" s="787" t="s">
        <v>317</v>
      </c>
      <c r="DK110" s="788"/>
      <c r="DL110" s="788"/>
      <c r="DM110" s="788"/>
      <c r="DN110" s="788"/>
      <c r="DO110" s="788"/>
      <c r="DP110" s="788"/>
      <c r="DQ110" s="788"/>
      <c r="DR110" s="788"/>
      <c r="DS110" s="788"/>
      <c r="DT110" s="788"/>
      <c r="DU110" s="788"/>
      <c r="DV110" s="788"/>
      <c r="DW110" s="788"/>
      <c r="DX110" s="788"/>
      <c r="DY110" s="788"/>
      <c r="DZ110" s="788"/>
      <c r="EA110" s="788"/>
      <c r="EB110" s="788"/>
      <c r="EC110" s="788"/>
      <c r="ED110" s="788"/>
      <c r="EE110" s="788"/>
      <c r="EF110" s="788"/>
      <c r="EG110" s="788"/>
      <c r="EH110" s="788"/>
      <c r="EI110" s="788"/>
      <c r="EJ110" s="788"/>
      <c r="EK110" s="788"/>
      <c r="EL110" s="788"/>
      <c r="EM110" s="788"/>
      <c r="EN110" s="788"/>
      <c r="EO110" s="788"/>
      <c r="EP110" s="788"/>
      <c r="EQ110" s="788"/>
      <c r="ER110" s="788"/>
      <c r="ES110" s="788"/>
      <c r="ET110" s="788"/>
      <c r="EU110" s="788"/>
      <c r="EV110" s="788"/>
      <c r="EW110" s="788"/>
      <c r="EX110" s="788"/>
      <c r="EY110" s="788"/>
      <c r="EZ110" s="788"/>
      <c r="FA110" s="788"/>
      <c r="FB110" s="788"/>
      <c r="FC110" s="788"/>
      <c r="FD110" s="788"/>
      <c r="FE110" s="788"/>
      <c r="FF110" s="788"/>
      <c r="FG110" s="789"/>
    </row>
    <row r="111" spans="2:163" ht="8.85" customHeight="1">
      <c r="B111" s="754"/>
      <c r="C111" s="755"/>
      <c r="D111" s="755"/>
      <c r="E111" s="755"/>
      <c r="F111" s="755"/>
      <c r="G111" s="755"/>
      <c r="H111" s="755"/>
      <c r="I111" s="755"/>
      <c r="J111" s="755"/>
      <c r="K111" s="755"/>
      <c r="L111" s="755"/>
      <c r="M111" s="755"/>
      <c r="N111" s="755"/>
      <c r="O111" s="756"/>
      <c r="P111" s="757"/>
      <c r="Q111" s="758"/>
      <c r="R111" s="758"/>
      <c r="S111" s="758"/>
      <c r="T111" s="758"/>
      <c r="U111" s="758"/>
      <c r="V111" s="758"/>
      <c r="W111" s="758"/>
      <c r="X111" s="758"/>
      <c r="Y111" s="758"/>
      <c r="Z111" s="758"/>
      <c r="AA111" s="758"/>
      <c r="AB111" s="758"/>
      <c r="AC111" s="758"/>
      <c r="AD111" s="758"/>
      <c r="AE111" s="758"/>
      <c r="AF111" s="758"/>
      <c r="AG111" s="758"/>
      <c r="AH111" s="758"/>
      <c r="AI111" s="758"/>
      <c r="AJ111" s="758"/>
      <c r="AK111" s="758"/>
      <c r="AL111" s="758"/>
      <c r="AM111" s="758"/>
      <c r="AN111" s="758"/>
      <c r="AO111" s="758"/>
      <c r="AP111" s="758"/>
      <c r="AQ111" s="758"/>
      <c r="AR111" s="758"/>
      <c r="AS111" s="758"/>
      <c r="AT111" s="759"/>
      <c r="AU111" s="807"/>
      <c r="AV111" s="808"/>
      <c r="AW111" s="808"/>
      <c r="AX111" s="808"/>
      <c r="AY111" s="808"/>
      <c r="AZ111" s="808"/>
      <c r="BA111" s="808"/>
      <c r="BB111" s="808"/>
      <c r="BC111" s="808"/>
      <c r="BD111" s="808"/>
      <c r="BE111" s="808"/>
      <c r="BF111" s="808"/>
      <c r="BG111" s="808"/>
      <c r="BH111" s="808"/>
      <c r="BI111" s="808"/>
      <c r="BJ111" s="808"/>
      <c r="BK111" s="808"/>
      <c r="BL111" s="808"/>
      <c r="BM111" s="808"/>
      <c r="BN111" s="808"/>
      <c r="BO111" s="808"/>
      <c r="BP111" s="808"/>
      <c r="BQ111" s="808"/>
      <c r="BR111" s="808"/>
      <c r="BS111" s="808"/>
      <c r="BT111" s="808"/>
      <c r="BU111" s="808"/>
      <c r="BV111" s="808"/>
      <c r="BW111" s="808"/>
      <c r="BX111" s="809"/>
      <c r="BY111" s="153"/>
      <c r="BZ111" s="154"/>
      <c r="CA111" s="154"/>
      <c r="CB111" s="154"/>
      <c r="CC111" s="154"/>
      <c r="CD111" s="154"/>
      <c r="CE111" s="154"/>
      <c r="CF111" s="154"/>
      <c r="CG111" s="154"/>
      <c r="CH111" s="154"/>
      <c r="CI111" s="154"/>
      <c r="CJ111" s="154"/>
      <c r="CK111" s="154"/>
      <c r="CL111" s="154"/>
      <c r="CM111" s="154"/>
      <c r="CN111" s="154"/>
      <c r="CO111" s="154"/>
      <c r="CP111" s="154"/>
      <c r="CQ111" s="154"/>
      <c r="CR111" s="154"/>
      <c r="CS111" s="154"/>
      <c r="CT111" s="154"/>
      <c r="CU111" s="154"/>
      <c r="CV111" s="154"/>
      <c r="CW111" s="154"/>
      <c r="CX111" s="154"/>
      <c r="CY111" s="154"/>
      <c r="CZ111" s="154"/>
      <c r="DA111" s="154"/>
      <c r="DB111" s="154"/>
      <c r="DC111" s="154"/>
      <c r="DD111" s="154"/>
      <c r="DE111" s="154"/>
      <c r="DF111" s="154"/>
      <c r="DG111" s="154"/>
      <c r="DH111" s="154"/>
      <c r="DI111" s="155"/>
      <c r="DJ111" s="790"/>
      <c r="DK111" s="788"/>
      <c r="DL111" s="788"/>
      <c r="DM111" s="788"/>
      <c r="DN111" s="788"/>
      <c r="DO111" s="788"/>
      <c r="DP111" s="788"/>
      <c r="DQ111" s="788"/>
      <c r="DR111" s="788"/>
      <c r="DS111" s="788"/>
      <c r="DT111" s="788"/>
      <c r="DU111" s="788"/>
      <c r="DV111" s="788"/>
      <c r="DW111" s="788"/>
      <c r="DX111" s="788"/>
      <c r="DY111" s="788"/>
      <c r="DZ111" s="788"/>
      <c r="EA111" s="788"/>
      <c r="EB111" s="788"/>
      <c r="EC111" s="788"/>
      <c r="ED111" s="788"/>
      <c r="EE111" s="788"/>
      <c r="EF111" s="788"/>
      <c r="EG111" s="788"/>
      <c r="EH111" s="788"/>
      <c r="EI111" s="788"/>
      <c r="EJ111" s="788"/>
      <c r="EK111" s="788"/>
      <c r="EL111" s="788"/>
      <c r="EM111" s="788"/>
      <c r="EN111" s="788"/>
      <c r="EO111" s="788"/>
      <c r="EP111" s="788"/>
      <c r="EQ111" s="788"/>
      <c r="ER111" s="788"/>
      <c r="ES111" s="788"/>
      <c r="ET111" s="788"/>
      <c r="EU111" s="788"/>
      <c r="EV111" s="788"/>
      <c r="EW111" s="788"/>
      <c r="EX111" s="788"/>
      <c r="EY111" s="788"/>
      <c r="EZ111" s="788"/>
      <c r="FA111" s="788"/>
      <c r="FB111" s="788"/>
      <c r="FC111" s="788"/>
      <c r="FD111" s="788"/>
      <c r="FE111" s="788"/>
      <c r="FF111" s="788"/>
      <c r="FG111" s="789"/>
    </row>
    <row r="112" spans="2:163" ht="8.85" customHeight="1">
      <c r="B112" s="754"/>
      <c r="C112" s="755"/>
      <c r="D112" s="755"/>
      <c r="E112" s="755"/>
      <c r="F112" s="755"/>
      <c r="G112" s="755"/>
      <c r="H112" s="755"/>
      <c r="I112" s="755"/>
      <c r="J112" s="755"/>
      <c r="K112" s="755"/>
      <c r="L112" s="755"/>
      <c r="M112" s="755"/>
      <c r="N112" s="755"/>
      <c r="O112" s="756"/>
      <c r="P112" s="757"/>
      <c r="Q112" s="758"/>
      <c r="R112" s="758"/>
      <c r="S112" s="758"/>
      <c r="T112" s="758"/>
      <c r="U112" s="758"/>
      <c r="V112" s="758"/>
      <c r="W112" s="758"/>
      <c r="X112" s="758"/>
      <c r="Y112" s="758"/>
      <c r="Z112" s="758"/>
      <c r="AA112" s="758"/>
      <c r="AB112" s="758"/>
      <c r="AC112" s="758"/>
      <c r="AD112" s="758"/>
      <c r="AE112" s="758"/>
      <c r="AF112" s="758"/>
      <c r="AG112" s="758"/>
      <c r="AH112" s="758"/>
      <c r="AI112" s="758"/>
      <c r="AJ112" s="758"/>
      <c r="AK112" s="758"/>
      <c r="AL112" s="758"/>
      <c r="AM112" s="758"/>
      <c r="AN112" s="758"/>
      <c r="AO112" s="758"/>
      <c r="AP112" s="758"/>
      <c r="AQ112" s="758"/>
      <c r="AR112" s="758"/>
      <c r="AS112" s="758"/>
      <c r="AT112" s="759"/>
      <c r="AU112" s="810"/>
      <c r="AV112" s="811"/>
      <c r="AW112" s="811"/>
      <c r="AX112" s="811"/>
      <c r="AY112" s="811"/>
      <c r="AZ112" s="811"/>
      <c r="BA112" s="811"/>
      <c r="BB112" s="811"/>
      <c r="BC112" s="811"/>
      <c r="BD112" s="811"/>
      <c r="BE112" s="811"/>
      <c r="BF112" s="811"/>
      <c r="BG112" s="811"/>
      <c r="BH112" s="811"/>
      <c r="BI112" s="811"/>
      <c r="BJ112" s="811"/>
      <c r="BK112" s="811"/>
      <c r="BL112" s="811"/>
      <c r="BM112" s="811"/>
      <c r="BN112" s="811"/>
      <c r="BO112" s="811"/>
      <c r="BP112" s="811"/>
      <c r="BQ112" s="811"/>
      <c r="BR112" s="811"/>
      <c r="BS112" s="811"/>
      <c r="BT112" s="811"/>
      <c r="BU112" s="811"/>
      <c r="BV112" s="811"/>
      <c r="BW112" s="811"/>
      <c r="BX112" s="812"/>
      <c r="BY112" s="153"/>
      <c r="BZ112" s="154"/>
      <c r="CA112" s="154"/>
      <c r="CB112" s="154"/>
      <c r="CC112" s="154"/>
      <c r="CD112" s="154"/>
      <c r="CE112" s="154"/>
      <c r="CF112" s="154"/>
      <c r="CG112" s="154"/>
      <c r="CH112" s="154"/>
      <c r="CI112" s="154"/>
      <c r="CJ112" s="154"/>
      <c r="CK112" s="154"/>
      <c r="CL112" s="154"/>
      <c r="CM112" s="154"/>
      <c r="CN112" s="154"/>
      <c r="CO112" s="154"/>
      <c r="CP112" s="154"/>
      <c r="CQ112" s="154"/>
      <c r="CR112" s="154"/>
      <c r="CS112" s="154"/>
      <c r="CT112" s="154"/>
      <c r="CU112" s="154"/>
      <c r="CV112" s="154"/>
      <c r="CW112" s="154"/>
      <c r="CX112" s="154"/>
      <c r="CY112" s="154"/>
      <c r="CZ112" s="154"/>
      <c r="DA112" s="154"/>
      <c r="DB112" s="154"/>
      <c r="DC112" s="154"/>
      <c r="DD112" s="154"/>
      <c r="DE112" s="154"/>
      <c r="DF112" s="154"/>
      <c r="DG112" s="154"/>
      <c r="DH112" s="154"/>
      <c r="DI112" s="155"/>
      <c r="DJ112" s="813"/>
      <c r="DK112" s="814"/>
      <c r="DL112" s="814"/>
      <c r="DM112" s="814"/>
      <c r="DN112" s="814"/>
      <c r="DO112" s="814"/>
      <c r="DP112" s="814"/>
      <c r="DQ112" s="814"/>
      <c r="DR112" s="814"/>
      <c r="DS112" s="814"/>
      <c r="DT112" s="814"/>
      <c r="DU112" s="814"/>
      <c r="DV112" s="814"/>
      <c r="DW112" s="814"/>
      <c r="DX112" s="814"/>
      <c r="DY112" s="814"/>
      <c r="DZ112" s="814"/>
      <c r="EA112" s="814"/>
      <c r="EB112" s="814"/>
      <c r="EC112" s="814"/>
      <c r="ED112" s="814"/>
      <c r="EE112" s="814"/>
      <c r="EF112" s="814"/>
      <c r="EG112" s="814"/>
      <c r="EH112" s="814"/>
      <c r="EI112" s="814"/>
      <c r="EJ112" s="814"/>
      <c r="EK112" s="814"/>
      <c r="EL112" s="814"/>
      <c r="EM112" s="814"/>
      <c r="EN112" s="814"/>
      <c r="EO112" s="814"/>
      <c r="EP112" s="814"/>
      <c r="EQ112" s="814"/>
      <c r="ER112" s="814"/>
      <c r="ES112" s="814"/>
      <c r="ET112" s="814"/>
      <c r="EU112" s="814"/>
      <c r="EV112" s="814"/>
      <c r="EW112" s="814"/>
      <c r="EX112" s="814"/>
      <c r="EY112" s="814"/>
      <c r="EZ112" s="814"/>
      <c r="FA112" s="814"/>
      <c r="FB112" s="814"/>
      <c r="FC112" s="814"/>
      <c r="FD112" s="814"/>
      <c r="FE112" s="814"/>
      <c r="FF112" s="814"/>
      <c r="FG112" s="815"/>
    </row>
    <row r="113" spans="2:163" ht="8.85" customHeight="1">
      <c r="B113" s="816" t="s">
        <v>320</v>
      </c>
      <c r="C113" s="817"/>
      <c r="D113" s="817"/>
      <c r="E113" s="817"/>
      <c r="F113" s="817"/>
      <c r="G113" s="817"/>
      <c r="H113" s="817"/>
      <c r="I113" s="817"/>
      <c r="J113" s="817"/>
      <c r="K113" s="817"/>
      <c r="L113" s="817"/>
      <c r="M113" s="817"/>
      <c r="N113" s="817"/>
      <c r="O113" s="817"/>
      <c r="P113" s="817"/>
      <c r="Q113" s="817"/>
      <c r="R113" s="817"/>
      <c r="S113" s="817"/>
      <c r="T113" s="817"/>
      <c r="U113" s="817"/>
      <c r="V113" s="817"/>
      <c r="W113" s="817"/>
      <c r="X113" s="817"/>
      <c r="Y113" s="817"/>
      <c r="Z113" s="817"/>
      <c r="AA113" s="817"/>
      <c r="AB113" s="817"/>
      <c r="AC113" s="817"/>
      <c r="AD113" s="817"/>
      <c r="AE113" s="817"/>
      <c r="AF113" s="817"/>
      <c r="AG113" s="817"/>
      <c r="AH113" s="817"/>
      <c r="AI113" s="817"/>
      <c r="AJ113" s="817"/>
      <c r="AK113" s="817"/>
      <c r="AL113" s="817"/>
      <c r="AM113" s="817"/>
      <c r="AN113" s="817"/>
      <c r="AO113" s="817"/>
      <c r="AP113" s="817"/>
      <c r="AQ113" s="817"/>
      <c r="AR113" s="817"/>
      <c r="AS113" s="817"/>
      <c r="AT113" s="818"/>
      <c r="AU113" s="675" t="s">
        <v>319</v>
      </c>
      <c r="AV113" s="676"/>
      <c r="AW113" s="676"/>
      <c r="AX113" s="676"/>
      <c r="AY113" s="676"/>
      <c r="AZ113" s="676"/>
      <c r="BA113" s="676"/>
      <c r="BB113" s="676"/>
      <c r="BC113" s="676"/>
      <c r="BD113" s="676"/>
      <c r="BE113" s="676"/>
      <c r="BF113" s="676"/>
      <c r="BG113" s="676"/>
      <c r="BH113" s="676"/>
      <c r="BI113" s="676"/>
      <c r="BJ113" s="676"/>
      <c r="BK113" s="676"/>
      <c r="BL113" s="676"/>
      <c r="BM113" s="676"/>
      <c r="BN113" s="676"/>
      <c r="BO113" s="676"/>
      <c r="BP113" s="676"/>
      <c r="BQ113" s="676"/>
      <c r="BR113" s="676"/>
      <c r="BS113" s="676"/>
      <c r="BT113" s="676"/>
      <c r="BU113" s="676"/>
      <c r="BV113" s="676"/>
      <c r="BW113" s="676"/>
      <c r="BX113" s="677"/>
      <c r="BY113" s="153"/>
      <c r="BZ113" s="154"/>
      <c r="CA113" s="154"/>
      <c r="CB113" s="154"/>
      <c r="CC113" s="154"/>
      <c r="CD113" s="154"/>
      <c r="CE113" s="154"/>
      <c r="CF113" s="154"/>
      <c r="CG113" s="154"/>
      <c r="CH113" s="154"/>
      <c r="CI113" s="154"/>
      <c r="CJ113" s="154"/>
      <c r="CK113" s="154"/>
      <c r="CL113" s="154"/>
      <c r="CM113" s="154"/>
      <c r="CN113" s="154"/>
      <c r="CO113" s="154"/>
      <c r="CP113" s="154"/>
      <c r="CQ113" s="154"/>
      <c r="CR113" s="154"/>
      <c r="CS113" s="154"/>
      <c r="CT113" s="154"/>
      <c r="CU113" s="154"/>
      <c r="CV113" s="154"/>
      <c r="CW113" s="154"/>
      <c r="CX113" s="154"/>
      <c r="CY113" s="154"/>
      <c r="CZ113" s="154"/>
      <c r="DA113" s="154"/>
      <c r="DB113" s="154"/>
      <c r="DC113" s="154"/>
      <c r="DD113" s="154"/>
      <c r="DE113" s="154"/>
      <c r="DF113" s="154"/>
      <c r="DG113" s="154"/>
      <c r="DH113" s="154"/>
      <c r="DI113" s="155"/>
      <c r="DJ113" s="819" t="s">
        <v>345</v>
      </c>
      <c r="DK113" s="820"/>
      <c r="DL113" s="820"/>
      <c r="DM113" s="820"/>
      <c r="DN113" s="820"/>
      <c r="DO113" s="820"/>
      <c r="DP113" s="820"/>
      <c r="DQ113" s="820"/>
      <c r="DR113" s="820"/>
      <c r="DS113" s="820"/>
      <c r="DT113" s="820"/>
      <c r="DU113" s="820"/>
      <c r="DV113" s="820"/>
      <c r="DW113" s="820"/>
      <c r="DX113" s="820"/>
      <c r="DY113" s="820"/>
      <c r="DZ113" s="820"/>
      <c r="EA113" s="820"/>
      <c r="EB113" s="820"/>
      <c r="EC113" s="820"/>
      <c r="ED113" s="820"/>
      <c r="EE113" s="820"/>
      <c r="EF113" s="820"/>
      <c r="EG113" s="820"/>
      <c r="EH113" s="820"/>
      <c r="EI113" s="820"/>
      <c r="EJ113" s="820"/>
      <c r="EK113" s="820"/>
      <c r="EL113" s="820"/>
      <c r="EM113" s="820"/>
      <c r="EN113" s="820"/>
      <c r="EO113" s="820"/>
      <c r="EP113" s="820"/>
      <c r="EQ113" s="820"/>
      <c r="ER113" s="820"/>
      <c r="ES113" s="820"/>
      <c r="ET113" s="820"/>
      <c r="EU113" s="820"/>
      <c r="EV113" s="820"/>
      <c r="EW113" s="820"/>
      <c r="EX113" s="820"/>
      <c r="EY113" s="820"/>
      <c r="EZ113" s="820"/>
      <c r="FA113" s="820"/>
      <c r="FB113" s="820"/>
      <c r="FC113" s="820"/>
      <c r="FD113" s="820"/>
      <c r="FE113" s="820"/>
      <c r="FF113" s="820"/>
      <c r="FG113" s="821"/>
    </row>
    <row r="114" spans="2:163" ht="8.85" customHeight="1">
      <c r="B114" s="630"/>
      <c r="C114" s="631"/>
      <c r="D114" s="631"/>
      <c r="E114" s="631"/>
      <c r="F114" s="631"/>
      <c r="G114" s="631"/>
      <c r="H114" s="631"/>
      <c r="I114" s="631"/>
      <c r="J114" s="631"/>
      <c r="K114" s="631"/>
      <c r="L114" s="631"/>
      <c r="M114" s="631"/>
      <c r="N114" s="631"/>
      <c r="O114" s="631"/>
      <c r="P114" s="631"/>
      <c r="Q114" s="631"/>
      <c r="R114" s="631"/>
      <c r="S114" s="631"/>
      <c r="T114" s="631"/>
      <c r="U114" s="631"/>
      <c r="V114" s="631"/>
      <c r="W114" s="631"/>
      <c r="X114" s="631"/>
      <c r="Y114" s="631"/>
      <c r="Z114" s="631"/>
      <c r="AA114" s="631"/>
      <c r="AB114" s="631"/>
      <c r="AC114" s="631"/>
      <c r="AD114" s="631"/>
      <c r="AE114" s="631"/>
      <c r="AF114" s="631"/>
      <c r="AG114" s="631"/>
      <c r="AH114" s="631"/>
      <c r="AI114" s="631"/>
      <c r="AJ114" s="631"/>
      <c r="AK114" s="631"/>
      <c r="AL114" s="631"/>
      <c r="AM114" s="631"/>
      <c r="AN114" s="631"/>
      <c r="AO114" s="631"/>
      <c r="AP114" s="631"/>
      <c r="AQ114" s="631"/>
      <c r="AR114" s="631"/>
      <c r="AS114" s="631"/>
      <c r="AT114" s="632"/>
      <c r="AU114" s="675"/>
      <c r="AV114" s="676"/>
      <c r="AW114" s="676"/>
      <c r="AX114" s="676"/>
      <c r="AY114" s="676"/>
      <c r="AZ114" s="676"/>
      <c r="BA114" s="676"/>
      <c r="BB114" s="676"/>
      <c r="BC114" s="676"/>
      <c r="BD114" s="676"/>
      <c r="BE114" s="676"/>
      <c r="BF114" s="676"/>
      <c r="BG114" s="676"/>
      <c r="BH114" s="676"/>
      <c r="BI114" s="676"/>
      <c r="BJ114" s="676"/>
      <c r="BK114" s="676"/>
      <c r="BL114" s="676"/>
      <c r="BM114" s="676"/>
      <c r="BN114" s="676"/>
      <c r="BO114" s="676"/>
      <c r="BP114" s="676"/>
      <c r="BQ114" s="676"/>
      <c r="BR114" s="676"/>
      <c r="BS114" s="676"/>
      <c r="BT114" s="676"/>
      <c r="BU114" s="676"/>
      <c r="BV114" s="676"/>
      <c r="BW114" s="676"/>
      <c r="BX114" s="677"/>
      <c r="BY114" s="153"/>
      <c r="BZ114" s="154"/>
      <c r="CA114" s="154"/>
      <c r="CB114" s="154"/>
      <c r="CC114" s="154"/>
      <c r="CD114" s="154"/>
      <c r="CE114" s="154"/>
      <c r="CF114" s="154"/>
      <c r="CG114" s="154"/>
      <c r="CH114" s="154"/>
      <c r="CI114" s="154"/>
      <c r="CJ114" s="154"/>
      <c r="CK114" s="154"/>
      <c r="CL114" s="154"/>
      <c r="CM114" s="154"/>
      <c r="CN114" s="154"/>
      <c r="CO114" s="154"/>
      <c r="CP114" s="154"/>
      <c r="CQ114" s="154"/>
      <c r="CR114" s="154"/>
      <c r="CS114" s="154"/>
      <c r="CT114" s="154"/>
      <c r="CU114" s="154"/>
      <c r="CV114" s="154"/>
      <c r="CW114" s="154"/>
      <c r="CX114" s="154"/>
      <c r="CY114" s="154"/>
      <c r="CZ114" s="154"/>
      <c r="DA114" s="154"/>
      <c r="DB114" s="154"/>
      <c r="DC114" s="154"/>
      <c r="DD114" s="154"/>
      <c r="DE114" s="154"/>
      <c r="DF114" s="154"/>
      <c r="DG114" s="154"/>
      <c r="DH114" s="154"/>
      <c r="DI114" s="155"/>
      <c r="DJ114" s="576"/>
      <c r="DK114" s="577"/>
      <c r="DL114" s="577"/>
      <c r="DM114" s="577"/>
      <c r="DN114" s="577"/>
      <c r="DO114" s="577"/>
      <c r="DP114" s="577"/>
      <c r="DQ114" s="577"/>
      <c r="DR114" s="577"/>
      <c r="DS114" s="577"/>
      <c r="DT114" s="577"/>
      <c r="DU114" s="577"/>
      <c r="DV114" s="577"/>
      <c r="DW114" s="577"/>
      <c r="DX114" s="577"/>
      <c r="DY114" s="577"/>
      <c r="DZ114" s="577"/>
      <c r="EA114" s="577"/>
      <c r="EB114" s="577"/>
      <c r="EC114" s="577"/>
      <c r="ED114" s="577"/>
      <c r="EE114" s="577"/>
      <c r="EF114" s="577"/>
      <c r="EG114" s="577"/>
      <c r="EH114" s="577"/>
      <c r="EI114" s="577"/>
      <c r="EJ114" s="577"/>
      <c r="EK114" s="577"/>
      <c r="EL114" s="577"/>
      <c r="EM114" s="577"/>
      <c r="EN114" s="577"/>
      <c r="EO114" s="577"/>
      <c r="EP114" s="577"/>
      <c r="EQ114" s="577"/>
      <c r="ER114" s="577"/>
      <c r="ES114" s="577"/>
      <c r="ET114" s="577"/>
      <c r="EU114" s="577"/>
      <c r="EV114" s="577"/>
      <c r="EW114" s="577"/>
      <c r="EX114" s="577"/>
      <c r="EY114" s="577"/>
      <c r="EZ114" s="577"/>
      <c r="FA114" s="577"/>
      <c r="FB114" s="577"/>
      <c r="FC114" s="577"/>
      <c r="FD114" s="577"/>
      <c r="FE114" s="577"/>
      <c r="FF114" s="577"/>
      <c r="FG114" s="578"/>
    </row>
    <row r="115" spans="2:163" ht="8.85" customHeight="1">
      <c r="B115" s="699" t="s">
        <v>323</v>
      </c>
      <c r="C115" s="700"/>
      <c r="D115" s="700"/>
      <c r="E115" s="700"/>
      <c r="F115" s="700"/>
      <c r="G115" s="700"/>
      <c r="H115" s="700"/>
      <c r="I115" s="700"/>
      <c r="J115" s="700"/>
      <c r="K115" s="700"/>
      <c r="L115" s="700"/>
      <c r="M115" s="700"/>
      <c r="N115" s="700"/>
      <c r="O115" s="700"/>
      <c r="P115" s="700"/>
      <c r="Q115" s="700"/>
      <c r="R115" s="700"/>
      <c r="S115" s="700"/>
      <c r="T115" s="700"/>
      <c r="U115" s="700"/>
      <c r="V115" s="700"/>
      <c r="W115" s="700"/>
      <c r="X115" s="700"/>
      <c r="Y115" s="700"/>
      <c r="Z115" s="700"/>
      <c r="AA115" s="700"/>
      <c r="AB115" s="700"/>
      <c r="AC115" s="700"/>
      <c r="AD115" s="700"/>
      <c r="AE115" s="700"/>
      <c r="AF115" s="700"/>
      <c r="AG115" s="700"/>
      <c r="AH115" s="700"/>
      <c r="AI115" s="700"/>
      <c r="AJ115" s="700"/>
      <c r="AK115" s="700"/>
      <c r="AL115" s="700"/>
      <c r="AM115" s="700"/>
      <c r="AN115" s="700"/>
      <c r="AO115" s="700"/>
      <c r="AP115" s="700"/>
      <c r="AQ115" s="700"/>
      <c r="AR115" s="700"/>
      <c r="AS115" s="700"/>
      <c r="AT115" s="701"/>
      <c r="AU115" s="699" t="s">
        <v>322</v>
      </c>
      <c r="AV115" s="700"/>
      <c r="AW115" s="700"/>
      <c r="AX115" s="700"/>
      <c r="AY115" s="700"/>
      <c r="AZ115" s="700"/>
      <c r="BA115" s="700"/>
      <c r="BB115" s="700"/>
      <c r="BC115" s="700"/>
      <c r="BD115" s="700"/>
      <c r="BE115" s="700"/>
      <c r="BF115" s="700"/>
      <c r="BG115" s="700"/>
      <c r="BH115" s="700"/>
      <c r="BI115" s="700"/>
      <c r="BJ115" s="700"/>
      <c r="BK115" s="700"/>
      <c r="BL115" s="700"/>
      <c r="BM115" s="700"/>
      <c r="BN115" s="700"/>
      <c r="BO115" s="700"/>
      <c r="BP115" s="700"/>
      <c r="BQ115" s="700"/>
      <c r="BR115" s="700"/>
      <c r="BS115" s="700"/>
      <c r="BT115" s="700"/>
      <c r="BU115" s="700"/>
      <c r="BV115" s="700"/>
      <c r="BW115" s="700"/>
      <c r="BX115" s="701"/>
      <c r="BY115" s="153"/>
      <c r="BZ115" s="154"/>
      <c r="CA115" s="154"/>
      <c r="CB115" s="154"/>
      <c r="CC115" s="154"/>
      <c r="CD115" s="154"/>
      <c r="CE115" s="154"/>
      <c r="CF115" s="154"/>
      <c r="CG115" s="154"/>
      <c r="CH115" s="154"/>
      <c r="CI115" s="154"/>
      <c r="CJ115" s="154"/>
      <c r="CK115" s="154"/>
      <c r="CL115" s="154"/>
      <c r="CM115" s="154"/>
      <c r="CN115" s="154"/>
      <c r="CO115" s="154"/>
      <c r="CP115" s="154"/>
      <c r="CQ115" s="154"/>
      <c r="CR115" s="154"/>
      <c r="CS115" s="154"/>
      <c r="CT115" s="154"/>
      <c r="CU115" s="154"/>
      <c r="CV115" s="154"/>
      <c r="CW115" s="154"/>
      <c r="CX115" s="154"/>
      <c r="CY115" s="154"/>
      <c r="CZ115" s="154"/>
      <c r="DA115" s="154"/>
      <c r="DB115" s="154"/>
      <c r="DC115" s="154"/>
      <c r="DD115" s="154"/>
      <c r="DE115" s="154"/>
      <c r="DF115" s="154"/>
      <c r="DG115" s="154"/>
      <c r="DH115" s="154"/>
      <c r="DI115" s="155"/>
      <c r="DJ115" s="576"/>
      <c r="DK115" s="577"/>
      <c r="DL115" s="577"/>
      <c r="DM115" s="577"/>
      <c r="DN115" s="577"/>
      <c r="DO115" s="577"/>
      <c r="DP115" s="577"/>
      <c r="DQ115" s="577"/>
      <c r="DR115" s="577"/>
      <c r="DS115" s="577"/>
      <c r="DT115" s="577"/>
      <c r="DU115" s="577"/>
      <c r="DV115" s="577"/>
      <c r="DW115" s="577"/>
      <c r="DX115" s="577"/>
      <c r="DY115" s="577"/>
      <c r="DZ115" s="577"/>
      <c r="EA115" s="577"/>
      <c r="EB115" s="577"/>
      <c r="EC115" s="577"/>
      <c r="ED115" s="577"/>
      <c r="EE115" s="577"/>
      <c r="EF115" s="577"/>
      <c r="EG115" s="577"/>
      <c r="EH115" s="577"/>
      <c r="EI115" s="577"/>
      <c r="EJ115" s="577"/>
      <c r="EK115" s="577"/>
      <c r="EL115" s="577"/>
      <c r="EM115" s="577"/>
      <c r="EN115" s="577"/>
      <c r="EO115" s="577"/>
      <c r="EP115" s="577"/>
      <c r="EQ115" s="577"/>
      <c r="ER115" s="577"/>
      <c r="ES115" s="577"/>
      <c r="ET115" s="577"/>
      <c r="EU115" s="577"/>
      <c r="EV115" s="577"/>
      <c r="EW115" s="577"/>
      <c r="EX115" s="577"/>
      <c r="EY115" s="577"/>
      <c r="EZ115" s="577"/>
      <c r="FA115" s="577"/>
      <c r="FB115" s="577"/>
      <c r="FC115" s="577"/>
      <c r="FD115" s="577"/>
      <c r="FE115" s="577"/>
      <c r="FF115" s="577"/>
      <c r="FG115" s="578"/>
    </row>
    <row r="116" spans="2:163" ht="8.85" customHeight="1" thickBot="1">
      <c r="B116" s="699"/>
      <c r="C116" s="700"/>
      <c r="D116" s="700"/>
      <c r="E116" s="700"/>
      <c r="F116" s="700"/>
      <c r="G116" s="700"/>
      <c r="H116" s="700"/>
      <c r="I116" s="700"/>
      <c r="J116" s="700"/>
      <c r="K116" s="700"/>
      <c r="L116" s="700"/>
      <c r="M116" s="700"/>
      <c r="N116" s="700"/>
      <c r="O116" s="700"/>
      <c r="P116" s="700"/>
      <c r="Q116" s="700"/>
      <c r="R116" s="700"/>
      <c r="S116" s="700"/>
      <c r="T116" s="700"/>
      <c r="U116" s="700"/>
      <c r="V116" s="700"/>
      <c r="W116" s="700"/>
      <c r="X116" s="700"/>
      <c r="Y116" s="700"/>
      <c r="Z116" s="700"/>
      <c r="AA116" s="700"/>
      <c r="AB116" s="700"/>
      <c r="AC116" s="700"/>
      <c r="AD116" s="700"/>
      <c r="AE116" s="700"/>
      <c r="AF116" s="700"/>
      <c r="AG116" s="700"/>
      <c r="AH116" s="700"/>
      <c r="AI116" s="700"/>
      <c r="AJ116" s="700"/>
      <c r="AK116" s="700"/>
      <c r="AL116" s="700"/>
      <c r="AM116" s="700"/>
      <c r="AN116" s="700"/>
      <c r="AO116" s="700"/>
      <c r="AP116" s="700"/>
      <c r="AQ116" s="700"/>
      <c r="AR116" s="700"/>
      <c r="AS116" s="700"/>
      <c r="AT116" s="701"/>
      <c r="AU116" s="699"/>
      <c r="AV116" s="700"/>
      <c r="AW116" s="700"/>
      <c r="AX116" s="700"/>
      <c r="AY116" s="700"/>
      <c r="AZ116" s="700"/>
      <c r="BA116" s="700"/>
      <c r="BB116" s="700"/>
      <c r="BC116" s="700"/>
      <c r="BD116" s="700"/>
      <c r="BE116" s="700"/>
      <c r="BF116" s="700"/>
      <c r="BG116" s="700"/>
      <c r="BH116" s="700"/>
      <c r="BI116" s="700"/>
      <c r="BJ116" s="700"/>
      <c r="BK116" s="700"/>
      <c r="BL116" s="700"/>
      <c r="BM116" s="700"/>
      <c r="BN116" s="700"/>
      <c r="BO116" s="700"/>
      <c r="BP116" s="700"/>
      <c r="BQ116" s="700"/>
      <c r="BR116" s="700"/>
      <c r="BS116" s="700"/>
      <c r="BT116" s="700"/>
      <c r="BU116" s="700"/>
      <c r="BV116" s="700"/>
      <c r="BW116" s="700"/>
      <c r="BX116" s="701"/>
      <c r="BY116" s="138"/>
      <c r="BZ116" s="139"/>
      <c r="CA116" s="139"/>
      <c r="CB116" s="139"/>
      <c r="CC116" s="139"/>
      <c r="CD116" s="139"/>
      <c r="CE116" s="139"/>
      <c r="CF116" s="139"/>
      <c r="CG116" s="139"/>
      <c r="CH116" s="139"/>
      <c r="CI116" s="139"/>
      <c r="CJ116" s="139"/>
      <c r="CK116" s="139"/>
      <c r="CL116" s="139"/>
      <c r="CM116" s="139"/>
      <c r="CN116" s="139"/>
      <c r="CO116" s="139"/>
      <c r="CP116" s="139"/>
      <c r="CQ116" s="139"/>
      <c r="CR116" s="139"/>
      <c r="CS116" s="139"/>
      <c r="CT116" s="139"/>
      <c r="CU116" s="139"/>
      <c r="CV116" s="139"/>
      <c r="CW116" s="139"/>
      <c r="CX116" s="139"/>
      <c r="CY116" s="139"/>
      <c r="CZ116" s="139"/>
      <c r="DA116" s="139"/>
      <c r="DB116" s="139"/>
      <c r="DC116" s="139"/>
      <c r="DD116" s="139"/>
      <c r="DE116" s="139"/>
      <c r="DF116" s="139"/>
      <c r="DG116" s="139"/>
      <c r="DH116" s="139"/>
      <c r="DI116" s="140"/>
      <c r="DJ116" s="576"/>
      <c r="DK116" s="577"/>
      <c r="DL116" s="577"/>
      <c r="DM116" s="577"/>
      <c r="DN116" s="577"/>
      <c r="DO116" s="577"/>
      <c r="DP116" s="577"/>
      <c r="DQ116" s="577"/>
      <c r="DR116" s="577"/>
      <c r="DS116" s="577"/>
      <c r="DT116" s="577"/>
      <c r="DU116" s="577"/>
      <c r="DV116" s="577"/>
      <c r="DW116" s="577"/>
      <c r="DX116" s="577"/>
      <c r="DY116" s="577"/>
      <c r="DZ116" s="577"/>
      <c r="EA116" s="577"/>
      <c r="EB116" s="577"/>
      <c r="EC116" s="577"/>
      <c r="ED116" s="577"/>
      <c r="EE116" s="577"/>
      <c r="EF116" s="577"/>
      <c r="EG116" s="577"/>
      <c r="EH116" s="577"/>
      <c r="EI116" s="577"/>
      <c r="EJ116" s="577"/>
      <c r="EK116" s="577"/>
      <c r="EL116" s="577"/>
      <c r="EM116" s="577"/>
      <c r="EN116" s="577"/>
      <c r="EO116" s="577"/>
      <c r="EP116" s="577"/>
      <c r="EQ116" s="577"/>
      <c r="ER116" s="577"/>
      <c r="ES116" s="577"/>
      <c r="ET116" s="577"/>
      <c r="EU116" s="577"/>
      <c r="EV116" s="577"/>
      <c r="EW116" s="577"/>
      <c r="EX116" s="577"/>
      <c r="EY116" s="577"/>
      <c r="EZ116" s="577"/>
      <c r="FA116" s="577"/>
      <c r="FB116" s="577"/>
      <c r="FC116" s="577"/>
      <c r="FD116" s="577"/>
      <c r="FE116" s="577"/>
      <c r="FF116" s="577"/>
      <c r="FG116" s="578"/>
    </row>
    <row r="117" spans="2:163" ht="8.85" customHeight="1" thickTop="1">
      <c r="B117" s="699" t="s">
        <v>325</v>
      </c>
      <c r="C117" s="700"/>
      <c r="D117" s="700"/>
      <c r="E117" s="700"/>
      <c r="F117" s="700"/>
      <c r="G117" s="700"/>
      <c r="H117" s="700"/>
      <c r="I117" s="700"/>
      <c r="J117" s="700"/>
      <c r="K117" s="700"/>
      <c r="L117" s="700"/>
      <c r="M117" s="700"/>
      <c r="N117" s="700"/>
      <c r="O117" s="700"/>
      <c r="P117" s="700"/>
      <c r="Q117" s="700"/>
      <c r="R117" s="700"/>
      <c r="S117" s="700"/>
      <c r="T117" s="700"/>
      <c r="U117" s="700"/>
      <c r="V117" s="700"/>
      <c r="W117" s="700"/>
      <c r="X117" s="700"/>
      <c r="Y117" s="700"/>
      <c r="Z117" s="700"/>
      <c r="AA117" s="700"/>
      <c r="AB117" s="700"/>
      <c r="AC117" s="700"/>
      <c r="AD117" s="700"/>
      <c r="AE117" s="700"/>
      <c r="AF117" s="700"/>
      <c r="AG117" s="700"/>
      <c r="AH117" s="700"/>
      <c r="AI117" s="700"/>
      <c r="AJ117" s="700"/>
      <c r="AK117" s="700"/>
      <c r="AL117" s="700"/>
      <c r="AM117" s="700"/>
      <c r="AN117" s="700"/>
      <c r="AO117" s="700"/>
      <c r="AP117" s="700"/>
      <c r="AQ117" s="700"/>
      <c r="AR117" s="700"/>
      <c r="AS117" s="700"/>
      <c r="AT117" s="701"/>
      <c r="AU117" s="141"/>
      <c r="AV117" s="142"/>
      <c r="AW117" s="142"/>
      <c r="AX117" s="142"/>
      <c r="AY117" s="142"/>
      <c r="AZ117" s="142"/>
      <c r="BA117" s="142"/>
      <c r="BB117" s="142"/>
      <c r="BC117" s="142"/>
      <c r="BD117" s="142"/>
      <c r="BE117" s="142"/>
      <c r="BF117" s="142"/>
      <c r="BG117" s="142"/>
      <c r="BH117" s="142"/>
      <c r="BI117" s="142"/>
      <c r="BJ117" s="142"/>
      <c r="BK117" s="142"/>
      <c r="BL117" s="142"/>
      <c r="BM117" s="142"/>
      <c r="BN117" s="142"/>
      <c r="BO117" s="142"/>
      <c r="BP117" s="142"/>
      <c r="BQ117" s="142"/>
      <c r="BR117" s="142"/>
      <c r="BS117" s="142"/>
      <c r="BT117" s="142"/>
      <c r="BU117" s="142"/>
      <c r="BV117" s="142"/>
      <c r="BW117" s="142"/>
      <c r="BX117" s="143"/>
      <c r="BY117" s="791" t="s">
        <v>326</v>
      </c>
      <c r="BZ117" s="792"/>
      <c r="CA117" s="792"/>
      <c r="CB117" s="792"/>
      <c r="CC117" s="792"/>
      <c r="CD117" s="792"/>
      <c r="CE117" s="792"/>
      <c r="CF117" s="792"/>
      <c r="CG117" s="792"/>
      <c r="CH117" s="792"/>
      <c r="CI117" s="792"/>
      <c r="CJ117" s="792"/>
      <c r="CK117" s="792"/>
      <c r="CL117" s="792"/>
      <c r="CM117" s="792"/>
      <c r="CN117" s="792"/>
      <c r="CO117" s="792"/>
      <c r="CP117" s="792"/>
      <c r="CQ117" s="792"/>
      <c r="CR117" s="792"/>
      <c r="CS117" s="792"/>
      <c r="CT117" s="792"/>
      <c r="CU117" s="792"/>
      <c r="CV117" s="792"/>
      <c r="CW117" s="792"/>
      <c r="CX117" s="792"/>
      <c r="CY117" s="792"/>
      <c r="CZ117" s="792"/>
      <c r="DA117" s="792"/>
      <c r="DB117" s="792"/>
      <c r="DC117" s="792"/>
      <c r="DD117" s="792"/>
      <c r="DE117" s="792"/>
      <c r="DF117" s="792"/>
      <c r="DG117" s="792"/>
      <c r="DH117" s="792"/>
      <c r="DI117" s="792"/>
      <c r="DJ117" s="792"/>
      <c r="DK117" s="792"/>
      <c r="DL117" s="792"/>
      <c r="DM117" s="792"/>
      <c r="DN117" s="792"/>
      <c r="DO117" s="792"/>
      <c r="DP117" s="792"/>
      <c r="DQ117" s="792"/>
      <c r="DR117" s="792"/>
      <c r="DS117" s="792"/>
      <c r="DT117" s="792"/>
      <c r="DU117" s="792"/>
      <c r="DV117" s="792"/>
      <c r="DW117" s="792"/>
      <c r="DX117" s="792"/>
      <c r="DY117" s="792"/>
      <c r="DZ117" s="792"/>
      <c r="EA117" s="792"/>
      <c r="EB117" s="792"/>
      <c r="EC117" s="792"/>
      <c r="ED117" s="792"/>
      <c r="EE117" s="792"/>
      <c r="EF117" s="792"/>
      <c r="EG117" s="792"/>
      <c r="EH117" s="792"/>
      <c r="EI117" s="792"/>
      <c r="EJ117" s="792"/>
      <c r="EK117" s="792"/>
      <c r="EL117" s="792"/>
      <c r="EM117" s="792"/>
      <c r="EN117" s="792"/>
      <c r="EO117" s="792"/>
      <c r="EP117" s="792"/>
      <c r="EQ117" s="792"/>
      <c r="ER117" s="792"/>
      <c r="ES117" s="792"/>
      <c r="ET117" s="792"/>
      <c r="EU117" s="792"/>
      <c r="EV117" s="792"/>
      <c r="EW117" s="792"/>
      <c r="EX117" s="792"/>
      <c r="EY117" s="792"/>
      <c r="EZ117" s="792"/>
      <c r="FA117" s="792"/>
      <c r="FB117" s="792"/>
      <c r="FC117" s="792"/>
      <c r="FD117" s="792"/>
      <c r="FE117" s="792"/>
      <c r="FF117" s="792"/>
      <c r="FG117" s="793"/>
    </row>
    <row r="118" spans="2:163" ht="8.85" customHeight="1">
      <c r="B118" s="699"/>
      <c r="C118" s="700"/>
      <c r="D118" s="700"/>
      <c r="E118" s="700"/>
      <c r="F118" s="700"/>
      <c r="G118" s="700"/>
      <c r="H118" s="700"/>
      <c r="I118" s="700"/>
      <c r="J118" s="700"/>
      <c r="K118" s="700"/>
      <c r="L118" s="700"/>
      <c r="M118" s="700"/>
      <c r="N118" s="700"/>
      <c r="O118" s="700"/>
      <c r="P118" s="700"/>
      <c r="Q118" s="700"/>
      <c r="R118" s="700"/>
      <c r="S118" s="700"/>
      <c r="T118" s="700"/>
      <c r="U118" s="700"/>
      <c r="V118" s="700"/>
      <c r="W118" s="700"/>
      <c r="X118" s="700"/>
      <c r="Y118" s="700"/>
      <c r="Z118" s="700"/>
      <c r="AA118" s="700"/>
      <c r="AB118" s="700"/>
      <c r="AC118" s="700"/>
      <c r="AD118" s="700"/>
      <c r="AE118" s="700"/>
      <c r="AF118" s="700"/>
      <c r="AG118" s="700"/>
      <c r="AH118" s="700"/>
      <c r="AI118" s="700"/>
      <c r="AJ118" s="700"/>
      <c r="AK118" s="700"/>
      <c r="AL118" s="700"/>
      <c r="AM118" s="700"/>
      <c r="AN118" s="700"/>
      <c r="AO118" s="700"/>
      <c r="AP118" s="700"/>
      <c r="AQ118" s="700"/>
      <c r="AR118" s="700"/>
      <c r="AS118" s="700"/>
      <c r="AT118" s="701"/>
      <c r="AU118" s="141"/>
      <c r="AV118" s="142"/>
      <c r="AW118" s="142"/>
      <c r="AX118" s="142"/>
      <c r="AY118" s="142"/>
      <c r="AZ118" s="142"/>
      <c r="BA118" s="142"/>
      <c r="BB118" s="142"/>
      <c r="BC118" s="142"/>
      <c r="BD118" s="142"/>
      <c r="BE118" s="142"/>
      <c r="BF118" s="142"/>
      <c r="BG118" s="142"/>
      <c r="BH118" s="142"/>
      <c r="BI118" s="142"/>
      <c r="BJ118" s="142"/>
      <c r="BK118" s="142"/>
      <c r="BL118" s="142"/>
      <c r="BM118" s="142"/>
      <c r="BN118" s="142"/>
      <c r="BO118" s="142"/>
      <c r="BP118" s="142"/>
      <c r="BQ118" s="142"/>
      <c r="BR118" s="142"/>
      <c r="BS118" s="142"/>
      <c r="BT118" s="142"/>
      <c r="BU118" s="142"/>
      <c r="BV118" s="142"/>
      <c r="BW118" s="142"/>
      <c r="BX118" s="143"/>
      <c r="BY118" s="794"/>
      <c r="BZ118" s="795"/>
      <c r="CA118" s="795"/>
      <c r="CB118" s="795"/>
      <c r="CC118" s="795"/>
      <c r="CD118" s="795"/>
      <c r="CE118" s="795"/>
      <c r="CF118" s="795"/>
      <c r="CG118" s="795"/>
      <c r="CH118" s="795"/>
      <c r="CI118" s="795"/>
      <c r="CJ118" s="795"/>
      <c r="CK118" s="795"/>
      <c r="CL118" s="795"/>
      <c r="CM118" s="795"/>
      <c r="CN118" s="795"/>
      <c r="CO118" s="795"/>
      <c r="CP118" s="795"/>
      <c r="CQ118" s="795"/>
      <c r="CR118" s="795"/>
      <c r="CS118" s="795"/>
      <c r="CT118" s="795"/>
      <c r="CU118" s="795"/>
      <c r="CV118" s="795"/>
      <c r="CW118" s="795"/>
      <c r="CX118" s="795"/>
      <c r="CY118" s="795"/>
      <c r="CZ118" s="795"/>
      <c r="DA118" s="795"/>
      <c r="DB118" s="795"/>
      <c r="DC118" s="795"/>
      <c r="DD118" s="795"/>
      <c r="DE118" s="795"/>
      <c r="DF118" s="795"/>
      <c r="DG118" s="795"/>
      <c r="DH118" s="795"/>
      <c r="DI118" s="795"/>
      <c r="DJ118" s="795"/>
      <c r="DK118" s="795"/>
      <c r="DL118" s="795"/>
      <c r="DM118" s="795"/>
      <c r="DN118" s="795"/>
      <c r="DO118" s="795"/>
      <c r="DP118" s="795"/>
      <c r="DQ118" s="795"/>
      <c r="DR118" s="795"/>
      <c r="DS118" s="795"/>
      <c r="DT118" s="795"/>
      <c r="DU118" s="795"/>
      <c r="DV118" s="795"/>
      <c r="DW118" s="795"/>
      <c r="DX118" s="795"/>
      <c r="DY118" s="795"/>
      <c r="DZ118" s="795"/>
      <c r="EA118" s="795"/>
      <c r="EB118" s="795"/>
      <c r="EC118" s="795"/>
      <c r="ED118" s="795"/>
      <c r="EE118" s="795"/>
      <c r="EF118" s="795"/>
      <c r="EG118" s="795"/>
      <c r="EH118" s="795"/>
      <c r="EI118" s="795"/>
      <c r="EJ118" s="795"/>
      <c r="EK118" s="795"/>
      <c r="EL118" s="795"/>
      <c r="EM118" s="795"/>
      <c r="EN118" s="795"/>
      <c r="EO118" s="795"/>
      <c r="EP118" s="795"/>
      <c r="EQ118" s="795"/>
      <c r="ER118" s="795"/>
      <c r="ES118" s="795"/>
      <c r="ET118" s="795"/>
      <c r="EU118" s="795"/>
      <c r="EV118" s="795"/>
      <c r="EW118" s="795"/>
      <c r="EX118" s="795"/>
      <c r="EY118" s="795"/>
      <c r="EZ118" s="795"/>
      <c r="FA118" s="795"/>
      <c r="FB118" s="795"/>
      <c r="FC118" s="795"/>
      <c r="FD118" s="795"/>
      <c r="FE118" s="795"/>
      <c r="FF118" s="795"/>
      <c r="FG118" s="796"/>
    </row>
    <row r="119" spans="2:163" ht="8.85" customHeight="1">
      <c r="B119" s="699" t="s">
        <v>327</v>
      </c>
      <c r="C119" s="700"/>
      <c r="D119" s="700"/>
      <c r="E119" s="700"/>
      <c r="F119" s="700"/>
      <c r="G119" s="700"/>
      <c r="H119" s="700"/>
      <c r="I119" s="700"/>
      <c r="J119" s="700"/>
      <c r="K119" s="700"/>
      <c r="L119" s="700"/>
      <c r="M119" s="700"/>
      <c r="N119" s="700"/>
      <c r="O119" s="700"/>
      <c r="P119" s="700"/>
      <c r="Q119" s="700"/>
      <c r="R119" s="700"/>
      <c r="S119" s="700"/>
      <c r="T119" s="700"/>
      <c r="U119" s="700"/>
      <c r="V119" s="700"/>
      <c r="W119" s="700"/>
      <c r="X119" s="700"/>
      <c r="Y119" s="700"/>
      <c r="Z119" s="700"/>
      <c r="AA119" s="700"/>
      <c r="AB119" s="700"/>
      <c r="AC119" s="700"/>
      <c r="AD119" s="700"/>
      <c r="AE119" s="700"/>
      <c r="AF119" s="700"/>
      <c r="AG119" s="700"/>
      <c r="AH119" s="700"/>
      <c r="AI119" s="700"/>
      <c r="AJ119" s="700"/>
      <c r="AK119" s="700"/>
      <c r="AL119" s="700"/>
      <c r="AM119" s="700"/>
      <c r="AN119" s="700"/>
      <c r="AO119" s="700"/>
      <c r="AP119" s="700"/>
      <c r="AQ119" s="700"/>
      <c r="AR119" s="700"/>
      <c r="AS119" s="700"/>
      <c r="AT119" s="701"/>
      <c r="AU119" s="141"/>
      <c r="AV119" s="142"/>
      <c r="AW119" s="142"/>
      <c r="AX119" s="142"/>
      <c r="AY119" s="142"/>
      <c r="AZ119" s="142"/>
      <c r="BA119" s="142"/>
      <c r="BB119" s="142"/>
      <c r="BC119" s="142"/>
      <c r="BD119" s="142"/>
      <c r="BE119" s="142"/>
      <c r="BF119" s="142"/>
      <c r="BG119" s="142"/>
      <c r="BH119" s="142"/>
      <c r="BI119" s="142"/>
      <c r="BJ119" s="142"/>
      <c r="BK119" s="142"/>
      <c r="BL119" s="142"/>
      <c r="BM119" s="142"/>
      <c r="BN119" s="142"/>
      <c r="BO119" s="142"/>
      <c r="BP119" s="142"/>
      <c r="BQ119" s="142"/>
      <c r="BR119" s="142"/>
      <c r="BS119" s="142"/>
      <c r="BT119" s="142"/>
      <c r="BU119" s="142"/>
      <c r="BV119" s="142"/>
      <c r="BW119" s="142"/>
      <c r="BX119" s="143"/>
      <c r="BY119" s="794" t="s">
        <v>328</v>
      </c>
      <c r="BZ119" s="795"/>
      <c r="CA119" s="795"/>
      <c r="CB119" s="795"/>
      <c r="CC119" s="795"/>
      <c r="CD119" s="795"/>
      <c r="CE119" s="795"/>
      <c r="CF119" s="795"/>
      <c r="CG119" s="795"/>
      <c r="CH119" s="795"/>
      <c r="CI119" s="795"/>
      <c r="CJ119" s="795"/>
      <c r="CK119" s="795"/>
      <c r="CL119" s="795"/>
      <c r="CM119" s="795"/>
      <c r="CN119" s="795"/>
      <c r="CO119" s="795"/>
      <c r="CP119" s="795"/>
      <c r="CQ119" s="795"/>
      <c r="CR119" s="795"/>
      <c r="CS119" s="795"/>
      <c r="CT119" s="795"/>
      <c r="CU119" s="795"/>
      <c r="CV119" s="795"/>
      <c r="CW119" s="795"/>
      <c r="CX119" s="795"/>
      <c r="CY119" s="795"/>
      <c r="CZ119" s="795"/>
      <c r="DA119" s="795"/>
      <c r="DB119" s="795"/>
      <c r="DC119" s="795"/>
      <c r="DD119" s="795"/>
      <c r="DE119" s="795"/>
      <c r="DF119" s="795"/>
      <c r="DG119" s="795"/>
      <c r="DH119" s="795"/>
      <c r="DI119" s="795"/>
      <c r="DJ119" s="795"/>
      <c r="DK119" s="795"/>
      <c r="DL119" s="795"/>
      <c r="DM119" s="795"/>
      <c r="DN119" s="795"/>
      <c r="DO119" s="795"/>
      <c r="DP119" s="795"/>
      <c r="DQ119" s="795"/>
      <c r="DR119" s="795"/>
      <c r="DS119" s="795"/>
      <c r="DT119" s="795"/>
      <c r="DU119" s="795"/>
      <c r="DV119" s="795"/>
      <c r="DW119" s="795"/>
      <c r="DX119" s="795"/>
      <c r="DY119" s="795"/>
      <c r="DZ119" s="795"/>
      <c r="EA119" s="795"/>
      <c r="EB119" s="795"/>
      <c r="EC119" s="795"/>
      <c r="ED119" s="795"/>
      <c r="EE119" s="795"/>
      <c r="EF119" s="795"/>
      <c r="EG119" s="795"/>
      <c r="EH119" s="795"/>
      <c r="EI119" s="795"/>
      <c r="EJ119" s="795"/>
      <c r="EK119" s="795"/>
      <c r="EL119" s="795"/>
      <c r="EM119" s="795"/>
      <c r="EN119" s="795"/>
      <c r="EO119" s="795"/>
      <c r="EP119" s="795"/>
      <c r="EQ119" s="795"/>
      <c r="ER119" s="795"/>
      <c r="ES119" s="795"/>
      <c r="ET119" s="795"/>
      <c r="EU119" s="795"/>
      <c r="EV119" s="795"/>
      <c r="EW119" s="795"/>
      <c r="EX119" s="795"/>
      <c r="EY119" s="795"/>
      <c r="EZ119" s="795"/>
      <c r="FA119" s="795"/>
      <c r="FB119" s="795"/>
      <c r="FC119" s="795"/>
      <c r="FD119" s="795"/>
      <c r="FE119" s="795"/>
      <c r="FF119" s="795"/>
      <c r="FG119" s="796"/>
    </row>
    <row r="120" spans="2:163" ht="8.85" customHeight="1" thickBot="1">
      <c r="B120" s="797"/>
      <c r="C120" s="798"/>
      <c r="D120" s="798"/>
      <c r="E120" s="798"/>
      <c r="F120" s="798"/>
      <c r="G120" s="798"/>
      <c r="H120" s="798"/>
      <c r="I120" s="798"/>
      <c r="J120" s="798"/>
      <c r="K120" s="798"/>
      <c r="L120" s="798"/>
      <c r="M120" s="798"/>
      <c r="N120" s="798"/>
      <c r="O120" s="798"/>
      <c r="P120" s="798"/>
      <c r="Q120" s="798"/>
      <c r="R120" s="798"/>
      <c r="S120" s="798"/>
      <c r="T120" s="798"/>
      <c r="U120" s="798"/>
      <c r="V120" s="798"/>
      <c r="W120" s="798"/>
      <c r="X120" s="798"/>
      <c r="Y120" s="798"/>
      <c r="Z120" s="798"/>
      <c r="AA120" s="798"/>
      <c r="AB120" s="798"/>
      <c r="AC120" s="798"/>
      <c r="AD120" s="798"/>
      <c r="AE120" s="798"/>
      <c r="AF120" s="798"/>
      <c r="AG120" s="798"/>
      <c r="AH120" s="798"/>
      <c r="AI120" s="798"/>
      <c r="AJ120" s="798"/>
      <c r="AK120" s="798"/>
      <c r="AL120" s="798"/>
      <c r="AM120" s="798"/>
      <c r="AN120" s="798"/>
      <c r="AO120" s="798"/>
      <c r="AP120" s="798"/>
      <c r="AQ120" s="798"/>
      <c r="AR120" s="798"/>
      <c r="AS120" s="798"/>
      <c r="AT120" s="799"/>
      <c r="AU120" s="156"/>
      <c r="AV120" s="157"/>
      <c r="AW120" s="157"/>
      <c r="AX120" s="157"/>
      <c r="AY120" s="157"/>
      <c r="AZ120" s="157"/>
      <c r="BA120" s="157"/>
      <c r="BB120" s="157"/>
      <c r="BC120" s="157"/>
      <c r="BD120" s="157"/>
      <c r="BE120" s="157"/>
      <c r="BF120" s="157"/>
      <c r="BG120" s="157"/>
      <c r="BH120" s="157"/>
      <c r="BI120" s="157"/>
      <c r="BJ120" s="157"/>
      <c r="BK120" s="157"/>
      <c r="BL120" s="157"/>
      <c r="BM120" s="157"/>
      <c r="BN120" s="157"/>
      <c r="BO120" s="157"/>
      <c r="BP120" s="157"/>
      <c r="BQ120" s="157"/>
      <c r="BR120" s="157"/>
      <c r="BS120" s="157"/>
      <c r="BT120" s="157"/>
      <c r="BU120" s="157"/>
      <c r="BV120" s="157"/>
      <c r="BW120" s="157"/>
      <c r="BX120" s="158"/>
      <c r="BY120" s="800"/>
      <c r="BZ120" s="801"/>
      <c r="CA120" s="801"/>
      <c r="CB120" s="801"/>
      <c r="CC120" s="801"/>
      <c r="CD120" s="801"/>
      <c r="CE120" s="801"/>
      <c r="CF120" s="801"/>
      <c r="CG120" s="801"/>
      <c r="CH120" s="801"/>
      <c r="CI120" s="801"/>
      <c r="CJ120" s="801"/>
      <c r="CK120" s="801"/>
      <c r="CL120" s="801"/>
      <c r="CM120" s="801"/>
      <c r="CN120" s="801"/>
      <c r="CO120" s="801"/>
      <c r="CP120" s="801"/>
      <c r="CQ120" s="801"/>
      <c r="CR120" s="801"/>
      <c r="CS120" s="801"/>
      <c r="CT120" s="801"/>
      <c r="CU120" s="801"/>
      <c r="CV120" s="801"/>
      <c r="CW120" s="801"/>
      <c r="CX120" s="801"/>
      <c r="CY120" s="801"/>
      <c r="CZ120" s="801"/>
      <c r="DA120" s="801"/>
      <c r="DB120" s="801"/>
      <c r="DC120" s="801"/>
      <c r="DD120" s="801"/>
      <c r="DE120" s="801"/>
      <c r="DF120" s="801"/>
      <c r="DG120" s="801"/>
      <c r="DH120" s="801"/>
      <c r="DI120" s="801"/>
      <c r="DJ120" s="801"/>
      <c r="DK120" s="801"/>
      <c r="DL120" s="801"/>
      <c r="DM120" s="801"/>
      <c r="DN120" s="801"/>
      <c r="DO120" s="801"/>
      <c r="DP120" s="801"/>
      <c r="DQ120" s="801"/>
      <c r="DR120" s="801"/>
      <c r="DS120" s="801"/>
      <c r="DT120" s="801"/>
      <c r="DU120" s="801"/>
      <c r="DV120" s="801"/>
      <c r="DW120" s="801"/>
      <c r="DX120" s="801"/>
      <c r="DY120" s="801"/>
      <c r="DZ120" s="801"/>
      <c r="EA120" s="801"/>
      <c r="EB120" s="801"/>
      <c r="EC120" s="801"/>
      <c r="ED120" s="801"/>
      <c r="EE120" s="801"/>
      <c r="EF120" s="801"/>
      <c r="EG120" s="801"/>
      <c r="EH120" s="801"/>
      <c r="EI120" s="801"/>
      <c r="EJ120" s="801"/>
      <c r="EK120" s="801"/>
      <c r="EL120" s="801"/>
      <c r="EM120" s="801"/>
      <c r="EN120" s="801"/>
      <c r="EO120" s="801"/>
      <c r="EP120" s="801"/>
      <c r="EQ120" s="801"/>
      <c r="ER120" s="801"/>
      <c r="ES120" s="801"/>
      <c r="ET120" s="801"/>
      <c r="EU120" s="801"/>
      <c r="EV120" s="801"/>
      <c r="EW120" s="801"/>
      <c r="EX120" s="801"/>
      <c r="EY120" s="801"/>
      <c r="EZ120" s="801"/>
      <c r="FA120" s="801"/>
      <c r="FB120" s="801"/>
      <c r="FC120" s="801"/>
      <c r="FD120" s="801"/>
      <c r="FE120" s="801"/>
      <c r="FF120" s="801"/>
      <c r="FG120" s="802"/>
    </row>
    <row r="121" spans="2:163" ht="21.75" customHeight="1" thickTop="1">
      <c r="B121" s="803" t="s">
        <v>329</v>
      </c>
      <c r="C121" s="803"/>
      <c r="D121" s="803"/>
      <c r="E121" s="803"/>
      <c r="F121" s="803"/>
      <c r="G121" s="803"/>
      <c r="H121" s="803"/>
      <c r="I121" s="803"/>
      <c r="J121" s="803"/>
      <c r="K121" s="803"/>
      <c r="L121" s="803"/>
      <c r="M121" s="803"/>
      <c r="N121" s="803"/>
      <c r="O121" s="803"/>
      <c r="P121" s="803"/>
      <c r="Q121" s="803"/>
      <c r="R121" s="803"/>
      <c r="S121" s="803"/>
      <c r="T121" s="803"/>
      <c r="U121" s="803"/>
      <c r="V121" s="803"/>
      <c r="W121" s="803"/>
      <c r="X121" s="803"/>
      <c r="Y121" s="803"/>
      <c r="Z121" s="803"/>
      <c r="AA121" s="803"/>
      <c r="AB121" s="803"/>
      <c r="AC121" s="803"/>
      <c r="AD121" s="803"/>
      <c r="AE121" s="803"/>
      <c r="AF121" s="803"/>
      <c r="AG121" s="803"/>
      <c r="AH121" s="803"/>
      <c r="AI121" s="803"/>
      <c r="AJ121" s="803"/>
      <c r="AK121" s="803"/>
      <c r="AL121" s="803"/>
      <c r="AM121" s="803"/>
      <c r="AN121" s="803"/>
      <c r="AO121" s="803"/>
      <c r="AP121" s="803"/>
      <c r="AQ121" s="803"/>
      <c r="AR121" s="803"/>
      <c r="AS121" s="803"/>
      <c r="AT121" s="803"/>
      <c r="AU121" s="803"/>
      <c r="AV121" s="803"/>
      <c r="AW121" s="803"/>
      <c r="AX121" s="803"/>
      <c r="AY121" s="803"/>
      <c r="AZ121" s="803"/>
      <c r="BA121" s="803"/>
      <c r="BB121" s="803"/>
      <c r="BC121" s="803"/>
      <c r="BD121" s="803"/>
      <c r="BE121" s="803"/>
      <c r="BF121" s="803"/>
      <c r="BG121" s="803"/>
      <c r="BH121" s="803"/>
      <c r="BI121" s="803"/>
      <c r="BJ121" s="803"/>
      <c r="BK121" s="803"/>
      <c r="BL121" s="803"/>
      <c r="BM121" s="803"/>
      <c r="BN121" s="803"/>
      <c r="BO121" s="803"/>
      <c r="BP121" s="803"/>
      <c r="BQ121" s="803"/>
      <c r="BR121" s="803"/>
      <c r="BS121" s="803"/>
      <c r="BT121" s="803"/>
      <c r="BU121" s="803"/>
      <c r="BV121" s="803"/>
      <c r="BW121" s="803"/>
      <c r="BX121" s="803"/>
      <c r="BY121" s="803"/>
      <c r="BZ121" s="803"/>
      <c r="CA121" s="803"/>
      <c r="CB121" s="803"/>
      <c r="CC121" s="803"/>
      <c r="CD121" s="803"/>
      <c r="CE121" s="803"/>
      <c r="CF121" s="803"/>
      <c r="CG121" s="803"/>
      <c r="CH121" s="803"/>
      <c r="CI121" s="803"/>
      <c r="CJ121" s="803"/>
      <c r="CK121" s="803"/>
      <c r="CL121" s="803"/>
      <c r="CM121" s="803"/>
      <c r="CN121" s="803"/>
      <c r="CO121" s="803"/>
      <c r="CP121" s="803"/>
      <c r="CQ121" s="803"/>
      <c r="CR121" s="803"/>
      <c r="CS121" s="803"/>
      <c r="CT121" s="803"/>
      <c r="CU121" s="803"/>
      <c r="CV121" s="803"/>
      <c r="CW121" s="803"/>
      <c r="CX121" s="803"/>
      <c r="CY121" s="803"/>
      <c r="CZ121" s="803"/>
      <c r="DA121" s="803"/>
      <c r="DB121" s="803"/>
      <c r="DC121" s="803"/>
      <c r="DD121" s="803"/>
      <c r="DE121" s="803"/>
      <c r="DF121" s="803"/>
      <c r="DG121" s="803"/>
      <c r="DH121" s="803"/>
      <c r="DI121" s="803"/>
      <c r="DJ121" s="803"/>
      <c r="DK121" s="803"/>
      <c r="DL121" s="803"/>
      <c r="DM121" s="803"/>
      <c r="DN121" s="803"/>
      <c r="DO121" s="803"/>
      <c r="DP121" s="803"/>
      <c r="DQ121" s="803"/>
      <c r="DR121" s="803"/>
      <c r="DS121" s="803"/>
      <c r="DT121" s="803"/>
      <c r="DU121" s="803"/>
      <c r="DV121" s="803"/>
      <c r="DW121" s="803"/>
      <c r="DX121" s="803"/>
      <c r="DY121" s="803"/>
      <c r="DZ121" s="803"/>
      <c r="EA121" s="803"/>
      <c r="EB121" s="803"/>
      <c r="EC121" s="803"/>
      <c r="ED121" s="803"/>
      <c r="EE121" s="803"/>
      <c r="EF121" s="803"/>
      <c r="EG121" s="803"/>
      <c r="EH121" s="803"/>
      <c r="EI121" s="803"/>
      <c r="EJ121" s="803"/>
      <c r="EK121" s="803"/>
      <c r="EL121" s="803"/>
      <c r="EM121" s="803"/>
      <c r="EN121" s="803"/>
      <c r="EO121" s="803"/>
      <c r="EP121" s="803"/>
      <c r="EQ121" s="803"/>
      <c r="ER121" s="803"/>
      <c r="ES121" s="803"/>
      <c r="ET121" s="803"/>
      <c r="EU121" s="803"/>
      <c r="EV121" s="803"/>
      <c r="EW121" s="803"/>
      <c r="EX121" s="803"/>
      <c r="EY121" s="803"/>
      <c r="EZ121" s="803"/>
      <c r="FA121" s="803"/>
      <c r="FB121" s="803"/>
      <c r="FC121" s="803"/>
      <c r="FD121" s="803"/>
      <c r="FE121" s="803"/>
      <c r="FF121" s="803"/>
      <c r="FG121" s="803"/>
    </row>
  </sheetData>
  <mergeCells count="378">
    <mergeCell ref="B117:AT118"/>
    <mergeCell ref="BY117:FG118"/>
    <mergeCell ref="B119:AT120"/>
    <mergeCell ref="BY119:FG120"/>
    <mergeCell ref="B121:FG121"/>
    <mergeCell ref="B110:O112"/>
    <mergeCell ref="P110:AT112"/>
    <mergeCell ref="AU110:BX112"/>
    <mergeCell ref="DJ110:FG112"/>
    <mergeCell ref="B113:AT114"/>
    <mergeCell ref="AU113:BX114"/>
    <mergeCell ref="DJ113:FG116"/>
    <mergeCell ref="B115:AT116"/>
    <mergeCell ref="AU115:BX116"/>
    <mergeCell ref="B104:O106"/>
    <mergeCell ref="P104:AT106"/>
    <mergeCell ref="AU104:BX105"/>
    <mergeCell ref="BY104:DI105"/>
    <mergeCell ref="DJ104:FG106"/>
    <mergeCell ref="AU106:BX109"/>
    <mergeCell ref="BY106:DI107"/>
    <mergeCell ref="B107:O109"/>
    <mergeCell ref="P107:AT109"/>
    <mergeCell ref="DJ107:FG109"/>
    <mergeCell ref="DJ98:FG100"/>
    <mergeCell ref="AU99:BX100"/>
    <mergeCell ref="BY99:CQ101"/>
    <mergeCell ref="CR99:DI101"/>
    <mergeCell ref="B101:O103"/>
    <mergeCell ref="P101:AT103"/>
    <mergeCell ref="AU101:BX103"/>
    <mergeCell ref="DJ101:FG103"/>
    <mergeCell ref="BY102:DI103"/>
    <mergeCell ref="B87:AT88"/>
    <mergeCell ref="AU88:BS89"/>
    <mergeCell ref="BT88:BX89"/>
    <mergeCell ref="BY88:DI89"/>
    <mergeCell ref="B89:AT90"/>
    <mergeCell ref="DJ89:FG91"/>
    <mergeCell ref="AU90:BS91"/>
    <mergeCell ref="BT90:BX91"/>
    <mergeCell ref="BY90:DI91"/>
    <mergeCell ref="B91:AT94"/>
    <mergeCell ref="AU92:BS93"/>
    <mergeCell ref="BT92:BX93"/>
    <mergeCell ref="BY92:DI95"/>
    <mergeCell ref="DJ92:FG94"/>
    <mergeCell ref="AU94:BS95"/>
    <mergeCell ref="BT94:BX95"/>
    <mergeCell ref="B95:O97"/>
    <mergeCell ref="P95:AT97"/>
    <mergeCell ref="DJ95:FG97"/>
    <mergeCell ref="AU96:BX98"/>
    <mergeCell ref="BY96:CQ98"/>
    <mergeCell ref="CR96:DI98"/>
    <mergeCell ref="B98:O100"/>
    <mergeCell ref="P98:AT100"/>
    <mergeCell ref="DJ77:FG79"/>
    <mergeCell ref="AU78:BS79"/>
    <mergeCell ref="BT78:BX79"/>
    <mergeCell ref="B79:AG80"/>
    <mergeCell ref="AH79:AT82"/>
    <mergeCell ref="AU80:BS81"/>
    <mergeCell ref="BT80:BX81"/>
    <mergeCell ref="BY80:DA82"/>
    <mergeCell ref="DB80:DI82"/>
    <mergeCell ref="DJ80:FG82"/>
    <mergeCell ref="B81:AG82"/>
    <mergeCell ref="AU82:BS83"/>
    <mergeCell ref="BT82:BX83"/>
    <mergeCell ref="B83:AT84"/>
    <mergeCell ref="BY83:DA85"/>
    <mergeCell ref="DB83:DI85"/>
    <mergeCell ref="DJ83:FG85"/>
    <mergeCell ref="AU84:BS85"/>
    <mergeCell ref="BT84:BX85"/>
    <mergeCell ref="B85:AT86"/>
    <mergeCell ref="AU86:BS87"/>
    <mergeCell ref="BT86:BX87"/>
    <mergeCell ref="BY86:DI87"/>
    <mergeCell ref="DJ86:FG88"/>
    <mergeCell ref="B75:AG76"/>
    <mergeCell ref="AH75:AT76"/>
    <mergeCell ref="AU76:BS77"/>
    <mergeCell ref="BT76:BX77"/>
    <mergeCell ref="B77:AG78"/>
    <mergeCell ref="AH77:AT78"/>
    <mergeCell ref="DJ71:FG73"/>
    <mergeCell ref="AU72:BS73"/>
    <mergeCell ref="BT72:BX73"/>
    <mergeCell ref="B73:AG74"/>
    <mergeCell ref="AH73:AT74"/>
    <mergeCell ref="AU74:BS75"/>
    <mergeCell ref="BT74:BX75"/>
    <mergeCell ref="BY74:DA76"/>
    <mergeCell ref="DB74:DI76"/>
    <mergeCell ref="DJ74:FG76"/>
    <mergeCell ref="AU70:BS71"/>
    <mergeCell ref="BT70:BX71"/>
    <mergeCell ref="B71:AG72"/>
    <mergeCell ref="AH71:AT72"/>
    <mergeCell ref="BY71:DA73"/>
    <mergeCell ref="DB71:DI73"/>
    <mergeCell ref="BY77:DA79"/>
    <mergeCell ref="DB77:DI79"/>
    <mergeCell ref="B59:AT62"/>
    <mergeCell ref="AU59:BX62"/>
    <mergeCell ref="BY59:DI62"/>
    <mergeCell ref="DJ59:FG61"/>
    <mergeCell ref="DJ62:FG64"/>
    <mergeCell ref="B63:AT64"/>
    <mergeCell ref="AU63:BX64"/>
    <mergeCell ref="BY63:DI64"/>
    <mergeCell ref="B65:AG66"/>
    <mergeCell ref="AH65:AT66"/>
    <mergeCell ref="AU65:BS67"/>
    <mergeCell ref="BT65:BX67"/>
    <mergeCell ref="BY65:DA67"/>
    <mergeCell ref="DB65:DI67"/>
    <mergeCell ref="DJ65:FG67"/>
    <mergeCell ref="B67:AG68"/>
    <mergeCell ref="AH67:AT68"/>
    <mergeCell ref="AU68:BS69"/>
    <mergeCell ref="BT68:BX69"/>
    <mergeCell ref="BY68:DA70"/>
    <mergeCell ref="DB68:DI70"/>
    <mergeCell ref="DJ68:FG70"/>
    <mergeCell ref="B69:AG70"/>
    <mergeCell ref="AH69:AT70"/>
    <mergeCell ref="M53:AB54"/>
    <mergeCell ref="AC53:AG54"/>
    <mergeCell ref="AH53:AK54"/>
    <mergeCell ref="AL53:AP54"/>
    <mergeCell ref="AQ53:AT54"/>
    <mergeCell ref="AU53:BX54"/>
    <mergeCell ref="BY53:DI56"/>
    <mergeCell ref="DJ53:FG55"/>
    <mergeCell ref="B55:AT56"/>
    <mergeCell ref="B47:L54"/>
    <mergeCell ref="AU55:BX56"/>
    <mergeCell ref="DJ56:FG58"/>
    <mergeCell ref="B57:AT58"/>
    <mergeCell ref="AU57:BX58"/>
    <mergeCell ref="BY57:DI58"/>
    <mergeCell ref="EZ49:FG50"/>
    <mergeCell ref="M51:AB52"/>
    <mergeCell ref="AC51:AG52"/>
    <mergeCell ref="AH51:AK52"/>
    <mergeCell ref="AL51:AP52"/>
    <mergeCell ref="AQ51:AT52"/>
    <mergeCell ref="AU51:BB52"/>
    <mergeCell ref="BC51:BP52"/>
    <mergeCell ref="BQ51:BX52"/>
    <mergeCell ref="BY51:DI52"/>
    <mergeCell ref="DJ51:FG52"/>
    <mergeCell ref="AC49:AG50"/>
    <mergeCell ref="AH49:AK50"/>
    <mergeCell ref="AL49:AP50"/>
    <mergeCell ref="AQ49:AT50"/>
    <mergeCell ref="EA49:EQ50"/>
    <mergeCell ref="ER49:EY50"/>
    <mergeCell ref="M47:AB48"/>
    <mergeCell ref="AC47:AG48"/>
    <mergeCell ref="AH47:AK48"/>
    <mergeCell ref="AL47:AP48"/>
    <mergeCell ref="AQ47:AT48"/>
    <mergeCell ref="EZ43:FG44"/>
    <mergeCell ref="M45:AB46"/>
    <mergeCell ref="AC45:AG46"/>
    <mergeCell ref="AH45:AK46"/>
    <mergeCell ref="AL45:AP46"/>
    <mergeCell ref="AQ45:AT46"/>
    <mergeCell ref="BY45:DI46"/>
    <mergeCell ref="EA45:EQ46"/>
    <mergeCell ref="ER45:EY46"/>
    <mergeCell ref="EZ45:FG46"/>
    <mergeCell ref="AU43:BD46"/>
    <mergeCell ref="BE43:BJ46"/>
    <mergeCell ref="BR43:BX46"/>
    <mergeCell ref="BY43:DI44"/>
    <mergeCell ref="DQ43:DZ50"/>
    <mergeCell ref="EA43:EQ44"/>
    <mergeCell ref="AU47:BB50"/>
    <mergeCell ref="BC47:BP50"/>
    <mergeCell ref="BQ47:BX50"/>
    <mergeCell ref="BY47:DI50"/>
    <mergeCell ref="EA47:EQ48"/>
    <mergeCell ref="ER47:EY48"/>
    <mergeCell ref="EZ47:FG48"/>
    <mergeCell ref="M49:AB50"/>
    <mergeCell ref="M43:AB44"/>
    <mergeCell ref="AC43:AG44"/>
    <mergeCell ref="AH43:AK44"/>
    <mergeCell ref="AL43:AP44"/>
    <mergeCell ref="AQ43:AT44"/>
    <mergeCell ref="AU39:BD42"/>
    <mergeCell ref="BE39:BJ42"/>
    <mergeCell ref="BR39:BX42"/>
    <mergeCell ref="EA39:EQ40"/>
    <mergeCell ref="AH39:AK40"/>
    <mergeCell ref="AL39:AP40"/>
    <mergeCell ref="AQ39:AT40"/>
    <mergeCell ref="M41:AB42"/>
    <mergeCell ref="AC41:AG42"/>
    <mergeCell ref="AH41:AK42"/>
    <mergeCell ref="AL41:AP42"/>
    <mergeCell ref="AQ41:AT42"/>
    <mergeCell ref="BY41:DI42"/>
    <mergeCell ref="ER35:EY36"/>
    <mergeCell ref="EZ35:FG36"/>
    <mergeCell ref="CM36:DC40"/>
    <mergeCell ref="DD36:DI40"/>
    <mergeCell ref="ER37:EY38"/>
    <mergeCell ref="EZ37:FG38"/>
    <mergeCell ref="ER43:EY44"/>
    <mergeCell ref="EA33:EQ34"/>
    <mergeCell ref="ER33:EY34"/>
    <mergeCell ref="EZ33:FG34"/>
    <mergeCell ref="CM31:DC35"/>
    <mergeCell ref="DD31:DI35"/>
    <mergeCell ref="EA31:EQ32"/>
    <mergeCell ref="ER31:EY32"/>
    <mergeCell ref="EZ31:FG32"/>
    <mergeCell ref="EA37:EQ38"/>
    <mergeCell ref="DJ35:DP50"/>
    <mergeCell ref="DQ35:DZ42"/>
    <mergeCell ref="EA35:EQ36"/>
    <mergeCell ref="EA41:EQ42"/>
    <mergeCell ref="ER41:EY42"/>
    <mergeCell ref="EZ41:FG42"/>
    <mergeCell ref="ER39:EY40"/>
    <mergeCell ref="EZ39:FG40"/>
    <mergeCell ref="B31:L38"/>
    <mergeCell ref="M31:AB32"/>
    <mergeCell ref="AC31:AG32"/>
    <mergeCell ref="AH31:AK32"/>
    <mergeCell ref="AL31:AP32"/>
    <mergeCell ref="AQ31:AT32"/>
    <mergeCell ref="AU31:BD34"/>
    <mergeCell ref="BE31:BJ38"/>
    <mergeCell ref="BR31:BX38"/>
    <mergeCell ref="M37:AB38"/>
    <mergeCell ref="AC37:AG38"/>
    <mergeCell ref="AH37:AK38"/>
    <mergeCell ref="AL37:AP38"/>
    <mergeCell ref="AQ37:AT38"/>
    <mergeCell ref="M35:AB36"/>
    <mergeCell ref="AC35:AG36"/>
    <mergeCell ref="AH35:AK36"/>
    <mergeCell ref="AL35:AP36"/>
    <mergeCell ref="AQ35:AT36"/>
    <mergeCell ref="AU35:BD38"/>
    <mergeCell ref="BK35:BQ46"/>
    <mergeCell ref="B39:L46"/>
    <mergeCell ref="M39:AB40"/>
    <mergeCell ref="AC39:AG40"/>
    <mergeCell ref="EZ27:FG28"/>
    <mergeCell ref="M29:AB30"/>
    <mergeCell ref="AC29:AG30"/>
    <mergeCell ref="AH29:AK30"/>
    <mergeCell ref="AL29:AP30"/>
    <mergeCell ref="AQ29:AT30"/>
    <mergeCell ref="EA29:EQ30"/>
    <mergeCell ref="ER29:EY30"/>
    <mergeCell ref="M33:AB34"/>
    <mergeCell ref="AC33:AG34"/>
    <mergeCell ref="AH33:AK34"/>
    <mergeCell ref="AL33:AP34"/>
    <mergeCell ref="AQ33:AT34"/>
    <mergeCell ref="EZ29:FG30"/>
    <mergeCell ref="EZ21:FG22"/>
    <mergeCell ref="B23:L30"/>
    <mergeCell ref="M23:AB24"/>
    <mergeCell ref="AC23:AG24"/>
    <mergeCell ref="AH23:AK24"/>
    <mergeCell ref="AL23:AP24"/>
    <mergeCell ref="AQ23:AT24"/>
    <mergeCell ref="EA23:EQ24"/>
    <mergeCell ref="ER23:EY24"/>
    <mergeCell ref="EZ23:FG24"/>
    <mergeCell ref="ER25:EY26"/>
    <mergeCell ref="EZ25:FG26"/>
    <mergeCell ref="M27:AB28"/>
    <mergeCell ref="AC27:AG28"/>
    <mergeCell ref="AH27:AK28"/>
    <mergeCell ref="AL27:AP28"/>
    <mergeCell ref="AQ27:AT28"/>
    <mergeCell ref="AU27:BD30"/>
    <mergeCell ref="BK27:BQ34"/>
    <mergeCell ref="DJ27:DZ34"/>
    <mergeCell ref="M25:AB26"/>
    <mergeCell ref="AC25:AG26"/>
    <mergeCell ref="AH25:AK26"/>
    <mergeCell ref="AL25:AP26"/>
    <mergeCell ref="EZ19:FG20"/>
    <mergeCell ref="M21:AB22"/>
    <mergeCell ref="AC21:AG22"/>
    <mergeCell ref="AH21:AK22"/>
    <mergeCell ref="AL21:AP22"/>
    <mergeCell ref="AQ21:AT22"/>
    <mergeCell ref="AU21:BD26"/>
    <mergeCell ref="BK21:BQ26"/>
    <mergeCell ref="EA21:EQ22"/>
    <mergeCell ref="ER21:EY22"/>
    <mergeCell ref="CH19:CL24"/>
    <mergeCell ref="CM19:DC24"/>
    <mergeCell ref="DD19:DI24"/>
    <mergeCell ref="DJ19:DZ26"/>
    <mergeCell ref="EA19:EQ20"/>
    <mergeCell ref="ER19:EY20"/>
    <mergeCell ref="CH25:CL30"/>
    <mergeCell ref="CM25:DC30"/>
    <mergeCell ref="DD25:DI30"/>
    <mergeCell ref="EA25:EQ26"/>
    <mergeCell ref="M19:AB20"/>
    <mergeCell ref="AC19:AG20"/>
    <mergeCell ref="AH19:AK20"/>
    <mergeCell ref="AL19:AP20"/>
    <mergeCell ref="AH17:AK18"/>
    <mergeCell ref="AL17:AP18"/>
    <mergeCell ref="AQ17:AT18"/>
    <mergeCell ref="CH15:CL18"/>
    <mergeCell ref="CM15:DC18"/>
    <mergeCell ref="DD15:DI18"/>
    <mergeCell ref="DJ15:DZ18"/>
    <mergeCell ref="EA15:EQ18"/>
    <mergeCell ref="ER15:EY18"/>
    <mergeCell ref="AQ15:AT16"/>
    <mergeCell ref="AU15:BD20"/>
    <mergeCell ref="BE15:BJ30"/>
    <mergeCell ref="BK15:BQ20"/>
    <mergeCell ref="BR15:BX30"/>
    <mergeCell ref="BY15:CG18"/>
    <mergeCell ref="AQ25:AT26"/>
    <mergeCell ref="BY25:CG30"/>
    <mergeCell ref="EA27:EQ28"/>
    <mergeCell ref="ER27:EY28"/>
    <mergeCell ref="B15:L22"/>
    <mergeCell ref="M15:AB16"/>
    <mergeCell ref="AC15:AG16"/>
    <mergeCell ref="AH15:AK16"/>
    <mergeCell ref="AL15:AP16"/>
    <mergeCell ref="BR7:BX14"/>
    <mergeCell ref="BY7:DI10"/>
    <mergeCell ref="DJ7:DZ10"/>
    <mergeCell ref="EA7:FG10"/>
    <mergeCell ref="B9:L10"/>
    <mergeCell ref="AC9:AG14"/>
    <mergeCell ref="AH9:AK14"/>
    <mergeCell ref="AL9:AP14"/>
    <mergeCell ref="AQ9:AT14"/>
    <mergeCell ref="AU9:BD10"/>
    <mergeCell ref="B7:L8"/>
    <mergeCell ref="M7:AB10"/>
    <mergeCell ref="AC7:AK8"/>
    <mergeCell ref="AL7:AT8"/>
    <mergeCell ref="AQ19:AT20"/>
    <mergeCell ref="BY19:CG24"/>
    <mergeCell ref="EZ15:FG18"/>
    <mergeCell ref="M17:AB18"/>
    <mergeCell ref="AC17:AG18"/>
    <mergeCell ref="AU7:BD8"/>
    <mergeCell ref="BE7:BQ8"/>
    <mergeCell ref="BE9:BJ14"/>
    <mergeCell ref="BK9:BQ1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s>
  <phoneticPr fontId="2"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showFormulas="1" workbookViewId="0">
      <pane ySplit="2" topLeftCell="A3" activePane="bottomLeft" state="frozen"/>
      <selection pane="bottomLeft" activeCell="G26" sqref="G26"/>
    </sheetView>
  </sheetViews>
  <sheetFormatPr defaultRowHeight="24" customHeight="1"/>
  <cols>
    <col min="1" max="2" width="16.125" style="226" customWidth="1"/>
    <col min="3" max="4" width="16.125" style="209" customWidth="1"/>
    <col min="5" max="256" width="9" style="209"/>
    <col min="257" max="260" width="16.125" style="209" customWidth="1"/>
    <col min="261" max="512" width="9" style="209"/>
    <col min="513" max="516" width="16.125" style="209" customWidth="1"/>
    <col min="517" max="768" width="9" style="209"/>
    <col min="769" max="772" width="16.125" style="209" customWidth="1"/>
    <col min="773" max="1024" width="9" style="209"/>
    <col min="1025" max="1028" width="16.125" style="209" customWidth="1"/>
    <col min="1029" max="1280" width="9" style="209"/>
    <col min="1281" max="1284" width="16.125" style="209" customWidth="1"/>
    <col min="1285" max="1536" width="9" style="209"/>
    <col min="1537" max="1540" width="16.125" style="209" customWidth="1"/>
    <col min="1541" max="1792" width="9" style="209"/>
    <col min="1793" max="1796" width="16.125" style="209" customWidth="1"/>
    <col min="1797" max="2048" width="9" style="209"/>
    <col min="2049" max="2052" width="16.125" style="209" customWidth="1"/>
    <col min="2053" max="2304" width="9" style="209"/>
    <col min="2305" max="2308" width="16.125" style="209" customWidth="1"/>
    <col min="2309" max="2560" width="9" style="209"/>
    <col min="2561" max="2564" width="16.125" style="209" customWidth="1"/>
    <col min="2565" max="2816" width="9" style="209"/>
    <col min="2817" max="2820" width="16.125" style="209" customWidth="1"/>
    <col min="2821" max="3072" width="9" style="209"/>
    <col min="3073" max="3076" width="16.125" style="209" customWidth="1"/>
    <col min="3077" max="3328" width="9" style="209"/>
    <col min="3329" max="3332" width="16.125" style="209" customWidth="1"/>
    <col min="3333" max="3584" width="9" style="209"/>
    <col min="3585" max="3588" width="16.125" style="209" customWidth="1"/>
    <col min="3589" max="3840" width="9" style="209"/>
    <col min="3841" max="3844" width="16.125" style="209" customWidth="1"/>
    <col min="3845" max="4096" width="9" style="209"/>
    <col min="4097" max="4100" width="16.125" style="209" customWidth="1"/>
    <col min="4101" max="4352" width="9" style="209"/>
    <col min="4353" max="4356" width="16.125" style="209" customWidth="1"/>
    <col min="4357" max="4608" width="9" style="209"/>
    <col min="4609" max="4612" width="16.125" style="209" customWidth="1"/>
    <col min="4613" max="4864" width="9" style="209"/>
    <col min="4865" max="4868" width="16.125" style="209" customWidth="1"/>
    <col min="4869" max="5120" width="9" style="209"/>
    <col min="5121" max="5124" width="16.125" style="209" customWidth="1"/>
    <col min="5125" max="5376" width="9" style="209"/>
    <col min="5377" max="5380" width="16.125" style="209" customWidth="1"/>
    <col min="5381" max="5632" width="9" style="209"/>
    <col min="5633" max="5636" width="16.125" style="209" customWidth="1"/>
    <col min="5637" max="5888" width="9" style="209"/>
    <col min="5889" max="5892" width="16.125" style="209" customWidth="1"/>
    <col min="5893" max="6144" width="9" style="209"/>
    <col min="6145" max="6148" width="16.125" style="209" customWidth="1"/>
    <col min="6149" max="6400" width="9" style="209"/>
    <col min="6401" max="6404" width="16.125" style="209" customWidth="1"/>
    <col min="6405" max="6656" width="9" style="209"/>
    <col min="6657" max="6660" width="16.125" style="209" customWidth="1"/>
    <col min="6661" max="6912" width="9" style="209"/>
    <col min="6913" max="6916" width="16.125" style="209" customWidth="1"/>
    <col min="6917" max="7168" width="9" style="209"/>
    <col min="7169" max="7172" width="16.125" style="209" customWidth="1"/>
    <col min="7173" max="7424" width="9" style="209"/>
    <col min="7425" max="7428" width="16.125" style="209" customWidth="1"/>
    <col min="7429" max="7680" width="9" style="209"/>
    <col min="7681" max="7684" width="16.125" style="209" customWidth="1"/>
    <col min="7685" max="7936" width="9" style="209"/>
    <col min="7937" max="7940" width="16.125" style="209" customWidth="1"/>
    <col min="7941" max="8192" width="9" style="209"/>
    <col min="8193" max="8196" width="16.125" style="209" customWidth="1"/>
    <col min="8197" max="8448" width="9" style="209"/>
    <col min="8449" max="8452" width="16.125" style="209" customWidth="1"/>
    <col min="8453" max="8704" width="9" style="209"/>
    <col min="8705" max="8708" width="16.125" style="209" customWidth="1"/>
    <col min="8709" max="8960" width="9" style="209"/>
    <col min="8961" max="8964" width="16.125" style="209" customWidth="1"/>
    <col min="8965" max="9216" width="9" style="209"/>
    <col min="9217" max="9220" width="16.125" style="209" customWidth="1"/>
    <col min="9221" max="9472" width="9" style="209"/>
    <col min="9473" max="9476" width="16.125" style="209" customWidth="1"/>
    <col min="9477" max="9728" width="9" style="209"/>
    <col min="9729" max="9732" width="16.125" style="209" customWidth="1"/>
    <col min="9733" max="9984" width="9" style="209"/>
    <col min="9985" max="9988" width="16.125" style="209" customWidth="1"/>
    <col min="9989" max="10240" width="9" style="209"/>
    <col min="10241" max="10244" width="16.125" style="209" customWidth="1"/>
    <col min="10245" max="10496" width="9" style="209"/>
    <col min="10497" max="10500" width="16.125" style="209" customWidth="1"/>
    <col min="10501" max="10752" width="9" style="209"/>
    <col min="10753" max="10756" width="16.125" style="209" customWidth="1"/>
    <col min="10757" max="11008" width="9" style="209"/>
    <col min="11009" max="11012" width="16.125" style="209" customWidth="1"/>
    <col min="11013" max="11264" width="9" style="209"/>
    <col min="11265" max="11268" width="16.125" style="209" customWidth="1"/>
    <col min="11269" max="11520" width="9" style="209"/>
    <col min="11521" max="11524" width="16.125" style="209" customWidth="1"/>
    <col min="11525" max="11776" width="9" style="209"/>
    <col min="11777" max="11780" width="16.125" style="209" customWidth="1"/>
    <col min="11781" max="12032" width="9" style="209"/>
    <col min="12033" max="12036" width="16.125" style="209" customWidth="1"/>
    <col min="12037" max="12288" width="9" style="209"/>
    <col min="12289" max="12292" width="16.125" style="209" customWidth="1"/>
    <col min="12293" max="12544" width="9" style="209"/>
    <col min="12545" max="12548" width="16.125" style="209" customWidth="1"/>
    <col min="12549" max="12800" width="9" style="209"/>
    <col min="12801" max="12804" width="16.125" style="209" customWidth="1"/>
    <col min="12805" max="13056" width="9" style="209"/>
    <col min="13057" max="13060" width="16.125" style="209" customWidth="1"/>
    <col min="13061" max="13312" width="9" style="209"/>
    <col min="13313" max="13316" width="16.125" style="209" customWidth="1"/>
    <col min="13317" max="13568" width="9" style="209"/>
    <col min="13569" max="13572" width="16.125" style="209" customWidth="1"/>
    <col min="13573" max="13824" width="9" style="209"/>
    <col min="13825" max="13828" width="16.125" style="209" customWidth="1"/>
    <col min="13829" max="14080" width="9" style="209"/>
    <col min="14081" max="14084" width="16.125" style="209" customWidth="1"/>
    <col min="14085" max="14336" width="9" style="209"/>
    <col min="14337" max="14340" width="16.125" style="209" customWidth="1"/>
    <col min="14341" max="14592" width="9" style="209"/>
    <col min="14593" max="14596" width="16.125" style="209" customWidth="1"/>
    <col min="14597" max="14848" width="9" style="209"/>
    <col min="14849" max="14852" width="16.125" style="209" customWidth="1"/>
    <col min="14853" max="15104" width="9" style="209"/>
    <col min="15105" max="15108" width="16.125" style="209" customWidth="1"/>
    <col min="15109" max="15360" width="9" style="209"/>
    <col min="15361" max="15364" width="16.125" style="209" customWidth="1"/>
    <col min="15365" max="15616" width="9" style="209"/>
    <col min="15617" max="15620" width="16.125" style="209" customWidth="1"/>
    <col min="15621" max="15872" width="9" style="209"/>
    <col min="15873" max="15876" width="16.125" style="209" customWidth="1"/>
    <col min="15877" max="16128" width="9" style="209"/>
    <col min="16129" max="16132" width="16.125" style="209" customWidth="1"/>
    <col min="16133" max="16384" width="9" style="209"/>
  </cols>
  <sheetData>
    <row r="1" spans="1:4" ht="24" customHeight="1">
      <c r="A1" s="206" t="s">
        <v>2763</v>
      </c>
    </row>
    <row r="2" spans="1:4" ht="24" customHeight="1">
      <c r="A2" s="210" t="s">
        <v>2759</v>
      </c>
      <c r="B2" s="210" t="s">
        <v>2760</v>
      </c>
      <c r="C2" s="211" t="s">
        <v>2761</v>
      </c>
      <c r="D2" s="210" t="s">
        <v>2762</v>
      </c>
    </row>
    <row r="3" spans="1:4" ht="24" customHeight="1">
      <c r="A3" s="218" t="s">
        <v>2764</v>
      </c>
      <c r="B3" s="218" t="s">
        <v>2765</v>
      </c>
      <c r="C3" s="214" t="s">
        <v>2766</v>
      </c>
      <c r="D3" s="218" t="s">
        <v>68</v>
      </c>
    </row>
    <row r="4" spans="1:4" ht="24" customHeight="1">
      <c r="A4" s="218" t="s">
        <v>2767</v>
      </c>
      <c r="B4" s="218" t="s">
        <v>2768</v>
      </c>
      <c r="C4" s="214">
        <v>1180</v>
      </c>
      <c r="D4" s="218" t="s">
        <v>2769</v>
      </c>
    </row>
    <row r="5" spans="1:4" ht="24" customHeight="1">
      <c r="A5" s="218" t="s">
        <v>2770</v>
      </c>
      <c r="B5" s="218" t="s">
        <v>2768</v>
      </c>
      <c r="C5" s="214">
        <v>1180</v>
      </c>
      <c r="D5" s="218" t="s">
        <v>2771</v>
      </c>
    </row>
    <row r="6" spans="1:4" ht="24" customHeight="1">
      <c r="A6" s="218" t="s">
        <v>2772</v>
      </c>
      <c r="B6" s="218" t="s">
        <v>2768</v>
      </c>
      <c r="C6" s="214">
        <v>13.2</v>
      </c>
      <c r="D6" s="218" t="s">
        <v>2773</v>
      </c>
    </row>
    <row r="7" spans="1:4" ht="24" customHeight="1">
      <c r="A7" s="218" t="s">
        <v>2774</v>
      </c>
      <c r="B7" s="218" t="s">
        <v>2768</v>
      </c>
      <c r="C7" s="214">
        <v>724.05</v>
      </c>
      <c r="D7" s="218" t="s">
        <v>2775</v>
      </c>
    </row>
    <row r="8" spans="1:4" ht="24" customHeight="1">
      <c r="A8" s="218" t="s">
        <v>2776</v>
      </c>
      <c r="B8" s="218" t="s">
        <v>2768</v>
      </c>
      <c r="C8" s="214">
        <v>1000</v>
      </c>
      <c r="D8" s="218" t="s">
        <v>2777</v>
      </c>
    </row>
    <row r="9" spans="1:4" ht="24" customHeight="1">
      <c r="A9" s="218" t="s">
        <v>2778</v>
      </c>
      <c r="B9" s="218" t="s">
        <v>2768</v>
      </c>
      <c r="C9" s="214">
        <v>1580</v>
      </c>
      <c r="D9" s="218" t="s">
        <v>2779</v>
      </c>
    </row>
    <row r="10" spans="1:4" ht="24" customHeight="1">
      <c r="A10" s="218" t="s">
        <v>2780</v>
      </c>
      <c r="B10" s="218" t="s">
        <v>2765</v>
      </c>
      <c r="C10" s="214" t="s">
        <v>2781</v>
      </c>
      <c r="D10" s="218" t="s">
        <v>2782</v>
      </c>
    </row>
    <row r="11" spans="1:4" ht="24" customHeight="1">
      <c r="A11" s="218" t="s">
        <v>2783</v>
      </c>
      <c r="B11" s="218" t="s">
        <v>2765</v>
      </c>
      <c r="C11" s="214" t="s">
        <v>2781</v>
      </c>
      <c r="D11" s="218" t="s">
        <v>2784</v>
      </c>
    </row>
    <row r="12" spans="1:4" ht="24" customHeight="1">
      <c r="A12" s="218" t="s">
        <v>2785</v>
      </c>
      <c r="B12" s="218" t="s">
        <v>2765</v>
      </c>
      <c r="C12" s="214" t="s">
        <v>2786</v>
      </c>
      <c r="D12" s="218" t="s">
        <v>2787</v>
      </c>
    </row>
    <row r="13" spans="1:4" ht="24" customHeight="1">
      <c r="A13" s="218" t="s">
        <v>2788</v>
      </c>
      <c r="B13" s="218" t="s">
        <v>2768</v>
      </c>
      <c r="C13" s="214">
        <v>1.25</v>
      </c>
      <c r="D13" s="218" t="s">
        <v>2789</v>
      </c>
    </row>
    <row r="14" spans="1:4" ht="24" customHeight="1">
      <c r="A14" s="218" t="s">
        <v>2790</v>
      </c>
      <c r="B14" s="218" t="s">
        <v>2768</v>
      </c>
      <c r="C14" s="214">
        <v>1.071</v>
      </c>
      <c r="D14" s="218" t="s">
        <v>2791</v>
      </c>
    </row>
    <row r="15" spans="1:4" ht="24" customHeight="1">
      <c r="A15" s="218" t="s">
        <v>2792</v>
      </c>
      <c r="B15" s="218" t="s">
        <v>2765</v>
      </c>
      <c r="C15" s="214" t="s">
        <v>2793</v>
      </c>
      <c r="D15" s="218" t="s">
        <v>2794</v>
      </c>
    </row>
    <row r="16" spans="1:4" ht="24" customHeight="1">
      <c r="A16" s="218" t="s">
        <v>2795</v>
      </c>
      <c r="B16" s="218" t="s">
        <v>2765</v>
      </c>
      <c r="C16" s="214" t="s">
        <v>2793</v>
      </c>
      <c r="D16" s="218" t="s">
        <v>2796</v>
      </c>
    </row>
    <row r="17" spans="1:4" ht="24" customHeight="1">
      <c r="A17" s="218" t="s">
        <v>2797</v>
      </c>
      <c r="B17" s="218" t="s">
        <v>2765</v>
      </c>
      <c r="C17" s="214" t="s">
        <v>2793</v>
      </c>
      <c r="D17" s="218" t="s">
        <v>2798</v>
      </c>
    </row>
    <row r="18" spans="1:4" ht="24" customHeight="1">
      <c r="A18" s="218" t="s">
        <v>2799</v>
      </c>
      <c r="B18" s="218" t="s">
        <v>2765</v>
      </c>
      <c r="C18" s="212">
        <f t="shared" ref="C18:C23" si="0">25/20 * 16/12 * 1/8</f>
        <v>0.20833333333333334</v>
      </c>
      <c r="D18" s="218" t="s">
        <v>2800</v>
      </c>
    </row>
    <row r="19" spans="1:4" ht="24" customHeight="1">
      <c r="A19" s="218" t="s">
        <v>2801</v>
      </c>
      <c r="B19" s="218" t="s">
        <v>2765</v>
      </c>
      <c r="C19" s="212">
        <f t="shared" si="0"/>
        <v>0.20833333333333334</v>
      </c>
      <c r="D19" s="218" t="s">
        <v>2802</v>
      </c>
    </row>
    <row r="20" spans="1:4" ht="24" customHeight="1">
      <c r="A20" s="218" t="s">
        <v>2803</v>
      </c>
      <c r="B20" s="218" t="s">
        <v>2765</v>
      </c>
      <c r="C20" s="212">
        <f t="shared" si="0"/>
        <v>0.20833333333333334</v>
      </c>
      <c r="D20" s="218" t="s">
        <v>2804</v>
      </c>
    </row>
    <row r="21" spans="1:4" ht="24" customHeight="1">
      <c r="A21" s="218" t="s">
        <v>2805</v>
      </c>
      <c r="B21" s="218" t="s">
        <v>2765</v>
      </c>
      <c r="C21" s="212">
        <f t="shared" si="0"/>
        <v>0.20833333333333334</v>
      </c>
      <c r="D21" s="218" t="s">
        <v>2806</v>
      </c>
    </row>
    <row r="22" spans="1:4" ht="24" customHeight="1">
      <c r="A22" s="218" t="s">
        <v>2807</v>
      </c>
      <c r="B22" s="218" t="s">
        <v>2765</v>
      </c>
      <c r="C22" s="212">
        <f t="shared" si="0"/>
        <v>0.20833333333333334</v>
      </c>
      <c r="D22" s="218" t="s">
        <v>2808</v>
      </c>
    </row>
    <row r="23" spans="1:4" ht="24" customHeight="1">
      <c r="A23" s="218" t="s">
        <v>2809</v>
      </c>
      <c r="B23" s="218" t="s">
        <v>2765</v>
      </c>
      <c r="C23" s="212">
        <f t="shared" si="0"/>
        <v>0.20833333333333334</v>
      </c>
      <c r="D23" s="218" t="s">
        <v>2810</v>
      </c>
    </row>
    <row r="24" spans="1:4" ht="24" customHeight="1">
      <c r="A24" s="218" t="s">
        <v>2811</v>
      </c>
      <c r="B24" s="218" t="s">
        <v>2768</v>
      </c>
      <c r="C24" s="214">
        <v>1</v>
      </c>
      <c r="D24" s="218" t="s">
        <v>2812</v>
      </c>
    </row>
    <row r="25" spans="1:4" ht="24" customHeight="1">
      <c r="A25" s="218" t="s">
        <v>2813</v>
      </c>
      <c r="B25" s="218" t="s">
        <v>2768</v>
      </c>
      <c r="C25" s="214">
        <v>1.5</v>
      </c>
      <c r="D25" s="218" t="s">
        <v>2814</v>
      </c>
    </row>
    <row r="26" spans="1:4" ht="24" customHeight="1">
      <c r="A26" s="218" t="s">
        <v>2815</v>
      </c>
      <c r="B26" s="218" t="s">
        <v>2768</v>
      </c>
      <c r="C26" s="214">
        <v>1.1599999999999999</v>
      </c>
      <c r="D26" s="218" t="s">
        <v>2816</v>
      </c>
    </row>
    <row r="27" spans="1:4" ht="24" customHeight="1">
      <c r="A27" s="218" t="s">
        <v>2817</v>
      </c>
      <c r="B27" s="218" t="s">
        <v>2768</v>
      </c>
      <c r="C27" s="214">
        <v>1.6</v>
      </c>
      <c r="D27" s="218" t="s">
        <v>2818</v>
      </c>
    </row>
    <row r="28" spans="1:4" ht="24" customHeight="1">
      <c r="A28" s="218" t="s">
        <v>2819</v>
      </c>
      <c r="B28" s="218" t="s">
        <v>2768</v>
      </c>
      <c r="C28" s="214">
        <v>1.6</v>
      </c>
      <c r="D28" s="218" t="s">
        <v>2820</v>
      </c>
    </row>
    <row r="29" spans="1:4" ht="24" customHeight="1">
      <c r="A29" s="218" t="s">
        <v>2821</v>
      </c>
      <c r="B29" s="218" t="s">
        <v>2768</v>
      </c>
      <c r="C29" s="214">
        <v>1.6</v>
      </c>
      <c r="D29" s="218" t="s">
        <v>2822</v>
      </c>
    </row>
    <row r="30" spans="1:4" ht="24" customHeight="1">
      <c r="A30" s="218" t="s">
        <v>2823</v>
      </c>
      <c r="B30" s="218" t="s">
        <v>2768</v>
      </c>
      <c r="C30" s="214">
        <v>1.94</v>
      </c>
      <c r="D30" s="218" t="s">
        <v>2824</v>
      </c>
    </row>
    <row r="31" spans="1:4" ht="24" customHeight="1">
      <c r="A31" s="218" t="s">
        <v>2825</v>
      </c>
      <c r="B31" s="218" t="s">
        <v>2768</v>
      </c>
      <c r="C31" s="214">
        <v>1.94</v>
      </c>
      <c r="D31" s="218" t="s">
        <v>2826</v>
      </c>
    </row>
    <row r="32" spans="1:4" ht="24" customHeight="1">
      <c r="A32" s="218" t="s">
        <v>2827</v>
      </c>
      <c r="B32" s="218" t="s">
        <v>2768</v>
      </c>
      <c r="C32" s="214">
        <v>1.94</v>
      </c>
      <c r="D32" s="218" t="s">
        <v>2828</v>
      </c>
    </row>
    <row r="33" spans="1:4" ht="24" customHeight="1">
      <c r="A33" s="218" t="s">
        <v>2829</v>
      </c>
      <c r="B33" s="218" t="s">
        <v>2768</v>
      </c>
      <c r="C33" s="214">
        <v>1</v>
      </c>
      <c r="D33" s="218" t="s">
        <v>2830</v>
      </c>
    </row>
    <row r="34" spans="1:4" ht="24" customHeight="1">
      <c r="A34" s="218" t="s">
        <v>2831</v>
      </c>
      <c r="B34" s="218" t="s">
        <v>2768</v>
      </c>
      <c r="C34" s="214">
        <v>1</v>
      </c>
      <c r="D34" s="218" t="s">
        <v>2832</v>
      </c>
    </row>
    <row r="35" spans="1:4" ht="24" customHeight="1">
      <c r="A35" s="218" t="s">
        <v>2833</v>
      </c>
      <c r="B35" s="218" t="s">
        <v>2768</v>
      </c>
      <c r="C35" s="214">
        <v>1</v>
      </c>
      <c r="D35" s="218" t="s">
        <v>2834</v>
      </c>
    </row>
    <row r="36" spans="1:4" ht="24" customHeight="1">
      <c r="A36" s="218" t="s">
        <v>2835</v>
      </c>
      <c r="B36" s="218" t="s">
        <v>2765</v>
      </c>
      <c r="C36" s="214" t="s">
        <v>2793</v>
      </c>
      <c r="D36" s="218" t="s">
        <v>2836</v>
      </c>
    </row>
    <row r="37" spans="1:4" ht="24" customHeight="1">
      <c r="A37" s="218" t="s">
        <v>2837</v>
      </c>
      <c r="B37" s="218" t="s">
        <v>2765</v>
      </c>
      <c r="C37" s="214" t="s">
        <v>2793</v>
      </c>
      <c r="D37" s="218" t="s">
        <v>2838</v>
      </c>
    </row>
    <row r="38" spans="1:4" ht="24" customHeight="1">
      <c r="A38" s="218" t="s">
        <v>2839</v>
      </c>
      <c r="B38" s="218" t="s">
        <v>2765</v>
      </c>
      <c r="C38" s="214" t="s">
        <v>2793</v>
      </c>
      <c r="D38" s="218" t="s">
        <v>2840</v>
      </c>
    </row>
    <row r="39" spans="1:4" ht="24" customHeight="1">
      <c r="A39" s="218" t="s">
        <v>2841</v>
      </c>
      <c r="B39" s="218" t="s">
        <v>2768</v>
      </c>
      <c r="C39" s="214">
        <v>1.1100000000000001</v>
      </c>
      <c r="D39" s="218" t="s">
        <v>2842</v>
      </c>
    </row>
    <row r="40" spans="1:4" ht="24" customHeight="1">
      <c r="A40" s="218" t="s">
        <v>2843</v>
      </c>
      <c r="B40" s="218" t="s">
        <v>2768</v>
      </c>
      <c r="C40" s="214">
        <v>1.1200000000000001</v>
      </c>
      <c r="D40" s="218" t="s">
        <v>2844</v>
      </c>
    </row>
    <row r="41" spans="1:4" ht="24" customHeight="1">
      <c r="A41" s="218" t="s">
        <v>2845</v>
      </c>
      <c r="B41" s="218" t="s">
        <v>2765</v>
      </c>
      <c r="C41" s="214" t="s">
        <v>2846</v>
      </c>
      <c r="D41" s="218" t="s">
        <v>2847</v>
      </c>
    </row>
    <row r="42" spans="1:4" ht="24" customHeight="1">
      <c r="A42" s="218" t="s">
        <v>2848</v>
      </c>
      <c r="B42" s="218" t="s">
        <v>2765</v>
      </c>
      <c r="C42" s="214" t="s">
        <v>2846</v>
      </c>
      <c r="D42" s="218" t="s">
        <v>2849</v>
      </c>
    </row>
    <row r="43" spans="1:4" ht="24" customHeight="1">
      <c r="A43" s="218" t="s">
        <v>2850</v>
      </c>
      <c r="B43" s="218" t="s">
        <v>2765</v>
      </c>
      <c r="C43" s="214" t="s">
        <v>2846</v>
      </c>
      <c r="D43" s="218" t="s">
        <v>2851</v>
      </c>
    </row>
    <row r="44" spans="1:4" ht="24" customHeight="1">
      <c r="A44" s="218" t="s">
        <v>2852</v>
      </c>
      <c r="B44" s="218" t="s">
        <v>2765</v>
      </c>
      <c r="C44" s="214" t="s">
        <v>2793</v>
      </c>
      <c r="D44" s="218" t="s">
        <v>68</v>
      </c>
    </row>
    <row r="45" spans="1:4" ht="24" customHeight="1">
      <c r="A45" s="218" t="s">
        <v>2853</v>
      </c>
      <c r="B45" s="218" t="s">
        <v>2765</v>
      </c>
      <c r="C45" s="214" t="s">
        <v>68</v>
      </c>
      <c r="D45" s="218" t="s">
        <v>68</v>
      </c>
    </row>
    <row r="46" spans="1:4" ht="24" customHeight="1">
      <c r="A46" s="218" t="s">
        <v>2854</v>
      </c>
      <c r="B46" s="218" t="s">
        <v>2765</v>
      </c>
      <c r="C46" s="214" t="s">
        <v>68</v>
      </c>
      <c r="D46" s="218" t="s">
        <v>68</v>
      </c>
    </row>
    <row r="47" spans="1:4" ht="24" customHeight="1">
      <c r="A47" s="218" t="s">
        <v>2855</v>
      </c>
      <c r="B47" s="218" t="s">
        <v>2768</v>
      </c>
      <c r="C47" s="214">
        <v>1180</v>
      </c>
      <c r="D47" s="218" t="s">
        <v>2856</v>
      </c>
    </row>
    <row r="48" spans="1:4" ht="24" customHeight="1">
      <c r="A48" s="218" t="s">
        <v>2857</v>
      </c>
      <c r="B48" s="218" t="s">
        <v>2768</v>
      </c>
      <c r="C48" s="214">
        <v>1180</v>
      </c>
      <c r="D48" s="218" t="s">
        <v>2858</v>
      </c>
    </row>
    <row r="49" spans="1:4" ht="24" customHeight="1">
      <c r="A49" s="218" t="s">
        <v>2859</v>
      </c>
      <c r="B49" s="218" t="s">
        <v>2765</v>
      </c>
      <c r="C49" s="214" t="s">
        <v>2860</v>
      </c>
      <c r="D49" s="218" t="s">
        <v>68</v>
      </c>
    </row>
    <row r="50" spans="1:4" ht="24" customHeight="1">
      <c r="A50" s="218" t="s">
        <v>2861</v>
      </c>
      <c r="B50" s="218" t="s">
        <v>2765</v>
      </c>
      <c r="C50" s="214" t="s">
        <v>2793</v>
      </c>
      <c r="D50" s="218" t="s">
        <v>68</v>
      </c>
    </row>
  </sheetData>
  <phoneticPr fontId="2" type="noConversion"/>
  <pageMargins left="0.31496062992125984" right="0.31496062992125984" top="0.98425196850393704" bottom="0.59055118110236227" header="0.51181102362204722" footer="0.51181102362204722"/>
  <pageSetup paperSize="9" orientation="landscape" cellComments="atEn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32</vt:i4>
      </vt:variant>
      <vt:variant>
        <vt:lpstr>이름이 지정된 범위</vt:lpstr>
      </vt:variant>
      <vt:variant>
        <vt:i4>26</vt:i4>
      </vt:variant>
    </vt:vector>
  </HeadingPairs>
  <TitlesOfParts>
    <vt:vector size="58" baseType="lpstr">
      <vt:lpstr>갑</vt:lpstr>
      <vt:lpstr>1</vt:lpstr>
      <vt:lpstr>원가</vt:lpstr>
      <vt:lpstr>2</vt:lpstr>
      <vt:lpstr>집계</vt:lpstr>
      <vt:lpstr>3</vt:lpstr>
      <vt:lpstr>내역</vt:lpstr>
      <vt:lpstr>4</vt:lpstr>
      <vt:lpstr>일위목록</vt:lpstr>
      <vt:lpstr>5</vt:lpstr>
      <vt:lpstr>호표</vt:lpstr>
      <vt:lpstr>6</vt:lpstr>
      <vt:lpstr>중기목록</vt:lpstr>
      <vt:lpstr>7</vt:lpstr>
      <vt:lpstr>중기사용료</vt:lpstr>
      <vt:lpstr>8</vt:lpstr>
      <vt:lpstr>중기기초</vt:lpstr>
      <vt:lpstr>9</vt:lpstr>
      <vt:lpstr>자재</vt:lpstr>
      <vt:lpstr>10</vt:lpstr>
      <vt:lpstr>자재조서</vt:lpstr>
      <vt:lpstr>11</vt:lpstr>
      <vt:lpstr>노임</vt:lpstr>
      <vt:lpstr>12</vt:lpstr>
      <vt:lpstr>수량(구조보강)</vt:lpstr>
      <vt:lpstr>수량(외부)</vt:lpstr>
      <vt:lpstr>수량(내부1층)</vt:lpstr>
      <vt:lpstr>수량(내부2층)</vt:lpstr>
      <vt:lpstr>수량(구매품)</vt:lpstr>
      <vt:lpstr>세부산출서</vt:lpstr>
      <vt:lpstr>제비율</vt:lpstr>
      <vt:lpstr>중기변수</vt:lpstr>
      <vt:lpstr>갑!Print_Area</vt:lpstr>
      <vt:lpstr>세부산출서!Print_Area</vt:lpstr>
      <vt:lpstr>'수량(구매품)'!Print_Area</vt:lpstr>
      <vt:lpstr>'수량(구조보강)'!Print_Area</vt:lpstr>
      <vt:lpstr>'수량(내부1층)'!Print_Area</vt:lpstr>
      <vt:lpstr>'수량(내부2층)'!Print_Area</vt:lpstr>
      <vt:lpstr>'수량(외부)'!Print_Area</vt:lpstr>
      <vt:lpstr>원가!Print_Area</vt:lpstr>
      <vt:lpstr>제비율!Print_Area</vt:lpstr>
      <vt:lpstr>내역!Print_Titles</vt:lpstr>
      <vt:lpstr>노임!Print_Titles</vt:lpstr>
      <vt:lpstr>세부산출서!Print_Titles</vt:lpstr>
      <vt:lpstr>'수량(구매품)'!Print_Titles</vt:lpstr>
      <vt:lpstr>'수량(구조보강)'!Print_Titles</vt:lpstr>
      <vt:lpstr>'수량(내부1층)'!Print_Titles</vt:lpstr>
      <vt:lpstr>'수량(내부2층)'!Print_Titles</vt:lpstr>
      <vt:lpstr>'수량(외부)'!Print_Titles</vt:lpstr>
      <vt:lpstr>원가!Print_Titles</vt:lpstr>
      <vt:lpstr>일위목록!Print_Titles</vt:lpstr>
      <vt:lpstr>자재!Print_Titles</vt:lpstr>
      <vt:lpstr>자재조서!Print_Titles</vt:lpstr>
      <vt:lpstr>중기기초!Print_Titles</vt:lpstr>
      <vt:lpstr>중기변수!Print_Titles</vt:lpstr>
      <vt:lpstr>중기사용료!Print_Titles</vt:lpstr>
      <vt:lpstr>집계!Print_Titles</vt:lpstr>
      <vt:lpstr>호표!Print_Titles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20231112-001</cp:lastModifiedBy>
  <cp:lastPrinted>2026-09-27T13:53:33Z</cp:lastPrinted>
  <dcterms:created xsi:type="dcterms:W3CDTF">2022-06-15T06:26:33Z</dcterms:created>
  <dcterms:modified xsi:type="dcterms:W3CDTF">2026-10-12T08:45:44Z</dcterms:modified>
</cp:coreProperties>
</file>