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논산국토\Desktop\8. 제설\발주\4. 계룡-세종_수정완료\"/>
    </mc:Choice>
  </mc:AlternateContent>
  <xr:revisionPtr revIDLastSave="0" documentId="13_ncr:1_{20B7F2A9-C690-4550-91DD-C33986D7550D}" xr6:coauthVersionLast="47" xr6:coauthVersionMax="47" xr10:uidLastSave="{00000000-0000-0000-0000-000000000000}"/>
  <bookViews>
    <workbookView xWindow="-120" yWindow="-120" windowWidth="29040" windowHeight="15720" firstSheet="4" activeTab="8" xr2:uid="{00000000-000D-0000-FFFF-FFFF00000000}"/>
  </bookViews>
  <sheets>
    <sheet name="요약서" sheetId="69" r:id="rId1"/>
    <sheet name="전체입력표" sheetId="77" r:id="rId2"/>
    <sheet name="표지2" sheetId="71" r:id="rId3"/>
    <sheet name="예정동원" sheetId="78" r:id="rId4"/>
    <sheet name="예산갑지" sheetId="60" r:id="rId5"/>
    <sheet name="원가계산서" sheetId="62" r:id="rId6"/>
    <sheet name="내역서" sheetId="61" r:id="rId7"/>
    <sheet name="설계내역서" sheetId="63" r:id="rId8"/>
    <sheet name="수량산출서" sheetId="68" r:id="rId9"/>
    <sheet name="15t 덤프" sheetId="66" r:id="rId10"/>
    <sheet name="굴삭기0.6" sheetId="65" r:id="rId11"/>
    <sheet name="점검단가" sheetId="64" r:id="rId12"/>
    <sheet name="순찰" sheetId="76" r:id="rId13"/>
    <sheet name="운반" sheetId="50" r:id="rId14"/>
    <sheet name="기계경비" sheetId="67" r:id="rId15"/>
    <sheet name="자재단가" sheetId="75" r:id="rId16"/>
    <sheet name="노임단가" sheetId="73" r:id="rId17"/>
  </sheets>
  <definedNames>
    <definedName name="_xlnm.Print_Area" localSheetId="9">'15t 덤프'!$A$1:$F$40</definedName>
    <definedName name="_xlnm.Print_Area" localSheetId="10">'굴삭기0.6'!$A$1:$F$40</definedName>
    <definedName name="_xlnm.Print_Area" localSheetId="14">기계경비!$A$1:$Q$33</definedName>
    <definedName name="_xlnm.Print_Area" localSheetId="6">내역서!$A$1:$H$47</definedName>
    <definedName name="_xlnm.Print_Area" localSheetId="16">노임단가!$A$1:$D$6</definedName>
    <definedName name="_xlnm.Print_Area" localSheetId="7">설계내역서!$A$1:$N$31</definedName>
    <definedName name="_xlnm.Print_Area" localSheetId="8">수량산출서!$A$1:$F$19</definedName>
    <definedName name="_xlnm.Print_Area" localSheetId="12">순찰!$A$1:$F$29</definedName>
    <definedName name="_xlnm.Print_Area" localSheetId="3">예정동원!$A$1:$H$15</definedName>
    <definedName name="_xlnm.Print_Area" localSheetId="0">요약서!$A$1:$B$11</definedName>
    <definedName name="_xlnm.Print_Area" localSheetId="13">운반!$A$1:$F$38</definedName>
    <definedName name="_xlnm.Print_Area" localSheetId="5">원가계산서!$A$1:$E$24</definedName>
    <definedName name="_xlnm.Print_Area" localSheetId="15">자재단가!$B$2:$S$6</definedName>
    <definedName name="_xlnm.Print_Area" localSheetId="11">점검단가!$A$1:$F$43</definedName>
    <definedName name="_xlnm.Print_Area" localSheetId="2">표지2!$A$1:$H$18</definedName>
    <definedName name="_xlnm.Print_Titles" localSheetId="9">'15t 덤프'!$1:$1</definedName>
    <definedName name="_xlnm.Print_Titles" localSheetId="6">내역서!$1:$1</definedName>
    <definedName name="_xlnm.Print_Titles" localSheetId="7">설계내역서!$2:$3</definedName>
    <definedName name="_xlnm.Print_Titles" localSheetId="15">자재단가!$1:$4</definedName>
    <definedName name="_xlnm.Print_Titles" localSheetId="11">점검단가!$1:$1</definedName>
    <definedName name="간접노무비" localSheetId="5">원가계산서!$G$11</definedName>
    <definedName name="건강보험료">원가계산서!$G$14</definedName>
    <definedName name="공급가액" localSheetId="5">원가계산서!$D$5</definedName>
    <definedName name="부가가치세" localSheetId="5">원가계산서!$D$24</definedName>
    <definedName name="순공사원가" localSheetId="5">원가계산서!$D$6</definedName>
    <definedName name="이윤" localSheetId="5">원가계산서!$G$23</definedName>
    <definedName name="일반관리비" localSheetId="5">원가계산서!$G$22</definedName>
    <definedName name="재료비" localSheetId="5">원가계산서!$F$7</definedName>
    <definedName name="직접공사비" localSheetId="5">원가계산서!$D$7</definedName>
    <definedName name="직접노무비" localSheetId="5">원가계산서!$H$7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78" l="1"/>
  <c r="C14" i="78"/>
  <c r="E13" i="78"/>
  <c r="D13" i="78"/>
  <c r="B13" i="78"/>
  <c r="E12" i="78"/>
  <c r="E14" i="78" s="1"/>
  <c r="D12" i="78"/>
  <c r="D14" i="78" s="1"/>
  <c r="B12" i="78"/>
  <c r="B14" i="78" s="1"/>
  <c r="E11" i="78"/>
  <c r="D11" i="78"/>
  <c r="C11" i="78"/>
  <c r="C5" i="78"/>
  <c r="D5" i="78" s="1"/>
  <c r="E5" i="78" s="1"/>
  <c r="E23" i="62"/>
  <c r="E11" i="62"/>
  <c r="E12" i="62" s="1"/>
  <c r="E13" i="62"/>
  <c r="E14" i="62"/>
  <c r="E16" i="62" s="1"/>
  <c r="E15" i="62"/>
  <c r="E21" i="62"/>
  <c r="D15" i="78" l="1"/>
  <c r="E15" i="78" s="1"/>
  <c r="B4" i="69"/>
  <c r="C6" i="73" l="1"/>
  <c r="B4" i="68"/>
  <c r="A4" i="60"/>
  <c r="D16" i="77"/>
  <c r="R5" i="75" s="1"/>
  <c r="B21" i="61" l="1"/>
  <c r="B22" i="61"/>
  <c r="B23" i="61"/>
  <c r="B20" i="61"/>
  <c r="E29" i="61"/>
  <c r="D29" i="61"/>
  <c r="C29" i="61"/>
  <c r="B29" i="61"/>
  <c r="E23" i="61"/>
  <c r="E17" i="61"/>
  <c r="C17" i="61"/>
  <c r="B17" i="61"/>
  <c r="E11" i="61"/>
  <c r="C11" i="61"/>
  <c r="B11" i="61"/>
  <c r="B12" i="68" l="1"/>
  <c r="B13" i="68"/>
  <c r="B15" i="68"/>
  <c r="E14" i="69"/>
  <c r="D20" i="67" l="1"/>
  <c r="D15" i="67"/>
  <c r="D10" i="67"/>
  <c r="D5" i="67"/>
  <c r="C4" i="73" l="1"/>
  <c r="C5" i="73"/>
  <c r="F8" i="67" s="1"/>
  <c r="O8" i="67" s="1"/>
  <c r="F6" i="67"/>
  <c r="AJ6" i="63"/>
  <c r="D12" i="63"/>
  <c r="D14" i="63" s="1"/>
  <c r="D16" i="61" s="1"/>
  <c r="D6" i="63"/>
  <c r="AJ7" i="63"/>
  <c r="AJ5" i="63"/>
  <c r="F33" i="67"/>
  <c r="O33" i="67" s="1"/>
  <c r="D30" i="67"/>
  <c r="B5" i="67"/>
  <c r="B15" i="67"/>
  <c r="B20" i="67" s="1"/>
  <c r="B25" i="67" s="1"/>
  <c r="D17" i="77"/>
  <c r="J6" i="75" s="1"/>
  <c r="R6" i="75" s="1"/>
  <c r="K5" i="76"/>
  <c r="E28" i="61"/>
  <c r="D28" i="61"/>
  <c r="C28" i="61"/>
  <c r="B28" i="61"/>
  <c r="B16" i="68"/>
  <c r="B14" i="68"/>
  <c r="B11" i="68"/>
  <c r="B10" i="68"/>
  <c r="B7" i="69"/>
  <c r="B6" i="69"/>
  <c r="A4" i="68"/>
  <c r="B5" i="69"/>
  <c r="B3" i="69"/>
  <c r="A5" i="71" s="1"/>
  <c r="D12" i="61"/>
  <c r="A11" i="63"/>
  <c r="A17" i="63" s="1"/>
  <c r="A6" i="63"/>
  <c r="A7" i="63" s="1"/>
  <c r="B30" i="61"/>
  <c r="B32" i="61"/>
  <c r="B25" i="61"/>
  <c r="C13" i="61"/>
  <c r="B13" i="61"/>
  <c r="D13" i="63"/>
  <c r="D24" i="61"/>
  <c r="E24" i="61"/>
  <c r="E21" i="61"/>
  <c r="E22" i="61"/>
  <c r="E20" i="61"/>
  <c r="B19" i="61"/>
  <c r="E31" i="61"/>
  <c r="D31" i="61"/>
  <c r="C31" i="61"/>
  <c r="B31" i="61"/>
  <c r="E33" i="61"/>
  <c r="C33" i="61"/>
  <c r="B33" i="61"/>
  <c r="E27" i="61"/>
  <c r="D27" i="61"/>
  <c r="C27" i="61"/>
  <c r="B27" i="61"/>
  <c r="E26" i="61"/>
  <c r="D26" i="61"/>
  <c r="C26" i="61"/>
  <c r="B26" i="61"/>
  <c r="C24" i="61"/>
  <c r="B24" i="61"/>
  <c r="E18" i="61"/>
  <c r="D18" i="61"/>
  <c r="C18" i="61"/>
  <c r="B18" i="61"/>
  <c r="E16" i="61"/>
  <c r="C16" i="61"/>
  <c r="B16" i="61"/>
  <c r="E15" i="61"/>
  <c r="C15" i="61"/>
  <c r="B15" i="61"/>
  <c r="E14" i="61"/>
  <c r="C14" i="61"/>
  <c r="B14" i="61"/>
  <c r="B9" i="61"/>
  <c r="C9" i="61"/>
  <c r="E9" i="61"/>
  <c r="B10" i="61"/>
  <c r="C10" i="61"/>
  <c r="E10" i="61"/>
  <c r="B12" i="61"/>
  <c r="C12" i="61"/>
  <c r="E12" i="61"/>
  <c r="E8" i="61"/>
  <c r="C8" i="61"/>
  <c r="B8" i="61"/>
  <c r="F30" i="67"/>
  <c r="N17" i="67"/>
  <c r="M17" i="67" s="1"/>
  <c r="F25" i="67"/>
  <c r="F20" i="67"/>
  <c r="F15" i="67"/>
  <c r="F10" i="67"/>
  <c r="F5" i="67"/>
  <c r="J11" i="71"/>
  <c r="A20" i="60"/>
  <c r="R7" i="75"/>
  <c r="D25" i="67"/>
  <c r="D7" i="64"/>
  <c r="L24" i="63" s="1"/>
  <c r="M24" i="63" s="1"/>
  <c r="F7" i="64"/>
  <c r="H24" i="63" s="1"/>
  <c r="I24" i="63" s="1"/>
  <c r="B12" i="66"/>
  <c r="B25" i="66" s="1"/>
  <c r="K5" i="66"/>
  <c r="B21" i="66" s="1"/>
  <c r="K5" i="65"/>
  <c r="C35" i="65" s="1"/>
  <c r="E35" i="65" s="1"/>
  <c r="P30" i="67" l="1"/>
  <c r="D18" i="63"/>
  <c r="D19" i="63" s="1"/>
  <c r="D14" i="61"/>
  <c r="D8" i="63"/>
  <c r="D10" i="61" s="1"/>
  <c r="M33" i="67"/>
  <c r="O29" i="67"/>
  <c r="H7" i="76" s="1"/>
  <c r="C7" i="76" s="1"/>
  <c r="E7" i="76" s="1"/>
  <c r="D8" i="61"/>
  <c r="D31" i="63"/>
  <c r="D33" i="61" s="1"/>
  <c r="P5" i="67"/>
  <c r="P4" i="67" s="1"/>
  <c r="H7" i="65" s="1"/>
  <c r="C7" i="65" s="1"/>
  <c r="F7" i="65" s="1"/>
  <c r="F10" i="65" s="1"/>
  <c r="L22" i="63" s="1"/>
  <c r="M22" i="63" s="1"/>
  <c r="A13" i="61"/>
  <c r="H25" i="63"/>
  <c r="I25" i="63" s="1"/>
  <c r="A1" i="63"/>
  <c r="A2" i="61"/>
  <c r="A7" i="60"/>
  <c r="P29" i="67"/>
  <c r="H8" i="76" s="1"/>
  <c r="I8" i="76" s="1"/>
  <c r="B8" i="76" s="1"/>
  <c r="M30" i="67"/>
  <c r="A12" i="63"/>
  <c r="A23" i="63"/>
  <c r="A24" i="63" s="1"/>
  <c r="A19" i="61"/>
  <c r="A18" i="63"/>
  <c r="C35" i="66"/>
  <c r="E35" i="66" s="1"/>
  <c r="B10" i="67"/>
  <c r="P10" i="67" s="1"/>
  <c r="P9" i="67" s="1"/>
  <c r="C13" i="76"/>
  <c r="E13" i="76" s="1"/>
  <c r="B13" i="76"/>
  <c r="P15" i="67"/>
  <c r="P14" i="67" s="1"/>
  <c r="H7" i="66" s="1"/>
  <c r="I7" i="66" s="1"/>
  <c r="B7" i="66" s="1"/>
  <c r="A8" i="61"/>
  <c r="P20" i="67"/>
  <c r="P19" i="67" s="1"/>
  <c r="C29" i="66" s="1"/>
  <c r="F29" i="66" s="1"/>
  <c r="F37" i="66" s="1"/>
  <c r="L12" i="63" s="1"/>
  <c r="L15" i="63" s="1"/>
  <c r="L27" i="63"/>
  <c r="M27" i="63" s="1"/>
  <c r="H27" i="63"/>
  <c r="I27" i="63" s="1"/>
  <c r="L25" i="63"/>
  <c r="M25" i="63" s="1"/>
  <c r="D21" i="61"/>
  <c r="D21" i="63"/>
  <c r="D23" i="61" s="1"/>
  <c r="D20" i="61"/>
  <c r="D15" i="61"/>
  <c r="D15" i="63"/>
  <c r="D17" i="61" s="1"/>
  <c r="D20" i="63"/>
  <c r="D22" i="61" s="1"/>
  <c r="D7" i="63"/>
  <c r="L26" i="63"/>
  <c r="M26" i="63" s="1"/>
  <c r="H26" i="63"/>
  <c r="I26" i="63" s="1"/>
  <c r="F11" i="67"/>
  <c r="N6" i="67"/>
  <c r="M15" i="67"/>
  <c r="P25" i="67"/>
  <c r="P24" i="67" s="1"/>
  <c r="H7" i="50" s="1"/>
  <c r="A9" i="61"/>
  <c r="A8" i="63"/>
  <c r="A9" i="63" s="1"/>
  <c r="C8" i="76"/>
  <c r="F8" i="76" s="1"/>
  <c r="F15" i="76" s="1"/>
  <c r="L31" i="63" s="1"/>
  <c r="C21" i="65"/>
  <c r="E21" i="65" s="1"/>
  <c r="F13" i="67"/>
  <c r="F18" i="67" s="1"/>
  <c r="O18" i="67" s="1"/>
  <c r="B21" i="65"/>
  <c r="B35" i="66"/>
  <c r="C21" i="66"/>
  <c r="E21" i="66" s="1"/>
  <c r="B35" i="65"/>
  <c r="I7" i="76" l="1"/>
  <c r="B7" i="76" s="1"/>
  <c r="M5" i="67"/>
  <c r="I7" i="65"/>
  <c r="B7" i="65" s="1"/>
  <c r="M31" i="63"/>
  <c r="M30" i="63" s="1"/>
  <c r="C7" i="66"/>
  <c r="F7" i="66" s="1"/>
  <c r="F9" i="66" s="1"/>
  <c r="L18" i="63" s="1"/>
  <c r="M18" i="63" s="1"/>
  <c r="H16" i="66"/>
  <c r="I16" i="66" s="1"/>
  <c r="B29" i="66" s="1"/>
  <c r="I23" i="63"/>
  <c r="F23" i="67"/>
  <c r="F28" i="67" s="1"/>
  <c r="O28" i="67" s="1"/>
  <c r="M10" i="67"/>
  <c r="M23" i="63"/>
  <c r="A10" i="63"/>
  <c r="A11" i="61"/>
  <c r="M15" i="63"/>
  <c r="A13" i="63"/>
  <c r="A14" i="61"/>
  <c r="E15" i="76"/>
  <c r="J31" i="63" s="1"/>
  <c r="K31" i="63" s="1"/>
  <c r="C16" i="66"/>
  <c r="F16" i="66" s="1"/>
  <c r="F23" i="66" s="1"/>
  <c r="L6" i="63" s="1"/>
  <c r="L9" i="63" s="1"/>
  <c r="A20" i="61"/>
  <c r="A19" i="63"/>
  <c r="M20" i="67"/>
  <c r="A25" i="61"/>
  <c r="A28" i="63"/>
  <c r="A30" i="63" s="1"/>
  <c r="L21" i="63"/>
  <c r="M21" i="63" s="1"/>
  <c r="D9" i="63"/>
  <c r="D9" i="61"/>
  <c r="N11" i="67"/>
  <c r="F16" i="67"/>
  <c r="M6" i="67"/>
  <c r="F7" i="67"/>
  <c r="N7" i="67" s="1"/>
  <c r="M7" i="67" s="1"/>
  <c r="M25" i="67"/>
  <c r="A25" i="63"/>
  <c r="A26" i="61"/>
  <c r="A12" i="61"/>
  <c r="A10" i="61"/>
  <c r="L14" i="63"/>
  <c r="M14" i="63" s="1"/>
  <c r="L13" i="63"/>
  <c r="M13" i="63" s="1"/>
  <c r="M12" i="63"/>
  <c r="C7" i="50"/>
  <c r="F7" i="50" s="1"/>
  <c r="F10" i="50" s="1"/>
  <c r="L29" i="63" s="1"/>
  <c r="M29" i="63" s="1"/>
  <c r="M28" i="63" s="1"/>
  <c r="I7" i="50"/>
  <c r="B7" i="50" s="1"/>
  <c r="H16" i="65"/>
  <c r="I16" i="65" s="1"/>
  <c r="C29" i="65"/>
  <c r="F29" i="65" s="1"/>
  <c r="F36" i="65" s="1"/>
  <c r="L16" i="63" s="1"/>
  <c r="M16" i="63" s="1"/>
  <c r="C16" i="65"/>
  <c r="F16" i="65" s="1"/>
  <c r="F22" i="65" s="1"/>
  <c r="L10" i="63" s="1"/>
  <c r="M10" i="63" s="1"/>
  <c r="O14" i="67"/>
  <c r="O4" i="67"/>
  <c r="M8" i="67"/>
  <c r="O13" i="67"/>
  <c r="M13" i="67" s="1"/>
  <c r="M18" i="67"/>
  <c r="L19" i="63" l="1"/>
  <c r="M19" i="63" s="1"/>
  <c r="O23" i="67"/>
  <c r="L20" i="63"/>
  <c r="M20" i="63" s="1"/>
  <c r="B16" i="66"/>
  <c r="A30" i="61"/>
  <c r="A29" i="63"/>
  <c r="A31" i="61" s="1"/>
  <c r="L7" i="63"/>
  <c r="M7" i="63" s="1"/>
  <c r="E10" i="62" s="1"/>
  <c r="L8" i="63"/>
  <c r="M8" i="63" s="1"/>
  <c r="M9" i="63"/>
  <c r="D11" i="61"/>
  <c r="A15" i="61"/>
  <c r="A14" i="63"/>
  <c r="M6" i="63"/>
  <c r="E9" i="62" s="1"/>
  <c r="A21" i="61"/>
  <c r="A20" i="63"/>
  <c r="M17" i="63"/>
  <c r="A31" i="63"/>
  <c r="A33" i="61" s="1"/>
  <c r="A32" i="61"/>
  <c r="N16" i="67"/>
  <c r="F21" i="67"/>
  <c r="N4" i="67"/>
  <c r="M11" i="67"/>
  <c r="F12" i="67"/>
  <c r="N12" i="67" s="1"/>
  <c r="M12" i="67" s="1"/>
  <c r="A28" i="61"/>
  <c r="A27" i="61"/>
  <c r="A26" i="63"/>
  <c r="M11" i="63"/>
  <c r="B29" i="65"/>
  <c r="B16" i="65"/>
  <c r="O9" i="67"/>
  <c r="C6" i="65"/>
  <c r="E6" i="65" s="1"/>
  <c r="E10" i="65" s="1"/>
  <c r="H6" i="65"/>
  <c r="I6" i="65" s="1"/>
  <c r="B6" i="65" s="1"/>
  <c r="M28" i="67"/>
  <c r="O24" i="67"/>
  <c r="C6" i="66"/>
  <c r="G5" i="64"/>
  <c r="B5" i="64" s="1"/>
  <c r="C5" i="64"/>
  <c r="E5" i="64" s="1"/>
  <c r="E7" i="64" s="1"/>
  <c r="H6" i="66"/>
  <c r="I6" i="66" s="1"/>
  <c r="B6" i="66" s="1"/>
  <c r="O19" i="67"/>
  <c r="M23" i="67"/>
  <c r="K30" i="63"/>
  <c r="M5" i="63" l="1"/>
  <c r="E8" i="62" s="1"/>
  <c r="A15" i="63"/>
  <c r="A16" i="61"/>
  <c r="A27" i="63"/>
  <c r="A29" i="61"/>
  <c r="A21" i="63"/>
  <c r="A22" i="61"/>
  <c r="M4" i="63"/>
  <c r="N9" i="67"/>
  <c r="H14" i="65" s="1"/>
  <c r="I14" i="65" s="1"/>
  <c r="H5" i="65"/>
  <c r="I5" i="65" s="1"/>
  <c r="B5" i="65" s="1"/>
  <c r="C5" i="65"/>
  <c r="D5" i="65" s="1"/>
  <c r="D10" i="65" s="1"/>
  <c r="H22" i="63" s="1"/>
  <c r="I22" i="63" s="1"/>
  <c r="F31" i="67"/>
  <c r="N31" i="67" s="1"/>
  <c r="F26" i="67"/>
  <c r="N26" i="67" s="1"/>
  <c r="N21" i="67"/>
  <c r="M4" i="67"/>
  <c r="M16" i="67"/>
  <c r="N14" i="67"/>
  <c r="E28" i="65"/>
  <c r="E36" i="65" s="1"/>
  <c r="J16" i="63" s="1"/>
  <c r="H15" i="65"/>
  <c r="I15" i="65" s="1"/>
  <c r="B28" i="65" s="1"/>
  <c r="C15" i="65"/>
  <c r="E15" i="65" s="1"/>
  <c r="E22" i="65" s="1"/>
  <c r="J10" i="63" s="1"/>
  <c r="J22" i="63"/>
  <c r="H6" i="50"/>
  <c r="J24" i="63"/>
  <c r="J27" i="63" s="1"/>
  <c r="C7" i="64"/>
  <c r="H15" i="66"/>
  <c r="I15" i="66" s="1"/>
  <c r="B28" i="66" s="1"/>
  <c r="E28" i="66"/>
  <c r="E37" i="66" s="1"/>
  <c r="C15" i="66"/>
  <c r="E15" i="66" s="1"/>
  <c r="E23" i="66" s="1"/>
  <c r="J18" i="63"/>
  <c r="J21" i="63" s="1"/>
  <c r="E6" i="66"/>
  <c r="E9" i="66" s="1"/>
  <c r="C10" i="65" l="1"/>
  <c r="M9" i="67"/>
  <c r="E7" i="62"/>
  <c r="D10" i="62"/>
  <c r="C14" i="65"/>
  <c r="D14" i="65" s="1"/>
  <c r="D22" i="65" s="1"/>
  <c r="H10" i="63" s="1"/>
  <c r="I10" i="63" s="1"/>
  <c r="A22" i="63"/>
  <c r="A24" i="61" s="1"/>
  <c r="A23" i="61"/>
  <c r="A16" i="63"/>
  <c r="A18" i="61" s="1"/>
  <c r="A17" i="61"/>
  <c r="C27" i="65"/>
  <c r="D27" i="65" s="1"/>
  <c r="D36" i="65" s="1"/>
  <c r="H16" i="63" s="1"/>
  <c r="I16" i="63" s="1"/>
  <c r="K27" i="63"/>
  <c r="G27" i="63" s="1"/>
  <c r="F27" i="63"/>
  <c r="K21" i="63"/>
  <c r="B27" i="65"/>
  <c r="B14" i="65"/>
  <c r="M31" i="67"/>
  <c r="F32" i="67"/>
  <c r="N32" i="67" s="1"/>
  <c r="M32" i="67" s="1"/>
  <c r="M21" i="67"/>
  <c r="F22" i="67"/>
  <c r="N22" i="67" s="1"/>
  <c r="M22" i="67" s="1"/>
  <c r="C5" i="66"/>
  <c r="D5" i="66" s="1"/>
  <c r="D9" i="66" s="1"/>
  <c r="H18" i="63" s="1"/>
  <c r="H21" i="63" s="1"/>
  <c r="I21" i="63" s="1"/>
  <c r="H5" i="66"/>
  <c r="I5" i="66" s="1"/>
  <c r="B5" i="66" s="1"/>
  <c r="M14" i="67"/>
  <c r="F27" i="67"/>
  <c r="N27" i="67" s="1"/>
  <c r="M27" i="67" s="1"/>
  <c r="M26" i="67"/>
  <c r="B15" i="65"/>
  <c r="K22" i="63"/>
  <c r="G22" i="63" s="1"/>
  <c r="F22" i="63"/>
  <c r="F24" i="61" s="1"/>
  <c r="G24" i="61" s="1"/>
  <c r="B15" i="66"/>
  <c r="J26" i="63"/>
  <c r="J25" i="63"/>
  <c r="F24" i="63"/>
  <c r="F26" i="61" s="1"/>
  <c r="G26" i="61" s="1"/>
  <c r="K24" i="63"/>
  <c r="C6" i="50"/>
  <c r="E6" i="50" s="1"/>
  <c r="E10" i="50" s="1"/>
  <c r="I6" i="50"/>
  <c r="B6" i="50" s="1"/>
  <c r="J6" i="63"/>
  <c r="J9" i="63" s="1"/>
  <c r="K10" i="63"/>
  <c r="J19" i="63"/>
  <c r="K18" i="63"/>
  <c r="J20" i="63"/>
  <c r="K16" i="63"/>
  <c r="J12" i="63"/>
  <c r="J15" i="63" s="1"/>
  <c r="G16" i="63" l="1"/>
  <c r="F18" i="63"/>
  <c r="F20" i="61" s="1"/>
  <c r="G20" i="61" s="1"/>
  <c r="F16" i="63"/>
  <c r="F18" i="61" s="1"/>
  <c r="G18" i="61" s="1"/>
  <c r="C36" i="65"/>
  <c r="F10" i="63"/>
  <c r="F12" i="61" s="1"/>
  <c r="G12" i="61" s="1"/>
  <c r="G10" i="63"/>
  <c r="C22" i="65"/>
  <c r="G21" i="63"/>
  <c r="F21" i="63"/>
  <c r="F23" i="61" s="1"/>
  <c r="G23" i="61" s="1"/>
  <c r="K15" i="63"/>
  <c r="K9" i="63"/>
  <c r="N24" i="67"/>
  <c r="M24" i="67" s="1"/>
  <c r="N29" i="67"/>
  <c r="M29" i="67" s="1"/>
  <c r="H20" i="63"/>
  <c r="I20" i="63" s="1"/>
  <c r="I18" i="63"/>
  <c r="G18" i="63" s="1"/>
  <c r="H19" i="63"/>
  <c r="I19" i="63" s="1"/>
  <c r="C9" i="66"/>
  <c r="N19" i="67"/>
  <c r="F25" i="63"/>
  <c r="K25" i="63"/>
  <c r="G25" i="63" s="1"/>
  <c r="K20" i="63"/>
  <c r="K12" i="63"/>
  <c r="J14" i="63"/>
  <c r="J13" i="63"/>
  <c r="J29" i="63"/>
  <c r="F26" i="63"/>
  <c r="F29" i="61" s="1"/>
  <c r="G29" i="61" s="1"/>
  <c r="K26" i="63"/>
  <c r="G26" i="63" s="1"/>
  <c r="G24" i="63"/>
  <c r="K19" i="63"/>
  <c r="K6" i="63"/>
  <c r="J8" i="63"/>
  <c r="J7" i="63"/>
  <c r="H5" i="50" l="1"/>
  <c r="G19" i="63"/>
  <c r="H6" i="76"/>
  <c r="I6" i="76" s="1"/>
  <c r="B6" i="76" s="1"/>
  <c r="K23" i="63"/>
  <c r="G23" i="63" s="1"/>
  <c r="G20" i="63"/>
  <c r="F20" i="63"/>
  <c r="F22" i="61" s="1"/>
  <c r="G22" i="61" s="1"/>
  <c r="F19" i="63"/>
  <c r="F21" i="61" s="1"/>
  <c r="G21" i="61" s="1"/>
  <c r="C27" i="66"/>
  <c r="D27" i="66" s="1"/>
  <c r="D37" i="66" s="1"/>
  <c r="C14" i="66"/>
  <c r="D14" i="66" s="1"/>
  <c r="D23" i="66" s="1"/>
  <c r="H14" i="66"/>
  <c r="I14" i="66" s="1"/>
  <c r="M19" i="67"/>
  <c r="C6" i="76"/>
  <c r="D6" i="76" s="1"/>
  <c r="D15" i="76" s="1"/>
  <c r="I17" i="63"/>
  <c r="C5" i="50"/>
  <c r="D5" i="50" s="1"/>
  <c r="D10" i="50" s="1"/>
  <c r="I5" i="50"/>
  <c r="B5" i="50" s="1"/>
  <c r="K14" i="63"/>
  <c r="K17" i="63"/>
  <c r="F27" i="61"/>
  <c r="G27" i="61" s="1"/>
  <c r="F28" i="61"/>
  <c r="G28" i="61" s="1"/>
  <c r="K13" i="63"/>
  <c r="K8" i="63"/>
  <c r="K7" i="63"/>
  <c r="K29" i="63"/>
  <c r="G25" i="61" l="1"/>
  <c r="G19" i="61"/>
  <c r="G17" i="63"/>
  <c r="H29" i="63"/>
  <c r="C10" i="50"/>
  <c r="B14" i="66"/>
  <c r="B27" i="66"/>
  <c r="H6" i="63"/>
  <c r="H9" i="63" s="1"/>
  <c r="C23" i="66"/>
  <c r="H31" i="63"/>
  <c r="C15" i="76"/>
  <c r="H12" i="63"/>
  <c r="H15" i="63" s="1"/>
  <c r="C37" i="66"/>
  <c r="K28" i="63"/>
  <c r="K5" i="63"/>
  <c r="K11" i="63"/>
  <c r="I15" i="63" l="1"/>
  <c r="G15" i="63" s="1"/>
  <c r="F15" i="63"/>
  <c r="F17" i="61" s="1"/>
  <c r="G17" i="61" s="1"/>
  <c r="I9" i="63"/>
  <c r="G9" i="63" s="1"/>
  <c r="F9" i="63"/>
  <c r="F11" i="61" s="1"/>
  <c r="G11" i="61" s="1"/>
  <c r="I31" i="63"/>
  <c r="F31" i="63"/>
  <c r="F33" i="61" s="1"/>
  <c r="G33" i="61" s="1"/>
  <c r="G32" i="61" s="1"/>
  <c r="I12" i="63"/>
  <c r="H13" i="63"/>
  <c r="H14" i="63"/>
  <c r="F12" i="63"/>
  <c r="F14" i="61" s="1"/>
  <c r="G14" i="61" s="1"/>
  <c r="H8" i="63"/>
  <c r="I6" i="63"/>
  <c r="H7" i="63"/>
  <c r="F6" i="63"/>
  <c r="F8" i="61" s="1"/>
  <c r="G8" i="61" s="1"/>
  <c r="I29" i="63"/>
  <c r="F29" i="63"/>
  <c r="F31" i="61" s="1"/>
  <c r="G31" i="61" s="1"/>
  <c r="G30" i="61" s="1"/>
  <c r="K4" i="63"/>
  <c r="D9" i="62" s="1"/>
  <c r="I28" i="63" l="1"/>
  <c r="G28" i="63" s="1"/>
  <c r="G29" i="63"/>
  <c r="I8" i="63"/>
  <c r="G8" i="63" s="1"/>
  <c r="F8" i="63"/>
  <c r="F10" i="61" s="1"/>
  <c r="G10" i="61" s="1"/>
  <c r="G12" i="63"/>
  <c r="I7" i="63"/>
  <c r="G7" i="63" s="1"/>
  <c r="F7" i="63"/>
  <c r="F9" i="61" s="1"/>
  <c r="G9" i="61" s="1"/>
  <c r="I14" i="63"/>
  <c r="G14" i="63" s="1"/>
  <c r="F14" i="63"/>
  <c r="F16" i="61" s="1"/>
  <c r="G16" i="61" s="1"/>
  <c r="G6" i="63"/>
  <c r="I13" i="63"/>
  <c r="G13" i="63" s="1"/>
  <c r="F13" i="63"/>
  <c r="F15" i="61" s="1"/>
  <c r="G15" i="61" s="1"/>
  <c r="I30" i="63"/>
  <c r="G30" i="63" s="1"/>
  <c r="G31" i="63"/>
  <c r="G13" i="61" l="1"/>
  <c r="G7" i="61"/>
  <c r="I11" i="63"/>
  <c r="G11" i="63" s="1"/>
  <c r="I5" i="63"/>
  <c r="G44" i="61"/>
  <c r="G38" i="61"/>
  <c r="G6" i="61" l="1"/>
  <c r="G36" i="61"/>
  <c r="I4" i="63"/>
  <c r="D8" i="62" s="1"/>
  <c r="G5" i="63"/>
  <c r="G4" i="63" s="1"/>
  <c r="G35" i="61"/>
  <c r="G39" i="61"/>
  <c r="G37" i="61"/>
  <c r="G34" i="61"/>
  <c r="E20" i="62" l="1"/>
  <c r="E18" i="62"/>
  <c r="E19" i="62"/>
  <c r="E22" i="62"/>
  <c r="D7" i="62"/>
  <c r="E17" i="62" s="1"/>
  <c r="AC4" i="63"/>
  <c r="G40" i="61" l="1"/>
  <c r="G43" i="61"/>
  <c r="G42" i="61"/>
  <c r="D6" i="62" l="1"/>
  <c r="D5" i="62" s="1"/>
  <c r="E24" i="62" s="1"/>
  <c r="G45" i="61"/>
  <c r="G46" i="61"/>
  <c r="G41" i="61"/>
  <c r="G5" i="61" s="1"/>
  <c r="G4" i="61" l="1"/>
  <c r="D4" i="62" l="1"/>
  <c r="K21" i="62" s="1"/>
  <c r="G14" i="60"/>
  <c r="E12" i="71" s="1"/>
  <c r="I20" i="62" l="1"/>
  <c r="I21" i="62" s="1"/>
  <c r="J23" i="62"/>
  <c r="G13" i="60"/>
  <c r="E11" i="71" s="1"/>
  <c r="G15" i="60"/>
  <c r="G47" i="61"/>
  <c r="G3" i="61" s="1"/>
  <c r="B10" i="69" s="1"/>
  <c r="E13" i="71"/>
</calcChain>
</file>

<file path=xl/sharedStrings.xml><?xml version="1.0" encoding="utf-8"?>
<sst xmlns="http://schemas.openxmlformats.org/spreadsheetml/2006/main" count="665" uniqueCount="387">
  <si>
    <t>금    액</t>
  </si>
  <si>
    <t>계</t>
    <phoneticPr fontId="2" type="noConversion"/>
  </si>
  <si>
    <t>공 종</t>
  </si>
  <si>
    <t>산   출   근   거</t>
  </si>
  <si>
    <t>재료비</t>
  </si>
  <si>
    <t>노무비</t>
  </si>
  <si>
    <t>경비</t>
  </si>
  <si>
    <t>굴삭기</t>
    <phoneticPr fontId="10" type="noConversion"/>
  </si>
  <si>
    <t>(대기료)</t>
    <phoneticPr fontId="10" type="noConversion"/>
  </si>
  <si>
    <t>(1일)</t>
    <phoneticPr fontId="10" type="noConversion"/>
  </si>
  <si>
    <t>(사용료)</t>
    <phoneticPr fontId="10" type="noConversion"/>
  </si>
  <si>
    <t>(원/일)</t>
    <phoneticPr fontId="10" type="noConversion"/>
  </si>
  <si>
    <t>노 무 비</t>
  </si>
  <si>
    <t>덤프트럭</t>
    <phoneticPr fontId="10" type="noConversion"/>
  </si>
  <si>
    <t xml:space="preserve"> 1. 덤프사용료 (1일 8시간 기준)</t>
    <phoneticPr fontId="10" type="noConversion"/>
  </si>
  <si>
    <t>(야간,휴일,춥고차가운장소에서 행하는 작업 할증50%)</t>
    <phoneticPr fontId="10" type="noConversion"/>
  </si>
  <si>
    <t xml:space="preserve"> 15톤덤프 제설재 운반 작업용</t>
    <phoneticPr fontId="10" type="noConversion"/>
  </si>
  <si>
    <t>원/일</t>
    <phoneticPr fontId="10" type="noConversion"/>
  </si>
  <si>
    <t xml:space="preserve">     계</t>
    <phoneticPr fontId="10" type="noConversion"/>
  </si>
  <si>
    <t xml:space="preserve">  계</t>
    <phoneticPr fontId="10" type="noConversion"/>
  </si>
  <si>
    <t>예정공정표</t>
    <phoneticPr fontId="2" type="noConversion"/>
  </si>
  <si>
    <t>구분</t>
    <phoneticPr fontId="2" type="noConversion"/>
  </si>
  <si>
    <t>보할(%)</t>
    <phoneticPr fontId="2" type="noConversion"/>
  </si>
  <si>
    <t>비고</t>
    <phoneticPr fontId="2" type="noConversion"/>
  </si>
  <si>
    <t>제설 및 결빙제거</t>
    <phoneticPr fontId="2" type="noConversion"/>
  </si>
  <si>
    <t>누   계</t>
    <phoneticPr fontId="2" type="noConversion"/>
  </si>
  <si>
    <t>동원인원계획표</t>
    <phoneticPr fontId="2" type="noConversion"/>
  </si>
  <si>
    <t>조종원</t>
    <phoneticPr fontId="2" type="noConversion"/>
  </si>
  <si>
    <t>제설원</t>
    <phoneticPr fontId="2" type="noConversion"/>
  </si>
  <si>
    <t>누계</t>
    <phoneticPr fontId="2" type="noConversion"/>
  </si>
  <si>
    <t xml:space="preserve">     1. 도로제설 및 결빙제거작업 : 1 식</t>
    <phoneticPr fontId="5" type="noConversion"/>
  </si>
  <si>
    <t xml:space="preserve">     2. 제설장비대기 : 1 식</t>
    <phoneticPr fontId="5" type="noConversion"/>
  </si>
  <si>
    <t xml:space="preserve">     3. 정기점검 : 1식</t>
    <phoneticPr fontId="5" type="noConversion"/>
  </si>
  <si>
    <t>공        종</t>
  </si>
  <si>
    <t>규      격</t>
  </si>
  <si>
    <t>수량</t>
  </si>
  <si>
    <t>단위</t>
  </si>
  <si>
    <t xml:space="preserve"> 단    가</t>
  </si>
  <si>
    <t>금          액</t>
  </si>
  <si>
    <t>비      고</t>
  </si>
  <si>
    <t>(1)</t>
  </si>
  <si>
    <t>직접공사비</t>
  </si>
  <si>
    <t/>
  </si>
  <si>
    <t>제설 및 결빙제거작업</t>
  </si>
  <si>
    <t xml:space="preserve"> </t>
    <phoneticPr fontId="2" type="noConversion"/>
  </si>
  <si>
    <t>(3)</t>
  </si>
  <si>
    <t>(4)</t>
  </si>
  <si>
    <t>(5)</t>
  </si>
  <si>
    <t>(6)</t>
  </si>
  <si>
    <t>(7)</t>
  </si>
  <si>
    <t>(8)</t>
  </si>
  <si>
    <t>수   량</t>
  </si>
  <si>
    <t>합  계</t>
  </si>
  <si>
    <t>비  고</t>
  </si>
  <si>
    <t>단   가</t>
  </si>
  <si>
    <t>E5_1</t>
  </si>
  <si>
    <t>E7_1</t>
  </si>
  <si>
    <t>E4_1</t>
  </si>
  <si>
    <t>E3_1</t>
  </si>
  <si>
    <t>설 계 자</t>
    <phoneticPr fontId="4" type="noConversion"/>
  </si>
  <si>
    <t>소   장</t>
    <phoneticPr fontId="4" type="noConversion"/>
  </si>
  <si>
    <t>식</t>
    <phoneticPr fontId="51" type="noConversion"/>
  </si>
  <si>
    <t>부가가치세</t>
    <phoneticPr fontId="51" type="noConversion"/>
  </si>
  <si>
    <t xml:space="preserve"> 15톤덤프 제설작업용</t>
    <phoneticPr fontId="10" type="noConversion"/>
  </si>
  <si>
    <t>(정비점검)</t>
    <phoneticPr fontId="10" type="noConversion"/>
  </si>
  <si>
    <t xml:space="preserve"> 1. 정비및점검(4회/월)</t>
    <phoneticPr fontId="10" type="noConversion"/>
  </si>
  <si>
    <t>(원/월)</t>
    <phoneticPr fontId="10" type="noConversion"/>
  </si>
  <si>
    <t xml:space="preserve">   계</t>
    <phoneticPr fontId="10" type="noConversion"/>
  </si>
  <si>
    <t xml:space="preserve">   계</t>
    <phoneticPr fontId="10" type="noConversion"/>
  </si>
  <si>
    <t>(9)</t>
  </si>
  <si>
    <t>과   장</t>
    <phoneticPr fontId="4" type="noConversion"/>
  </si>
  <si>
    <t xml:space="preserve"> 굴삭기(타이어, 0.6㎥) 제설자재 상차 및 결빙제거용</t>
    <phoneticPr fontId="10" type="noConversion"/>
  </si>
  <si>
    <t>1. 굴삭기 (0.6㎥) 사용료 (원/일 1대기준)</t>
    <phoneticPr fontId="10" type="noConversion"/>
  </si>
  <si>
    <t xml:space="preserve"> 1. 굴삭기(0.6 ㎥) 사용료 (1일 8시간 기준)</t>
    <phoneticPr fontId="10" type="noConversion"/>
  </si>
  <si>
    <t>주간작업시</t>
    <phoneticPr fontId="10" type="noConversion"/>
  </si>
  <si>
    <t>야간작업시</t>
    <phoneticPr fontId="10" type="noConversion"/>
  </si>
  <si>
    <t>산    출    근    거</t>
  </si>
  <si>
    <t>합    계</t>
  </si>
  <si>
    <t>비    고</t>
  </si>
  <si>
    <t>손    료</t>
  </si>
  <si>
    <t>￦ ×</t>
  </si>
  <si>
    <t xml:space="preserve"> ×</t>
  </si>
  <si>
    <t>주연료</t>
  </si>
  <si>
    <t>경유</t>
  </si>
  <si>
    <t>ℓ ×</t>
  </si>
  <si>
    <t>잡    품</t>
  </si>
  <si>
    <t>주연료의</t>
  </si>
  <si>
    <t>% ×</t>
  </si>
  <si>
    <t>건설기계운전기사</t>
  </si>
  <si>
    <t>인 ×</t>
  </si>
  <si>
    <t xml:space="preserve"> ×1/8*16/12*25/20</t>
  </si>
  <si>
    <t xml:space="preserve"> ×1/8</t>
    <phoneticPr fontId="24" type="noConversion"/>
  </si>
  <si>
    <t xml:space="preserve"> ×1/8*16/12*25/20</t>
    <phoneticPr fontId="24" type="noConversion"/>
  </si>
  <si>
    <t xml:space="preserve"> </t>
    <phoneticPr fontId="24" type="noConversion"/>
  </si>
  <si>
    <t>공 종</t>
    <phoneticPr fontId="2" type="noConversion"/>
  </si>
  <si>
    <t>비 고</t>
    <phoneticPr fontId="2" type="noConversion"/>
  </si>
  <si>
    <t>3. 제설용 투입 장비</t>
    <phoneticPr fontId="2" type="noConversion"/>
  </si>
  <si>
    <t>4. 제설자재(염화물수용액, 염화칼슘, 모래)는 우리소에서 지급하고</t>
    <phoneticPr fontId="2" type="noConversion"/>
  </si>
  <si>
    <t xml:space="preserve">   사용량에 따라 부족분은 추후에 추가 지급한다.</t>
    <phoneticPr fontId="2" type="noConversion"/>
  </si>
  <si>
    <t>도 급 예 정 액</t>
    <phoneticPr fontId="2" type="noConversion"/>
  </si>
  <si>
    <t>1</t>
    <phoneticPr fontId="2" type="noConversion"/>
  </si>
  <si>
    <t>공 급 가 액</t>
    <phoneticPr fontId="2" type="noConversion"/>
  </si>
  <si>
    <t>가</t>
    <phoneticPr fontId="2" type="noConversion"/>
  </si>
  <si>
    <t>순공사원가</t>
    <phoneticPr fontId="51" type="noConversion"/>
  </si>
  <si>
    <t xml:space="preserve">1. </t>
    <phoneticPr fontId="2" type="noConversion"/>
  </si>
  <si>
    <t>주간</t>
    <phoneticPr fontId="2" type="noConversion"/>
  </si>
  <si>
    <t>일</t>
    <phoneticPr fontId="2" type="noConversion"/>
  </si>
  <si>
    <t>(2)</t>
    <phoneticPr fontId="2" type="noConversion"/>
  </si>
  <si>
    <t>간접노무비</t>
    <phoneticPr fontId="51" type="noConversion"/>
  </si>
  <si>
    <t>식</t>
    <phoneticPr fontId="51" type="noConversion"/>
  </si>
  <si>
    <t xml:space="preserve"> </t>
    <phoneticPr fontId="2" type="noConversion"/>
  </si>
  <si>
    <t>산재보험료</t>
    <phoneticPr fontId="51" type="noConversion"/>
  </si>
  <si>
    <t>식</t>
    <phoneticPr fontId="51" type="noConversion"/>
  </si>
  <si>
    <t xml:space="preserve"> </t>
    <phoneticPr fontId="2" type="noConversion"/>
  </si>
  <si>
    <t>고용보험료</t>
    <phoneticPr fontId="51" type="noConversion"/>
  </si>
  <si>
    <t>식</t>
    <phoneticPr fontId="51" type="noConversion"/>
  </si>
  <si>
    <t>건강보험료</t>
    <phoneticPr fontId="51" type="noConversion"/>
  </si>
  <si>
    <t>연금보험료</t>
    <phoneticPr fontId="51" type="noConversion"/>
  </si>
  <si>
    <t>노인장기요양보험료</t>
    <phoneticPr fontId="51" type="noConversion"/>
  </si>
  <si>
    <t>산업안전보건관리비</t>
    <phoneticPr fontId="2" type="noConversion"/>
  </si>
  <si>
    <t>식</t>
    <phoneticPr fontId="2" type="noConversion"/>
  </si>
  <si>
    <t>기타경비</t>
    <phoneticPr fontId="51" type="noConversion"/>
  </si>
  <si>
    <r>
      <t>(</t>
    </r>
    <r>
      <rPr>
        <sz val="10"/>
        <rFont val="굴림체"/>
        <family val="3"/>
        <charset val="129"/>
      </rPr>
      <t>10</t>
    </r>
    <r>
      <rPr>
        <sz val="10"/>
        <rFont val="굴림체"/>
        <family val="3"/>
        <charset val="129"/>
      </rPr>
      <t>)</t>
    </r>
    <phoneticPr fontId="2" type="noConversion"/>
  </si>
  <si>
    <t>환경보전비</t>
    <phoneticPr fontId="51" type="noConversion"/>
  </si>
  <si>
    <t>나.</t>
    <phoneticPr fontId="2" type="noConversion"/>
  </si>
  <si>
    <t>일반관리비</t>
    <phoneticPr fontId="51" type="noConversion"/>
  </si>
  <si>
    <t xml:space="preserve"> </t>
    <phoneticPr fontId="2" type="noConversion"/>
  </si>
  <si>
    <t>다.</t>
    <phoneticPr fontId="2" type="noConversion"/>
  </si>
  <si>
    <t>이   윤</t>
    <phoneticPr fontId="51" type="noConversion"/>
  </si>
  <si>
    <t>식</t>
    <phoneticPr fontId="51" type="noConversion"/>
  </si>
  <si>
    <t>공    종</t>
    <phoneticPr fontId="2" type="noConversion"/>
  </si>
  <si>
    <t>(1)</t>
    <phoneticPr fontId="2" type="noConversion"/>
  </si>
  <si>
    <t>제설 및 결빙제거작업</t>
    <phoneticPr fontId="2" type="noConversion"/>
  </si>
  <si>
    <t>주간</t>
    <phoneticPr fontId="24" type="noConversion"/>
  </si>
  <si>
    <t>덤프+제설기+살포기+염수</t>
    <phoneticPr fontId="2" type="noConversion"/>
  </si>
  <si>
    <t>일</t>
    <phoneticPr fontId="2" type="noConversion"/>
  </si>
  <si>
    <t>야간</t>
    <phoneticPr fontId="24" type="noConversion"/>
  </si>
  <si>
    <t>정비점검</t>
    <phoneticPr fontId="2" type="noConversion"/>
  </si>
  <si>
    <t>월4회</t>
    <phoneticPr fontId="2" type="noConversion"/>
  </si>
  <si>
    <t>월</t>
    <phoneticPr fontId="2" type="noConversion"/>
  </si>
  <si>
    <t>덤프운반</t>
    <phoneticPr fontId="2" type="noConversion"/>
  </si>
  <si>
    <t>15ton(1대)</t>
    <phoneticPr fontId="2" type="noConversion"/>
  </si>
  <si>
    <t>`</t>
    <phoneticPr fontId="2" type="noConversion"/>
  </si>
  <si>
    <t>주간작업시</t>
    <phoneticPr fontId="24" type="noConversion"/>
  </si>
  <si>
    <t>야간작업시</t>
    <phoneticPr fontId="24" type="noConversion"/>
  </si>
  <si>
    <t>착수30일</t>
    <phoneticPr fontId="2" type="noConversion"/>
  </si>
  <si>
    <t>수 량 산 출 서</t>
    <phoneticPr fontId="2" type="noConversion"/>
  </si>
  <si>
    <t xml:space="preserve">ㅇ 용 역 명 : </t>
    <phoneticPr fontId="24" type="noConversion"/>
  </si>
  <si>
    <t>ㅇ 투입장비 :</t>
    <phoneticPr fontId="24" type="noConversion"/>
  </si>
  <si>
    <t>ㅇ 용역기간 :</t>
    <phoneticPr fontId="24" type="noConversion"/>
  </si>
  <si>
    <t>ㅇ 작업구간 :</t>
    <phoneticPr fontId="24" type="noConversion"/>
  </si>
  <si>
    <t>ㅇ 용역금액 :</t>
    <phoneticPr fontId="24" type="noConversion"/>
  </si>
  <si>
    <t>설계 요약서</t>
    <phoneticPr fontId="24" type="noConversion"/>
  </si>
  <si>
    <t>ㅇ 대기장소 :</t>
    <phoneticPr fontId="24" type="noConversion"/>
  </si>
  <si>
    <t>(실 작업내용에 따라 정산)</t>
    <phoneticPr fontId="24" type="noConversion"/>
  </si>
  <si>
    <t>3.덤프트럭15Ton(대기)</t>
    <phoneticPr fontId="24" type="noConversion"/>
  </si>
  <si>
    <t>4.덤프트럭15Ton(사용)</t>
    <phoneticPr fontId="24" type="noConversion"/>
  </si>
  <si>
    <t>2.굴삭기(타이어형)0.6㎥ (사용)</t>
    <phoneticPr fontId="24" type="noConversion"/>
  </si>
  <si>
    <t>재료비</t>
    <phoneticPr fontId="2" type="noConversion"/>
  </si>
  <si>
    <t>착수60일</t>
    <phoneticPr fontId="2" type="noConversion"/>
  </si>
  <si>
    <t>착수90일</t>
    <phoneticPr fontId="2" type="noConversion"/>
  </si>
  <si>
    <t>용역기간</t>
    <phoneticPr fontId="2" type="noConversion"/>
  </si>
  <si>
    <t>산 출 근 거</t>
    <phoneticPr fontId="2" type="noConversion"/>
  </si>
  <si>
    <t xml:space="preserve">                       원  가  계  산  서</t>
    <phoneticPr fontId="2" type="noConversion"/>
  </si>
  <si>
    <t xml:space="preserve"> 1. 공급가액</t>
    <phoneticPr fontId="2" type="noConversion"/>
  </si>
  <si>
    <t xml:space="preserve">  가. 순공사원가</t>
    <phoneticPr fontId="2" type="noConversion"/>
  </si>
  <si>
    <t xml:space="preserve">   (1) 직접공사비</t>
    <phoneticPr fontId="2" type="noConversion"/>
  </si>
  <si>
    <t>제설기 지원
살포기 지원</t>
    <phoneticPr fontId="2" type="noConversion"/>
  </si>
  <si>
    <t>2. 부 가 가 치 세 :</t>
    <phoneticPr fontId="4" type="noConversion"/>
  </si>
  <si>
    <t xml:space="preserve">1. 공  급  가  액 : </t>
    <phoneticPr fontId="4" type="noConversion"/>
  </si>
  <si>
    <r>
      <rPr>
        <b/>
        <sz val="11"/>
        <rFont val="맑은 고딕"/>
        <family val="3"/>
        <charset val="129"/>
      </rPr>
      <t>I</t>
    </r>
    <r>
      <rPr>
        <b/>
        <sz val="11"/>
        <rFont val="굴림체"/>
        <family val="3"/>
        <charset val="129"/>
      </rPr>
      <t>. 도급 예정액</t>
    </r>
    <phoneticPr fontId="2" type="noConversion"/>
  </si>
  <si>
    <r>
      <rPr>
        <sz val="12"/>
        <rFont val="맑은 고딕"/>
        <family val="3"/>
        <charset val="129"/>
      </rPr>
      <t>I</t>
    </r>
    <r>
      <rPr>
        <sz val="12"/>
        <rFont val="굴림체"/>
        <family val="3"/>
        <charset val="129"/>
      </rPr>
      <t>. 도 급 예 정 액 :</t>
    </r>
    <phoneticPr fontId="4" type="noConversion"/>
  </si>
  <si>
    <t xml:space="preserve">            &lt; 용 역 금 액 &gt;</t>
    <phoneticPr fontId="5" type="noConversion"/>
  </si>
  <si>
    <t xml:space="preserve">        &lt; 용 역 개 요 &gt;</t>
    <phoneticPr fontId="4" type="noConversion"/>
  </si>
  <si>
    <t xml:space="preserve"> 15톤덤프 제설작업용(제설기, 살포기 지원)</t>
    <phoneticPr fontId="10" type="noConversion"/>
  </si>
  <si>
    <t>순수노무비</t>
    <phoneticPr fontId="24" type="noConversion"/>
  </si>
  <si>
    <t>공 표 일</t>
  </si>
  <si>
    <t>보통인부</t>
  </si>
  <si>
    <t>건설기계운전사</t>
  </si>
  <si>
    <t>노무비</t>
    <phoneticPr fontId="24" type="noConversion"/>
  </si>
  <si>
    <t>노무비</t>
    <phoneticPr fontId="24" type="noConversion"/>
  </si>
  <si>
    <r>
      <t xml:space="preserve"> 2. 제설인원 (굴삭기 1대당 1인) : </t>
    </r>
    <r>
      <rPr>
        <b/>
        <sz val="9"/>
        <rFont val="굴림체"/>
        <family val="3"/>
        <charset val="129"/>
      </rPr>
      <t>주간작업시</t>
    </r>
    <phoneticPr fontId="10" type="noConversion"/>
  </si>
  <si>
    <t xml:space="preserve"> 제설인원 (굴삭기 1대당 1인)</t>
    <phoneticPr fontId="10" type="noConversion"/>
  </si>
  <si>
    <t xml:space="preserve"> 보통인부 : 1 인 / 일</t>
    <phoneticPr fontId="10" type="noConversion"/>
  </si>
  <si>
    <r>
      <t xml:space="preserve"> 2. 제설인원 (굴삭기 1대당 1인) :</t>
    </r>
    <r>
      <rPr>
        <b/>
        <sz val="9"/>
        <rFont val="굴림체"/>
        <family val="3"/>
        <charset val="129"/>
      </rPr>
      <t xml:space="preserve"> 야간작업시</t>
    </r>
    <phoneticPr fontId="10" type="noConversion"/>
  </si>
  <si>
    <t>(야간,휴일,춥고차가운장소에서 행하는 작업 할증50%)</t>
    <phoneticPr fontId="10" type="noConversion"/>
  </si>
  <si>
    <t>노무비</t>
    <phoneticPr fontId="10" type="noConversion"/>
  </si>
  <si>
    <r>
      <t xml:space="preserve"> 2. 제설인원 (15톤 덤프1대당 1인) : </t>
    </r>
    <r>
      <rPr>
        <b/>
        <sz val="9"/>
        <rFont val="굴림체"/>
        <family val="3"/>
        <charset val="129"/>
      </rPr>
      <t>주간작업시</t>
    </r>
    <phoneticPr fontId="10" type="noConversion"/>
  </si>
  <si>
    <t xml:space="preserve"> 제설인원 (15톤 덤프1대당 1인)</t>
    <phoneticPr fontId="10" type="noConversion"/>
  </si>
  <si>
    <t xml:space="preserve"> 보통인부 : 1 인 / 일</t>
    <phoneticPr fontId="10" type="noConversion"/>
  </si>
  <si>
    <t>사용(인부1명)/덤프1대</t>
    <phoneticPr fontId="2" type="noConversion"/>
  </si>
  <si>
    <t>5.덤프트럭15Ton(운반)</t>
    <phoneticPr fontId="24" type="noConversion"/>
  </si>
  <si>
    <r>
      <t xml:space="preserve"> 3. 제설인원 (15톤 덤프1대당 1인) :</t>
    </r>
    <r>
      <rPr>
        <b/>
        <sz val="9"/>
        <rFont val="굴림체"/>
        <family val="3"/>
        <charset val="129"/>
      </rPr>
      <t xml:space="preserve"> 야간작업시</t>
    </r>
    <phoneticPr fontId="10" type="noConversion"/>
  </si>
  <si>
    <r>
      <t>(</t>
    </r>
    <r>
      <rPr>
        <sz val="10"/>
        <rFont val="굴림체"/>
        <family val="3"/>
        <charset val="129"/>
      </rPr>
      <t>1</t>
    </r>
    <r>
      <rPr>
        <sz val="10"/>
        <rFont val="굴림체"/>
        <family val="3"/>
        <charset val="129"/>
      </rPr>
      <t>1)</t>
    </r>
    <phoneticPr fontId="2" type="noConversion"/>
  </si>
  <si>
    <t>건설기계대여금보증서발급금액</t>
    <phoneticPr fontId="2" type="noConversion"/>
  </si>
  <si>
    <t xml:space="preserve">번 호 </t>
    <phoneticPr fontId="24" type="noConversion"/>
  </si>
  <si>
    <t>직 종 명</t>
    <phoneticPr fontId="24" type="noConversion"/>
  </si>
  <si>
    <t>2. 제설작업 지역 : 설계설명서(나. 과업의 개요) 참조</t>
    <phoneticPr fontId="2" type="noConversion"/>
  </si>
  <si>
    <t>상각비</t>
    <phoneticPr fontId="24" type="noConversion"/>
  </si>
  <si>
    <t>정비비</t>
    <phoneticPr fontId="24" type="noConversion"/>
  </si>
  <si>
    <t>관리비</t>
    <phoneticPr fontId="24" type="noConversion"/>
  </si>
  <si>
    <t xml:space="preserve"> 1. 덤프대기료</t>
    <phoneticPr fontId="10" type="noConversion"/>
  </si>
  <si>
    <t>자재단가</t>
  </si>
  <si>
    <t>No</t>
  </si>
  <si>
    <t>품     명</t>
  </si>
  <si>
    <t>규   격</t>
  </si>
  <si>
    <t>가격정보</t>
  </si>
  <si>
    <t>물가자료</t>
  </si>
  <si>
    <t>유통물가</t>
  </si>
  <si>
    <t>물가정보</t>
  </si>
  <si>
    <t>거래가격</t>
  </si>
  <si>
    <t>견적가1</t>
  </si>
  <si>
    <t>적용단가</t>
  </si>
  <si>
    <t>비   고</t>
  </si>
  <si>
    <t>당초합계</t>
  </si>
  <si>
    <t>당초노무비</t>
  </si>
  <si>
    <t>당초재료비</t>
  </si>
  <si>
    <t>당초경비</t>
  </si>
  <si>
    <t>단  가</t>
  </si>
  <si>
    <t>page</t>
  </si>
  <si>
    <t>1</t>
  </si>
  <si>
    <t>경    유</t>
  </si>
  <si>
    <t>ℓ</t>
  </si>
  <si>
    <t>2</t>
  </si>
  <si>
    <t>휘 발 유</t>
  </si>
  <si>
    <t>포장보수재</t>
    <phoneticPr fontId="2" type="noConversion"/>
  </si>
  <si>
    <t>20kg</t>
    <phoneticPr fontId="2" type="noConversion"/>
  </si>
  <si>
    <t>포</t>
    <phoneticPr fontId="2" type="noConversion"/>
  </si>
  <si>
    <t>조달</t>
    <phoneticPr fontId="2" type="noConversion"/>
  </si>
  <si>
    <t>비고</t>
    <phoneticPr fontId="24" type="noConversion"/>
  </si>
  <si>
    <t>설  계  서</t>
    <phoneticPr fontId="24" type="noConversion"/>
  </si>
  <si>
    <t>상각비 900
정비비 700
관리비 679</t>
    <phoneticPr fontId="24" type="noConversion"/>
  </si>
  <si>
    <t>경비</t>
    <phoneticPr fontId="24" type="noConversion"/>
  </si>
  <si>
    <t>경    비</t>
    <phoneticPr fontId="24" type="noConversion"/>
  </si>
  <si>
    <t>재료비</t>
    <phoneticPr fontId="24" type="noConversion"/>
  </si>
  <si>
    <t>1.굴삭기(타이어형)0.6㎥ (대기)</t>
    <phoneticPr fontId="24" type="noConversion"/>
  </si>
  <si>
    <t>재료비</t>
    <phoneticPr fontId="24" type="noConversion"/>
  </si>
  <si>
    <t>재료비</t>
    <phoneticPr fontId="10" type="noConversion"/>
  </si>
  <si>
    <t>경  비</t>
    <phoneticPr fontId="10" type="noConversion"/>
  </si>
  <si>
    <t>재료비</t>
    <phoneticPr fontId="10" type="noConversion"/>
  </si>
  <si>
    <t>재료비</t>
    <phoneticPr fontId="24" type="noConversion"/>
  </si>
  <si>
    <t>경  비</t>
    <phoneticPr fontId="24" type="noConversion"/>
  </si>
  <si>
    <t>경   비</t>
    <phoneticPr fontId="24" type="noConversion"/>
  </si>
  <si>
    <t>재료비</t>
    <phoneticPr fontId="24" type="noConversion"/>
  </si>
  <si>
    <t>논 산 국 토 관 리 사 무 소</t>
    <phoneticPr fontId="24" type="noConversion"/>
  </si>
  <si>
    <t xml:space="preserve">                &lt; 용 역 금 액 &gt;</t>
    <phoneticPr fontId="4" type="noConversion"/>
  </si>
  <si>
    <t xml:space="preserve">        1. 도로제설 및 결빙제거작업 : 1 식</t>
    <phoneticPr fontId="5" type="noConversion"/>
  </si>
  <si>
    <t xml:space="preserve">        2. 제설장비대기 : 1 식</t>
    <phoneticPr fontId="5" type="noConversion"/>
  </si>
  <si>
    <t xml:space="preserve">        3. 정기점검 : 1식</t>
    <phoneticPr fontId="5" type="noConversion"/>
  </si>
  <si>
    <t xml:space="preserve">               &lt; 용 역 개 요 &gt;</t>
    <phoneticPr fontId="4" type="noConversion"/>
  </si>
  <si>
    <t>.</t>
    <phoneticPr fontId="24" type="noConversion"/>
  </si>
  <si>
    <t>도로순찰</t>
    <phoneticPr fontId="24" type="noConversion"/>
  </si>
  <si>
    <t>소    계</t>
    <phoneticPr fontId="10" type="noConversion"/>
  </si>
  <si>
    <t>원/시</t>
    <phoneticPr fontId="10" type="noConversion"/>
  </si>
  <si>
    <t xml:space="preserve"> 1. 트럭사용료 (1일 8시간 기준)</t>
    <phoneticPr fontId="10" type="noConversion"/>
  </si>
  <si>
    <t>도로순찰</t>
    <phoneticPr fontId="2" type="noConversion"/>
  </si>
  <si>
    <t>재료비</t>
    <phoneticPr fontId="24" type="noConversion"/>
  </si>
  <si>
    <t>시간</t>
    <phoneticPr fontId="2" type="noConversion"/>
  </si>
  <si>
    <t>굴삭기</t>
    <phoneticPr fontId="2" type="noConversion"/>
  </si>
  <si>
    <t>사용(인부1명)/0.6㎡</t>
    <phoneticPr fontId="2" type="noConversion"/>
  </si>
  <si>
    <t>보통인부</t>
    <phoneticPr fontId="24" type="noConversion"/>
  </si>
  <si>
    <t>대기 노무비 제거</t>
    <phoneticPr fontId="24" type="noConversion"/>
  </si>
  <si>
    <t xml:space="preserve"> 보통인부 : 1 인 / 시간</t>
    <phoneticPr fontId="10" type="noConversion"/>
  </si>
  <si>
    <t>사용(인부1명)/덤프1대</t>
  </si>
  <si>
    <t>Ⅱ</t>
    <phoneticPr fontId="2" type="noConversion"/>
  </si>
  <si>
    <t>Ⅰ</t>
    <phoneticPr fontId="2" type="noConversion"/>
  </si>
  <si>
    <t>제설작업 대기</t>
    <phoneticPr fontId="2" type="noConversion"/>
  </si>
  <si>
    <t>※기계경비+연료비+노무비(야간작업)</t>
    <phoneticPr fontId="2" type="noConversion"/>
  </si>
  <si>
    <t>※기계경비+연료비+노무비(주간작업)</t>
    <phoneticPr fontId="2" type="noConversion"/>
  </si>
  <si>
    <r>
      <rPr>
        <sz val="10"/>
        <rFont val="굴림체"/>
        <family val="3"/>
        <charset val="129"/>
      </rPr>
      <t>- 보통인부의 추가할증 50% 적용</t>
    </r>
    <phoneticPr fontId="2" type="noConversion"/>
  </si>
  <si>
    <t>화물차운전사</t>
    <phoneticPr fontId="24" type="noConversion"/>
  </si>
  <si>
    <t xml:space="preserve">     (가) 재료비</t>
    <phoneticPr fontId="2" type="noConversion"/>
  </si>
  <si>
    <t xml:space="preserve">     (다) 경  비</t>
    <phoneticPr fontId="2" type="noConversion"/>
  </si>
  <si>
    <t xml:space="preserve">     (나) 직접노무비</t>
    <phoneticPr fontId="2" type="noConversion"/>
  </si>
  <si>
    <t xml:space="preserve"> 2. 순찰인원 (2.5톤트럭 1대당 1인)</t>
    <phoneticPr fontId="10" type="noConversion"/>
  </si>
  <si>
    <t xml:space="preserve"> 순찰인원 (2.5톤트럭 1대당 1인)</t>
    <phoneticPr fontId="10" type="noConversion"/>
  </si>
  <si>
    <t>2.5ton(1대)</t>
    <phoneticPr fontId="2" type="noConversion"/>
  </si>
  <si>
    <t>상각비 1200
정비비 1067
관리비 700</t>
    <phoneticPr fontId="24" type="noConversion"/>
  </si>
  <si>
    <t>경  비</t>
    <phoneticPr fontId="10" type="noConversion"/>
  </si>
  <si>
    <t>경  비</t>
    <phoneticPr fontId="24" type="noConversion"/>
  </si>
  <si>
    <t>노무비</t>
    <phoneticPr fontId="24" type="noConversion"/>
  </si>
  <si>
    <t>경  비</t>
    <phoneticPr fontId="24" type="noConversion"/>
  </si>
  <si>
    <t>노무비</t>
    <phoneticPr fontId="24" type="noConversion"/>
  </si>
  <si>
    <t>경비</t>
    <phoneticPr fontId="24" type="noConversion"/>
  </si>
  <si>
    <t xml:space="preserve">        4. 도로순찰 : 1식</t>
    <phoneticPr fontId="5" type="noConversion"/>
  </si>
  <si>
    <t xml:space="preserve">        5. 제설자재 운반작업 : 1식</t>
    <phoneticPr fontId="4" type="noConversion"/>
  </si>
  <si>
    <t xml:space="preserve">     5. 제설자재 운반작업 : 1식</t>
    <phoneticPr fontId="4" type="noConversion"/>
  </si>
  <si>
    <t xml:space="preserve">     4. 도로순찰 : 1식</t>
    <phoneticPr fontId="4" type="noConversion"/>
  </si>
  <si>
    <r>
      <t>1</t>
    </r>
    <r>
      <rPr>
        <sz val="10"/>
        <rFont val="굴림체"/>
        <family val="3"/>
        <charset val="129"/>
      </rPr>
      <t>5%상한</t>
    </r>
    <phoneticPr fontId="2" type="noConversion"/>
  </si>
  <si>
    <t>환산작업연장</t>
    <phoneticPr fontId="24" type="noConversion"/>
  </si>
  <si>
    <t>투입장비</t>
    <phoneticPr fontId="24" type="noConversion"/>
  </si>
  <si>
    <t>덤프</t>
    <phoneticPr fontId="24" type="noConversion"/>
  </si>
  <si>
    <t>굴삭기</t>
    <phoneticPr fontId="24" type="noConversion"/>
  </si>
  <si>
    <t>km</t>
    <phoneticPr fontId="24" type="noConversion"/>
  </si>
  <si>
    <t>대</t>
    <phoneticPr fontId="24" type="noConversion"/>
  </si>
  <si>
    <t>심 사 자</t>
    <phoneticPr fontId="24" type="noConversion"/>
  </si>
  <si>
    <t>권역명</t>
    <phoneticPr fontId="24" type="noConversion"/>
  </si>
  <si>
    <t>권역</t>
    <phoneticPr fontId="24" type="noConversion"/>
  </si>
  <si>
    <t>작업구간연장</t>
    <phoneticPr fontId="24" type="noConversion"/>
  </si>
  <si>
    <t>km</t>
    <phoneticPr fontId="24" type="noConversion"/>
  </si>
  <si>
    <t>대</t>
    <phoneticPr fontId="24" type="noConversion"/>
  </si>
  <si>
    <t>순찰</t>
    <phoneticPr fontId="24" type="noConversion"/>
  </si>
  <si>
    <t>※기계경비+노무비(대기)</t>
    <phoneticPr fontId="2" type="noConversion"/>
  </si>
  <si>
    <r>
      <t>(</t>
    </r>
    <r>
      <rPr>
        <sz val="10"/>
        <rFont val="굴림체"/>
        <family val="3"/>
        <charset val="129"/>
      </rPr>
      <t>1</t>
    </r>
    <r>
      <rPr>
        <sz val="10"/>
        <rFont val="굴림체"/>
        <family val="3"/>
        <charset val="129"/>
      </rPr>
      <t>2)</t>
    </r>
    <phoneticPr fontId="2" type="noConversion"/>
  </si>
  <si>
    <t>퇴직공제부금비</t>
    <phoneticPr fontId="51" type="noConversion"/>
  </si>
  <si>
    <t xml:space="preserve">   (2) 간접노무비</t>
  </si>
  <si>
    <t xml:space="preserve">   (3) 산재보험료</t>
  </si>
  <si>
    <t xml:space="preserve">   (4) 고용보험료</t>
  </si>
  <si>
    <t>(직접노무비 + 간접노무비) × 0.0101 =</t>
  </si>
  <si>
    <t xml:space="preserve">   (5) 건강보험료</t>
  </si>
  <si>
    <t xml:space="preserve">   (6) 연금보험료</t>
  </si>
  <si>
    <t xml:space="preserve">   (7) 노인장기요양보험료</t>
  </si>
  <si>
    <t xml:space="preserve">   (8) 건설기계대여금보증서발급금액</t>
  </si>
  <si>
    <t xml:space="preserve">   (9) 산업안전보건관리비</t>
  </si>
  <si>
    <t xml:space="preserve">   (10) 기타 경비</t>
  </si>
  <si>
    <t xml:space="preserve">   (11) 환경보전비</t>
  </si>
  <si>
    <t>(재료비 + 직접노무비 + 산출경비) × 0.009 =</t>
  </si>
  <si>
    <t xml:space="preserve">   (12) 퇴직공제부금비</t>
  </si>
  <si>
    <t>직접노무비 × 0.023 =</t>
  </si>
  <si>
    <t xml:space="preserve">  나. 일반관리비</t>
  </si>
  <si>
    <t xml:space="preserve">  다. 이      윤</t>
  </si>
  <si>
    <t xml:space="preserve"> 2. 부가가치세</t>
  </si>
  <si>
    <t>공급가액 × 10% =</t>
  </si>
  <si>
    <t>보통인부노임</t>
    <phoneticPr fontId="10" type="noConversion"/>
  </si>
  <si>
    <t>노임단가</t>
    <phoneticPr fontId="24" type="noConversion"/>
  </si>
  <si>
    <t>건설기계운전사</t>
    <phoneticPr fontId="24" type="noConversion"/>
  </si>
  <si>
    <t>금액</t>
    <phoneticPr fontId="24" type="noConversion"/>
  </si>
  <si>
    <t>현장인부, 순찰인원</t>
    <phoneticPr fontId="24" type="noConversion"/>
  </si>
  <si>
    <t>순찰차 운전자</t>
    <phoneticPr fontId="24" type="noConversion"/>
  </si>
  <si>
    <t>15톤덤프, 굴착기</t>
    <phoneticPr fontId="24" type="noConversion"/>
  </si>
  <si>
    <t>차량가격</t>
    <phoneticPr fontId="24" type="noConversion"/>
  </si>
  <si>
    <t>유류가격</t>
    <phoneticPr fontId="24" type="noConversion"/>
  </si>
  <si>
    <t>적용</t>
    <phoneticPr fontId="24" type="noConversion"/>
  </si>
  <si>
    <t>경유</t>
    <phoneticPr fontId="24" type="noConversion"/>
  </si>
  <si>
    <t>휘발유</t>
    <phoneticPr fontId="24" type="noConversion"/>
  </si>
  <si>
    <t>덤프트럭(15ton)</t>
    <phoneticPr fontId="24" type="noConversion"/>
  </si>
  <si>
    <t>순찰용</t>
    <phoneticPr fontId="24" type="noConversion"/>
  </si>
  <si>
    <t>제설용</t>
    <phoneticPr fontId="24" type="noConversion"/>
  </si>
  <si>
    <t>제설차량 소금적재용</t>
    <phoneticPr fontId="24" type="noConversion"/>
  </si>
  <si>
    <t>일</t>
    <phoneticPr fontId="24" type="noConversion"/>
  </si>
  <si>
    <t>작업일수(주간)</t>
    <phoneticPr fontId="24" type="noConversion"/>
  </si>
  <si>
    <t>작업일수(야간)</t>
    <phoneticPr fontId="24" type="noConversion"/>
  </si>
  <si>
    <t>계룡-세종</t>
    <phoneticPr fontId="24" type="noConversion"/>
  </si>
  <si>
    <t>공주시 반포면 봉곡리 301-1(반포제설창고)</t>
    <phoneticPr fontId="24" type="noConversion"/>
  </si>
  <si>
    <t>설 계 내 역 서</t>
    <phoneticPr fontId="4" type="noConversion"/>
  </si>
  <si>
    <t>상각비   - 표준품셈상의 2.5톤 덤프트럭 적용</t>
    <phoneticPr fontId="24" type="noConversion"/>
  </si>
  <si>
    <t>x</t>
    <phoneticPr fontId="24" type="noConversion"/>
  </si>
  <si>
    <t>상긱비 900
정비비 700
관리비 679</t>
    <phoneticPr fontId="24" type="noConversion"/>
  </si>
  <si>
    <t>제설자재 운반작업</t>
    <phoneticPr fontId="2" type="noConversion"/>
  </si>
  <si>
    <t>6.덤프트럭2.5Ton(순찰)</t>
    <phoneticPr fontId="24" type="noConversion"/>
  </si>
  <si>
    <t>덤프(15t)</t>
    <phoneticPr fontId="24" type="noConversion"/>
  </si>
  <si>
    <t>(야간, 주말, 원거리, 분산작업 등을 고려 할증 50%)</t>
    <phoneticPr fontId="24" type="noConversion"/>
  </si>
  <si>
    <t>(노무비 + 경비 + 일반관리비) × 0.15=</t>
    <phoneticPr fontId="2" type="noConversion"/>
  </si>
  <si>
    <t>덤프트럭(2.5ton)</t>
    <phoneticPr fontId="24" type="noConversion"/>
  </si>
  <si>
    <t>0.6㎥굴삭기(주간작업) : 1일/8시간 x 72시간(추정시간) = 9일</t>
    <phoneticPr fontId="2" type="noConversion"/>
  </si>
  <si>
    <t>0.6㎥굴삭기(야간작업) : 1일/8시간 x 72시간(추정시간) = 9일</t>
    <phoneticPr fontId="2" type="noConversion"/>
  </si>
  <si>
    <t>15톤덤프(운반) : 1일/8시간 x 8시간(추정시간) = 1일</t>
    <phoneticPr fontId="2" type="noConversion"/>
  </si>
  <si>
    <t>9월 최저단가</t>
    <phoneticPr fontId="24" type="noConversion"/>
  </si>
  <si>
    <t>화물차운전사</t>
    <phoneticPr fontId="24" type="noConversion"/>
  </si>
  <si>
    <t>(직접노무비 + 간접노무비) × 0.0356 =</t>
    <phoneticPr fontId="2" type="noConversion"/>
  </si>
  <si>
    <t>착수121일</t>
    <phoneticPr fontId="2" type="noConversion"/>
  </si>
  <si>
    <t>0.6㎥굴삭기(대기) : 1일/8시간 x 72시간(추정시간) = 9일</t>
    <phoneticPr fontId="2" type="noConversion"/>
  </si>
  <si>
    <t xml:space="preserve"> 1. 덤프사용료 (1일 야간 8시간 기준, 야간작업시 운전자 할증50%)</t>
    <phoneticPr fontId="10" type="noConversion"/>
  </si>
  <si>
    <t xml:space="preserve"> 1. 굴삭기(0.6 ㎥) 사용료 (1일 8시간 기준, 야간작업시 운전자 할증50%)</t>
    <phoneticPr fontId="10" type="noConversion"/>
  </si>
  <si>
    <t>2025 상반기 노임단가</t>
    <phoneticPr fontId="24" type="noConversion"/>
  </si>
  <si>
    <r>
      <t>202</t>
    </r>
    <r>
      <rPr>
        <sz val="10"/>
        <color rgb="FF000000"/>
        <rFont val="맑은 고딕"/>
        <family val="3"/>
        <charset val="129"/>
      </rPr>
      <t>5</t>
    </r>
    <r>
      <rPr>
        <sz val="10"/>
        <color rgb="FF000000"/>
        <rFont val="한양신명조"/>
        <family val="3"/>
        <charset val="129"/>
      </rPr>
      <t>.</t>
    </r>
    <r>
      <rPr>
        <sz val="10"/>
        <color rgb="FF000000"/>
        <rFont val="맑은 고딕"/>
        <family val="3"/>
        <charset val="129"/>
      </rPr>
      <t>1</t>
    </r>
    <r>
      <rPr>
        <sz val="10"/>
        <color rgb="FF000000"/>
        <rFont val="한양신명조"/>
        <family val="3"/>
        <charset val="129"/>
      </rPr>
      <t>.1</t>
    </r>
    <phoneticPr fontId="24" type="noConversion"/>
  </si>
  <si>
    <t>15톤덤프(주간작업) : 1일/8시간 x 88시간(추정시간) = 11일</t>
    <phoneticPr fontId="2" type="noConversion"/>
  </si>
  <si>
    <t>15톤덤프(야간작업) : 1일/8시간 x 88시간(추정시간) = 11일</t>
    <phoneticPr fontId="2" type="noConversion"/>
  </si>
  <si>
    <t>15톤덤프(대기) : 1일/8시간 x 792시간(추정시간) = 99일</t>
    <phoneticPr fontId="2" type="noConversion"/>
  </si>
  <si>
    <t xml:space="preserve">2026년  10월 </t>
    <phoneticPr fontId="5" type="noConversion"/>
  </si>
  <si>
    <r>
      <t xml:space="preserve"> </t>
    </r>
    <r>
      <rPr>
        <b/>
        <sz val="14"/>
        <rFont val="굴림체"/>
        <family val="3"/>
        <charset val="129"/>
      </rPr>
      <t xml:space="preserve">  2026-2027년도</t>
    </r>
    <phoneticPr fontId="24" type="noConversion"/>
  </si>
  <si>
    <t>직접노무비 × 0.03595 =</t>
    <phoneticPr fontId="2" type="noConversion"/>
  </si>
  <si>
    <t>직접노무비 × 0.0475 =</t>
    <phoneticPr fontId="2" type="noConversion"/>
  </si>
  <si>
    <t>건강보험료 × 0.1314 =</t>
    <phoneticPr fontId="2" type="noConversion"/>
  </si>
  <si>
    <t>(재료비 + 직접노무비 + 산출경비) × 0.0010 =</t>
    <phoneticPr fontId="2" type="noConversion"/>
  </si>
  <si>
    <t>(재료비 + 직접노무비)×0.0315 =</t>
    <phoneticPr fontId="2" type="noConversion"/>
  </si>
  <si>
    <t>(재료비 + 직접노무비 + 간접노무비) × 0.055 =</t>
    <phoneticPr fontId="2" type="noConversion"/>
  </si>
  <si>
    <t>(재료비 + 노무비 + 경비) × 0.08 =</t>
    <phoneticPr fontId="2" type="noConversion"/>
  </si>
  <si>
    <t>직접노무비 × 0.191 =</t>
    <phoneticPr fontId="2" type="noConversion"/>
  </si>
  <si>
    <t>2026.9.</t>
    <phoneticPr fontId="24" type="noConversion"/>
  </si>
  <si>
    <t>2025.9.</t>
    <phoneticPr fontId="24" type="noConversion"/>
  </si>
  <si>
    <t>조달청 9월 중기기초단가</t>
    <phoneticPr fontId="24" type="noConversion"/>
  </si>
  <si>
    <t>2026.11.15. ~ 2027.03.25. (131일간) (전체)
2026.11.15. ~ 2026.12.31. (47일간) (1차)
2027.01.01. ~ 2027.03.25. (84일간) (2차)</t>
    <phoneticPr fontId="24" type="noConversion"/>
  </si>
  <si>
    <t>착수131일</t>
    <phoneticPr fontId="2" type="noConversion"/>
  </si>
  <si>
    <t>5
행정서류준비</t>
    <phoneticPr fontId="2" type="noConversion"/>
  </si>
  <si>
    <t>착수121일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</si>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</sst>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.0_-;\-* #,##0.0_-;_-* &quot;-&quot;_-;_-@_-"/>
    <numFmt numFmtId="179" formatCode="_ &quot;₩&quot;* #,##0_ ;_ &quot;₩&quot;* \-#,##0_ ;_ &quot;₩&quot;* &quot;-&quot;_ ;_ @_ "/>
    <numFmt numFmtId="180" formatCode="_ &quot;₩&quot;* #,##0.00_ ;_ &quot;₩&quot;* \-#,##0.00_ ;_ &quot;₩&quot;* &quot;-&quot;??_ ;_ @_ "/>
    <numFmt numFmtId="181" formatCode="#,##0_ "/>
    <numFmt numFmtId="182" formatCode="#,##0;\(#,##0\)"/>
    <numFmt numFmtId="183" formatCode="#."/>
    <numFmt numFmtId="184" formatCode=";;;"/>
    <numFmt numFmtId="185" formatCode="0.0_);[Red]\(0.0\)"/>
    <numFmt numFmtId="186" formatCode="0.0_ "/>
    <numFmt numFmtId="187" formatCode="0.000_);[Red]\(0.000\)"/>
    <numFmt numFmtId="188" formatCode="0_);[Red]\(0\)"/>
    <numFmt numFmtId="189" formatCode="#,###"/>
    <numFmt numFmtId="190" formatCode="&quot;$&quot;#,##0_);[Red]\(&quot;$&quot;#,##0\)"/>
    <numFmt numFmtId="191" formatCode="_ &quot;₩&quot;* #,##0.00_ ;_ &quot;₩&quot;* &quot;₩&quot;&quot;₩&quot;&quot;₩&quot;&quot;₩&quot;&quot;₩&quot;&quot;₩&quot;\-#,##0.00_ ;_ &quot;₩&quot;* &quot;-&quot;??_ ;_ @_ "/>
    <numFmt numFmtId="192" formatCode="#,###.0##"/>
    <numFmt numFmtId="193" formatCode="#,##0.0#######"/>
    <numFmt numFmtId="194" formatCode="&quot;일금&quot;\ \ #,##0_ &quot;원정&quot;"/>
    <numFmt numFmtId="195" formatCode="&quot;금&quot;\ #,##0\ &quot;원&quot;\ \ \ "/>
    <numFmt numFmtId="196" formatCode="&quot;금&quot;#,##0\ &quot;원&quot;"/>
    <numFmt numFmtId="197" formatCode="&quot;금&quot;__\ #,##0\ &quot;원&quot;\ \ \ "/>
    <numFmt numFmtId="198" formatCode="&quot;금&quot;___ #,##0\ &quot;원&quot;\ \ \ "/>
    <numFmt numFmtId="199" formatCode="_-* #,##0.0_-;\-* #,##0.0_-;_-* &quot;-&quot;?_-;_-@_-"/>
    <numFmt numFmtId="200" formatCode="_(* #,##0_);_(* \(#,##0\);_(* &quot;-&quot;_);_(@_)"/>
    <numFmt numFmtId="201" formatCode="#,##0.0"/>
    <numFmt numFmtId="202" formatCode="0.0"/>
  </numFmts>
  <fonts count="85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6"/>
      <name val="굴림체"/>
      <family val="3"/>
      <charset val="129"/>
    </font>
    <font>
      <sz val="9"/>
      <name val="굴림체"/>
      <family val="3"/>
      <charset val="129"/>
    </font>
    <font>
      <sz val="14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¹UAAA¼"/>
      <family val="1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8"/>
      <color indexed="8"/>
      <name val="Gulim"/>
      <family val="3"/>
    </font>
    <font>
      <sz val="10"/>
      <name val="돋움체"/>
      <family val="3"/>
      <charset val="129"/>
    </font>
    <font>
      <b/>
      <sz val="18"/>
      <name val="Arial"/>
      <family val="2"/>
    </font>
    <font>
      <b/>
      <sz val="20"/>
      <name val="굴림체"/>
      <family val="3"/>
      <charset val="129"/>
    </font>
    <font>
      <b/>
      <sz val="24"/>
      <name val="돋움"/>
      <family val="3"/>
      <charset val="129"/>
    </font>
    <font>
      <sz val="14"/>
      <name val="돋움"/>
      <family val="3"/>
      <charset val="129"/>
    </font>
    <font>
      <sz val="8"/>
      <name val="굴림체"/>
      <family val="3"/>
      <charset val="129"/>
    </font>
    <font>
      <b/>
      <sz val="10"/>
      <color indexed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±¼¸²A¼"/>
      <family val="3"/>
      <charset val="129"/>
    </font>
    <font>
      <sz val="10"/>
      <name val="±¼¸²A¼"/>
      <family val="3"/>
      <charset val="129"/>
    </font>
    <font>
      <b/>
      <sz val="10"/>
      <name val="Arial"/>
      <family val="2"/>
    </font>
    <font>
      <b/>
      <sz val="20"/>
      <name val="새굴림"/>
      <family val="1"/>
      <charset val="129"/>
    </font>
    <font>
      <sz val="12"/>
      <name val="돋움"/>
      <family val="3"/>
      <charset val="129"/>
    </font>
    <font>
      <b/>
      <sz val="1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i/>
      <sz val="12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48"/>
      <name val="굴림체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b/>
      <sz val="20"/>
      <name val="Arial"/>
      <family val="2"/>
    </font>
    <font>
      <b/>
      <sz val="9"/>
      <color indexed="8"/>
      <name val="굴림체"/>
      <family val="3"/>
      <charset val="129"/>
    </font>
    <font>
      <sz val="13"/>
      <name val="굴림체"/>
      <family val="3"/>
      <charset val="129"/>
    </font>
    <font>
      <sz val="12"/>
      <name val="바탕"/>
      <family val="1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26"/>
      <name val="굴림체"/>
      <family val="3"/>
      <charset val="129"/>
    </font>
    <font>
      <sz val="26"/>
      <name val="굴림체"/>
      <family val="3"/>
      <charset val="129"/>
    </font>
    <font>
      <sz val="11"/>
      <name val="굴림"/>
      <family val="3"/>
      <charset val="129"/>
    </font>
    <font>
      <b/>
      <sz val="7"/>
      <name val="굴림체"/>
      <family val="3"/>
      <charset val="129"/>
    </font>
    <font>
      <sz val="7"/>
      <name val="굴림체"/>
      <family val="3"/>
      <charset val="129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9"/>
      <name val="굴림체"/>
      <family val="3"/>
    </font>
    <font>
      <sz val="10"/>
      <color rgb="FF000000"/>
      <name val="한양신명조"/>
      <family val="3"/>
      <charset val="129"/>
    </font>
    <font>
      <sz val="10"/>
      <color theme="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10"/>
      <color rgb="FF000000"/>
      <name val="한양신명조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굴림체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6">
    <xf numFmtId="0" fontId="0" fillId="0" borderId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17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7" fillId="0" borderId="0" applyFont="0" applyFill="0" applyBorder="0" applyAlignment="0" applyProtection="0"/>
    <xf numFmtId="18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7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7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5" fillId="0" borderId="0"/>
    <xf numFmtId="0" fontId="16" fillId="0" borderId="0"/>
    <xf numFmtId="0" fontId="48" fillId="0" borderId="0"/>
    <xf numFmtId="183" fontId="18" fillId="0" borderId="0">
      <protection locked="0"/>
    </xf>
    <xf numFmtId="38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83" fontId="18" fillId="0" borderId="0">
      <protection locked="0"/>
    </xf>
    <xf numFmtId="190" fontId="3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19" fillId="0" borderId="0"/>
    <xf numFmtId="0" fontId="3" fillId="0" borderId="0"/>
    <xf numFmtId="183" fontId="18" fillId="0" borderId="0">
      <protection locked="0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0" borderId="1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3" borderId="3" applyNumberFormat="0" applyAlignment="0" applyProtection="0">
      <alignment vertical="center"/>
    </xf>
    <xf numFmtId="200" fontId="66" fillId="0" borderId="0" applyFont="0" applyFill="0" applyBorder="0" applyAlignment="0" applyProtection="0"/>
    <xf numFmtId="0" fontId="38" fillId="0" borderId="4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6" fillId="20" borderId="9" applyNumberFormat="0" applyAlignment="0" applyProtection="0">
      <alignment vertical="center"/>
    </xf>
    <xf numFmtId="191" fontId="3" fillId="0" borderId="0" applyFont="0" applyFill="0" applyBorder="0" applyAlignment="0" applyProtection="0"/>
    <xf numFmtId="0" fontId="6" fillId="0" borderId="0" applyFont="0" applyFill="0" applyBorder="0" applyAlignment="0" applyProtection="0"/>
  </cellStyleXfs>
  <cellXfs count="592">
    <xf numFmtId="0" fontId="0" fillId="0" borderId="0" xfId="0"/>
    <xf numFmtId="41" fontId="12" fillId="0" borderId="10" xfId="0" applyNumberFormat="1" applyFont="1" applyBorder="1" applyAlignment="1">
      <alignment vertical="center" wrapText="1"/>
    </xf>
    <xf numFmtId="41" fontId="8" fillId="0" borderId="10" xfId="0" applyNumberFormat="1" applyFont="1" applyBorder="1" applyAlignment="1">
      <alignment vertical="center" wrapText="1"/>
    </xf>
    <xf numFmtId="41" fontId="12" fillId="0" borderId="10" xfId="0" applyNumberFormat="1" applyFont="1" applyBorder="1" applyAlignment="1">
      <alignment horizontal="left" vertical="center" wrapText="1"/>
    </xf>
    <xf numFmtId="41" fontId="12" fillId="0" borderId="10" xfId="0" applyNumberFormat="1" applyFont="1" applyBorder="1" applyAlignment="1">
      <alignment vertical="center"/>
    </xf>
    <xf numFmtId="41" fontId="1" fillId="0" borderId="10" xfId="0" applyNumberFormat="1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NumberFormat="1" applyFont="1"/>
    <xf numFmtId="0" fontId="7" fillId="0" borderId="0" xfId="0" applyNumberFormat="1" applyFont="1"/>
    <xf numFmtId="0" fontId="1" fillId="0" borderId="0" xfId="0" quotePrefix="1" applyNumberFormat="1" applyFont="1" applyBorder="1" applyAlignment="1">
      <alignment horizontal="center" vertical="center" textRotation="255"/>
    </xf>
    <xf numFmtId="0" fontId="1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Continuous" vertical="center"/>
    </xf>
    <xf numFmtId="0" fontId="10" fillId="0" borderId="0" xfId="0" quotePrefix="1" applyNumberFormat="1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horizontal="centerContinuous" vertical="center"/>
    </xf>
    <xf numFmtId="0" fontId="8" fillId="0" borderId="0" xfId="0" applyNumberFormat="1" applyFont="1" applyBorder="1"/>
    <xf numFmtId="0" fontId="8" fillId="0" borderId="0" xfId="0" applyNumberFormat="1" applyFont="1"/>
    <xf numFmtId="0" fontId="8" fillId="0" borderId="0" xfId="0" applyNumberFormat="1" applyFont="1" applyBorder="1" applyAlignment="1">
      <alignment vertical="center"/>
    </xf>
    <xf numFmtId="0" fontId="10" fillId="0" borderId="0" xfId="0" applyNumberFormat="1" applyFont="1" applyBorder="1"/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/>
    <xf numFmtId="0" fontId="10" fillId="0" borderId="13" xfId="0" applyNumberFormat="1" applyFont="1" applyBorder="1" applyAlignment="1">
      <alignment horizontal="centerContinuous" vertical="center"/>
    </xf>
    <xf numFmtId="0" fontId="10" fillId="0" borderId="14" xfId="0" applyNumberFormat="1" applyFont="1" applyBorder="1" applyAlignment="1">
      <alignment horizontal="centerContinuous"/>
    </xf>
    <xf numFmtId="0" fontId="7" fillId="0" borderId="13" xfId="0" applyNumberFormat="1" applyFont="1" applyBorder="1"/>
    <xf numFmtId="0" fontId="7" fillId="0" borderId="0" xfId="0" applyNumberFormat="1" applyFont="1" applyBorder="1"/>
    <xf numFmtId="0" fontId="8" fillId="0" borderId="13" xfId="0" applyNumberFormat="1" applyFont="1" applyBorder="1"/>
    <xf numFmtId="0" fontId="0" fillId="0" borderId="0" xfId="0" applyBorder="1" applyAlignment="1">
      <alignment vertical="center"/>
    </xf>
    <xf numFmtId="0" fontId="14" fillId="0" borderId="15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/>
    <xf numFmtId="0" fontId="13" fillId="0" borderId="20" xfId="0" applyFont="1" applyBorder="1" applyAlignment="1">
      <alignment horizontal="center"/>
    </xf>
    <xf numFmtId="0" fontId="13" fillId="0" borderId="0" xfId="0" applyFont="1" applyBorder="1" applyAlignment="1"/>
    <xf numFmtId="0" fontId="10" fillId="0" borderId="0" xfId="0" applyFont="1" applyBorder="1" applyAlignment="1"/>
    <xf numFmtId="0" fontId="1" fillId="0" borderId="2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/>
    <xf numFmtId="0" fontId="1" fillId="0" borderId="22" xfId="0" applyFont="1" applyBorder="1" applyAlignment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20" xfId="0" applyFont="1" applyBorder="1" applyAlignment="1">
      <alignment horizontal="center"/>
    </xf>
    <xf numFmtId="0" fontId="10" fillId="0" borderId="0" xfId="0" applyFont="1" applyAlignment="1"/>
    <xf numFmtId="0" fontId="26" fillId="0" borderId="20" xfId="0" applyFont="1" applyBorder="1" applyAlignment="1">
      <alignment horizontal="center"/>
    </xf>
    <xf numFmtId="0" fontId="26" fillId="0" borderId="0" xfId="0" applyFont="1" applyBorder="1" applyAlignment="1"/>
    <xf numFmtId="0" fontId="27" fillId="0" borderId="23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8" fillId="0" borderId="14" xfId="0" applyNumberFormat="1" applyFont="1" applyBorder="1" applyAlignment="1">
      <alignment horizontal="centerContinuous"/>
    </xf>
    <xf numFmtId="0" fontId="8" fillId="0" borderId="14" xfId="0" applyNumberFormat="1" applyFont="1" applyBorder="1" applyAlignment="1">
      <alignment horizontal="centerContinuous" vertical="center"/>
    </xf>
    <xf numFmtId="41" fontId="7" fillId="0" borderId="13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centerContinuous"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14" xfId="0" applyNumberFormat="1" applyFont="1" applyBorder="1" applyAlignment="1">
      <alignment horizontal="centerContinuous" vertical="center"/>
    </xf>
    <xf numFmtId="0" fontId="7" fillId="0" borderId="0" xfId="0" applyNumberFormat="1" applyFont="1" applyBorder="1" applyAlignment="1">
      <alignment vertical="center"/>
    </xf>
    <xf numFmtId="41" fontId="7" fillId="0" borderId="0" xfId="0" applyNumberFormat="1" applyFont="1" applyBorder="1" applyAlignment="1">
      <alignment horizontal="center" vertical="center"/>
    </xf>
    <xf numFmtId="41" fontId="8" fillId="0" borderId="13" xfId="0" applyNumberFormat="1" applyFont="1" applyBorder="1" applyAlignment="1">
      <alignment horizontal="left" vertical="center"/>
    </xf>
    <xf numFmtId="0" fontId="10" fillId="0" borderId="13" xfId="0" applyNumberFormat="1" applyFont="1" applyBorder="1"/>
    <xf numFmtId="0" fontId="10" fillId="0" borderId="14" xfId="0" applyNumberFormat="1" applyFont="1" applyBorder="1"/>
    <xf numFmtId="0" fontId="10" fillId="0" borderId="24" xfId="0" applyNumberFormat="1" applyFont="1" applyBorder="1"/>
    <xf numFmtId="0" fontId="10" fillId="0" borderId="22" xfId="0" applyNumberFormat="1" applyFont="1" applyBorder="1"/>
    <xf numFmtId="0" fontId="10" fillId="0" borderId="25" xfId="0" applyNumberFormat="1" applyFont="1" applyBorder="1"/>
    <xf numFmtId="181" fontId="1" fillId="0" borderId="10" xfId="0" applyNumberFormat="1" applyFont="1" applyBorder="1" applyAlignment="1">
      <alignment horizontal="center" vertical="center"/>
    </xf>
    <xf numFmtId="0" fontId="1" fillId="0" borderId="0" xfId="0" applyFont="1"/>
    <xf numFmtId="0" fontId="14" fillId="0" borderId="10" xfId="0" applyFont="1" applyBorder="1" applyAlignment="1">
      <alignment vertical="center"/>
    </xf>
    <xf numFmtId="181" fontId="1" fillId="0" borderId="10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3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vertical="center"/>
    </xf>
    <xf numFmtId="181" fontId="8" fillId="0" borderId="10" xfId="0" applyNumberFormat="1" applyFont="1" applyBorder="1" applyAlignment="1">
      <alignment horizontal="right" vertical="center"/>
    </xf>
    <xf numFmtId="0" fontId="12" fillId="0" borderId="10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3" fillId="0" borderId="10" xfId="0" quotePrefix="1" applyNumberFormat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right" vertical="center"/>
    </xf>
    <xf numFmtId="178" fontId="1" fillId="0" borderId="10" xfId="0" applyNumberFormat="1" applyFont="1" applyBorder="1" applyAlignment="1">
      <alignment horizontal="left" vertical="center" wrapText="1"/>
    </xf>
    <xf numFmtId="41" fontId="8" fillId="0" borderId="1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181" fontId="12" fillId="0" borderId="10" xfId="0" applyNumberFormat="1" applyFont="1" applyBorder="1" applyAlignment="1">
      <alignment horizontal="right" vertical="center"/>
    </xf>
    <xf numFmtId="181" fontId="1" fillId="0" borderId="0" xfId="0" applyNumberFormat="1" applyFont="1" applyAlignment="1">
      <alignment horizontal="right"/>
    </xf>
    <xf numFmtId="0" fontId="7" fillId="0" borderId="0" xfId="0" applyFont="1"/>
    <xf numFmtId="3" fontId="7" fillId="0" borderId="0" xfId="0" applyNumberFormat="1" applyFont="1"/>
    <xf numFmtId="3" fontId="1" fillId="0" borderId="0" xfId="0" applyNumberFormat="1" applyFont="1" applyAlignment="1">
      <alignment vertical="center"/>
    </xf>
    <xf numFmtId="3" fontId="1" fillId="0" borderId="0" xfId="0" applyNumberFormat="1" applyFont="1"/>
    <xf numFmtId="3" fontId="53" fillId="0" borderId="0" xfId="0" applyNumberFormat="1" applyFont="1" applyAlignment="1">
      <alignment vertical="center"/>
    </xf>
    <xf numFmtId="184" fontId="53" fillId="0" borderId="0" xfId="0" applyNumberFormat="1" applyFont="1" applyAlignment="1">
      <alignment vertical="center"/>
    </xf>
    <xf numFmtId="3" fontId="54" fillId="0" borderId="0" xfId="0" applyNumberFormat="1" applyFont="1" applyAlignment="1">
      <alignment horizontal="right" vertical="center"/>
    </xf>
    <xf numFmtId="3" fontId="54" fillId="0" borderId="0" xfId="0" applyNumberFormat="1" applyFont="1" applyAlignment="1" applyProtection="1">
      <alignment horizontal="right" vertical="center"/>
      <protection locked="0"/>
    </xf>
    <xf numFmtId="3" fontId="54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center" vertical="center"/>
    </xf>
    <xf numFmtId="0" fontId="55" fillId="0" borderId="0" xfId="0" applyFont="1"/>
    <xf numFmtId="3" fontId="1" fillId="0" borderId="0" xfId="0" applyNumberFormat="1" applyFont="1" applyBorder="1"/>
    <xf numFmtId="3" fontId="56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49" fontId="13" fillId="0" borderId="10" xfId="0" applyNumberFormat="1" applyFont="1" applyBorder="1" applyAlignment="1">
      <alignment horizontal="left" vertical="center"/>
    </xf>
    <xf numFmtId="0" fontId="57" fillId="0" borderId="0" xfId="0" applyFont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0" xfId="0" applyFill="1"/>
    <xf numFmtId="0" fontId="57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center" vertical="center"/>
    </xf>
    <xf numFmtId="186" fontId="1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185" fontId="1" fillId="0" borderId="10" xfId="0" applyNumberFormat="1" applyFont="1" applyBorder="1" applyAlignment="1">
      <alignment horizontal="right" vertical="center"/>
    </xf>
    <xf numFmtId="0" fontId="25" fillId="0" borderId="0" xfId="0" applyFont="1" applyBorder="1" applyAlignment="1"/>
    <xf numFmtId="0" fontId="10" fillId="0" borderId="10" xfId="0" applyFont="1" applyFill="1" applyBorder="1" applyAlignment="1">
      <alignment horizontal="center" vertical="center" wrapText="1"/>
    </xf>
    <xf numFmtId="3" fontId="0" fillId="0" borderId="0" xfId="0" applyNumberFormat="1"/>
    <xf numFmtId="0" fontId="10" fillId="0" borderId="0" xfId="0" quotePrefix="1" applyFont="1" applyBorder="1" applyAlignment="1"/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/>
    <xf numFmtId="0" fontId="26" fillId="0" borderId="20" xfId="0" applyFont="1" applyFill="1" applyBorder="1" applyAlignment="1">
      <alignment horizontal="center"/>
    </xf>
    <xf numFmtId="0" fontId="10" fillId="0" borderId="0" xfId="0" applyFont="1" applyFill="1" applyBorder="1" applyAlignment="1"/>
    <xf numFmtId="0" fontId="61" fillId="0" borderId="0" xfId="0" applyFont="1" applyBorder="1" applyAlignment="1">
      <alignment horizontal="center" vertical="center"/>
    </xf>
    <xf numFmtId="0" fontId="62" fillId="0" borderId="0" xfId="0" applyFont="1" applyBorder="1" applyAlignment="1">
      <alignment horizontal="center" vertical="center"/>
    </xf>
    <xf numFmtId="0" fontId="62" fillId="0" borderId="0" xfId="0" applyFont="1" applyAlignment="1">
      <alignment horizontal="center" vertical="center"/>
    </xf>
    <xf numFmtId="189" fontId="26" fillId="0" borderId="26" xfId="0" applyNumberFormat="1" applyFont="1" applyBorder="1" applyAlignment="1">
      <alignment vertical="center"/>
    </xf>
    <xf numFmtId="189" fontId="26" fillId="0" borderId="27" xfId="0" applyNumberFormat="1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189" fontId="58" fillId="0" borderId="26" xfId="0" applyNumberFormat="1" applyFont="1" applyBorder="1" applyAlignment="1">
      <alignment vertical="center"/>
    </xf>
    <xf numFmtId="192" fontId="10" fillId="0" borderId="27" xfId="0" applyNumberFormat="1" applyFont="1" applyBorder="1" applyAlignment="1">
      <alignment vertical="center"/>
    </xf>
    <xf numFmtId="193" fontId="58" fillId="0" borderId="26" xfId="0" applyNumberFormat="1" applyFont="1" applyBorder="1" applyAlignment="1">
      <alignment vertical="center"/>
    </xf>
    <xf numFmtId="193" fontId="10" fillId="0" borderId="26" xfId="0" applyNumberFormat="1" applyFont="1" applyBorder="1" applyAlignment="1">
      <alignment vertical="center"/>
    </xf>
    <xf numFmtId="189" fontId="26" fillId="0" borderId="26" xfId="0" applyNumberFormat="1" applyFont="1" applyFill="1" applyBorder="1" applyAlignment="1">
      <alignment vertical="center"/>
    </xf>
    <xf numFmtId="189" fontId="26" fillId="0" borderId="27" xfId="0" applyNumberFormat="1" applyFont="1" applyFill="1" applyBorder="1" applyAlignment="1">
      <alignment vertical="center"/>
    </xf>
    <xf numFmtId="0" fontId="10" fillId="0" borderId="27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189" fontId="58" fillId="0" borderId="26" xfId="0" applyNumberFormat="1" applyFont="1" applyFill="1" applyBorder="1" applyAlignment="1">
      <alignment vertical="center"/>
    </xf>
    <xf numFmtId="193" fontId="58" fillId="0" borderId="26" xfId="0" applyNumberFormat="1" applyFont="1" applyFill="1" applyBorder="1" applyAlignment="1">
      <alignment vertical="center"/>
    </xf>
    <xf numFmtId="193" fontId="10" fillId="0" borderId="26" xfId="0" applyNumberFormat="1" applyFont="1" applyFill="1" applyBorder="1" applyAlignment="1">
      <alignment vertical="center"/>
    </xf>
    <xf numFmtId="0" fontId="13" fillId="24" borderId="10" xfId="0" applyFont="1" applyFill="1" applyBorder="1" applyAlignment="1">
      <alignment horizontal="left" vertical="center"/>
    </xf>
    <xf numFmtId="0" fontId="1" fillId="24" borderId="10" xfId="0" applyFont="1" applyFill="1" applyBorder="1" applyAlignment="1">
      <alignment horizontal="right" vertical="center"/>
    </xf>
    <xf numFmtId="0" fontId="1" fillId="24" borderId="10" xfId="0" applyFont="1" applyFill="1" applyBorder="1" applyAlignment="1">
      <alignment horizontal="center" vertical="center"/>
    </xf>
    <xf numFmtId="188" fontId="1" fillId="24" borderId="10" xfId="0" applyNumberFormat="1" applyFont="1" applyFill="1" applyBorder="1" applyAlignment="1">
      <alignment horizontal="right" vertical="center"/>
    </xf>
    <xf numFmtId="187" fontId="1" fillId="24" borderId="10" xfId="0" applyNumberFormat="1" applyFont="1" applyFill="1" applyBorder="1" applyAlignment="1">
      <alignment horizontal="right" vertical="center"/>
    </xf>
    <xf numFmtId="0" fontId="13" fillId="24" borderId="10" xfId="0" applyFont="1" applyFill="1" applyBorder="1" applyAlignment="1">
      <alignment horizontal="center" vertical="center"/>
    </xf>
    <xf numFmtId="186" fontId="1" fillId="24" borderId="10" xfId="0" applyNumberFormat="1" applyFont="1" applyFill="1" applyBorder="1" applyAlignment="1">
      <alignment horizontal="right" vertical="center"/>
    </xf>
    <xf numFmtId="0" fontId="0" fillId="0" borderId="10" xfId="0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/>
    <xf numFmtId="0" fontId="7" fillId="0" borderId="0" xfId="0" applyFont="1" applyBorder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0" fillId="0" borderId="0" xfId="0" applyBorder="1"/>
    <xf numFmtId="0" fontId="0" fillId="0" borderId="23" xfId="0" applyBorder="1"/>
    <xf numFmtId="0" fontId="64" fillId="0" borderId="10" xfId="0" applyFont="1" applyBorder="1" applyAlignment="1">
      <alignment horizontal="center" vertical="center"/>
    </xf>
    <xf numFmtId="0" fontId="64" fillId="0" borderId="29" xfId="0" applyFont="1" applyBorder="1" applyAlignment="1">
      <alignment horizontal="center" vertical="center"/>
    </xf>
    <xf numFmtId="0" fontId="64" fillId="0" borderId="0" xfId="0" applyFont="1"/>
    <xf numFmtId="0" fontId="64" fillId="0" borderId="30" xfId="0" applyFont="1" applyBorder="1" applyAlignment="1">
      <alignment horizontal="center" vertical="center"/>
    </xf>
    <xf numFmtId="0" fontId="64" fillId="0" borderId="0" xfId="0" applyFont="1" applyBorder="1" applyAlignment="1">
      <alignment vertical="center"/>
    </xf>
    <xf numFmtId="0" fontId="64" fillId="0" borderId="31" xfId="0" applyFont="1" applyBorder="1" applyAlignment="1">
      <alignment vertical="center"/>
    </xf>
    <xf numFmtId="0" fontId="64" fillId="0" borderId="31" xfId="0" applyFont="1" applyBorder="1" applyAlignment="1">
      <alignment horizontal="center" vertical="center"/>
    </xf>
    <xf numFmtId="0" fontId="64" fillId="0" borderId="15" xfId="0" applyFont="1" applyBorder="1" applyAlignment="1">
      <alignment horizontal="center" vertical="center"/>
    </xf>
    <xf numFmtId="0" fontId="64" fillId="0" borderId="32" xfId="0" applyFont="1" applyBorder="1" applyAlignment="1">
      <alignment vertical="center"/>
    </xf>
    <xf numFmtId="0" fontId="64" fillId="0" borderId="33" xfId="0" applyFont="1" applyBorder="1" applyAlignment="1">
      <alignment vertical="center"/>
    </xf>
    <xf numFmtId="0" fontId="64" fillId="0" borderId="33" xfId="0" applyFont="1" applyBorder="1" applyAlignment="1">
      <alignment horizontal="center" vertical="center"/>
    </xf>
    <xf numFmtId="0" fontId="8" fillId="0" borderId="0" xfId="0" applyFont="1"/>
    <xf numFmtId="0" fontId="65" fillId="0" borderId="0" xfId="0" applyFont="1"/>
    <xf numFmtId="0" fontId="65" fillId="0" borderId="23" xfId="0" applyFont="1" applyBorder="1"/>
    <xf numFmtId="0" fontId="65" fillId="0" borderId="31" xfId="0" applyFont="1" applyBorder="1"/>
    <xf numFmtId="0" fontId="65" fillId="0" borderId="23" xfId="0" applyFont="1" applyBorder="1" applyAlignment="1">
      <alignment horizontal="center" vertical="center"/>
    </xf>
    <xf numFmtId="1" fontId="65" fillId="0" borderId="31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65" fillId="0" borderId="31" xfId="0" applyFont="1" applyBorder="1" applyAlignment="1">
      <alignment vertical="center"/>
    </xf>
    <xf numFmtId="0" fontId="65" fillId="0" borderId="17" xfId="0" applyFont="1" applyBorder="1" applyAlignment="1">
      <alignment vertical="center"/>
    </xf>
    <xf numFmtId="0" fontId="65" fillId="0" borderId="33" xfId="0" applyFont="1" applyBorder="1" applyAlignment="1">
      <alignment vertical="center"/>
    </xf>
    <xf numFmtId="3" fontId="12" fillId="0" borderId="10" xfId="0" applyNumberFormat="1" applyFont="1" applyBorder="1" applyAlignment="1">
      <alignment vertical="center"/>
    </xf>
    <xf numFmtId="3" fontId="8" fillId="0" borderId="10" xfId="0" applyNumberFormat="1" applyFont="1" applyBorder="1" applyAlignment="1">
      <alignment vertical="center"/>
    </xf>
    <xf numFmtId="3" fontId="13" fillId="0" borderId="10" xfId="0" applyNumberFormat="1" applyFont="1" applyBorder="1" applyAlignment="1">
      <alignment horizontal="left" vertical="center"/>
    </xf>
    <xf numFmtId="3" fontId="1" fillId="0" borderId="10" xfId="0" applyNumberFormat="1" applyFont="1" applyBorder="1" applyAlignment="1">
      <alignment vertical="center"/>
    </xf>
    <xf numFmtId="3" fontId="53" fillId="0" borderId="10" xfId="0" applyNumberFormat="1" applyFont="1" applyBorder="1" applyAlignment="1">
      <alignment vertical="center"/>
    </xf>
    <xf numFmtId="3" fontId="1" fillId="0" borderId="10" xfId="0" applyNumberFormat="1" applyFont="1" applyBorder="1" applyAlignment="1">
      <alignment horizontal="left" vertical="center"/>
    </xf>
    <xf numFmtId="0" fontId="65" fillId="0" borderId="31" xfId="0" applyFont="1" applyBorder="1" applyAlignment="1">
      <alignment vertical="center" wrapText="1"/>
    </xf>
    <xf numFmtId="0" fontId="66" fillId="0" borderId="0" xfId="0" applyFont="1"/>
    <xf numFmtId="0" fontId="10" fillId="0" borderId="34" xfId="0" applyFont="1" applyFill="1" applyBorder="1" applyAlignment="1">
      <alignment vertical="center"/>
    </xf>
    <xf numFmtId="0" fontId="10" fillId="0" borderId="35" xfId="0" applyFont="1" applyFill="1" applyBorder="1" applyAlignment="1">
      <alignment vertical="center"/>
    </xf>
    <xf numFmtId="189" fontId="58" fillId="0" borderId="35" xfId="0" applyNumberFormat="1" applyFont="1" applyFill="1" applyBorder="1" applyAlignment="1">
      <alignment vertical="center"/>
    </xf>
    <xf numFmtId="0" fontId="14" fillId="0" borderId="32" xfId="0" applyNumberFormat="1" applyFont="1" applyFill="1" applyBorder="1" applyAlignment="1">
      <alignment horizontal="left" vertical="center"/>
    </xf>
    <xf numFmtId="0" fontId="9" fillId="0" borderId="13" xfId="0" applyNumberFormat="1" applyFont="1" applyBorder="1" applyAlignment="1">
      <alignment horizontal="center" wrapText="1"/>
    </xf>
    <xf numFmtId="0" fontId="9" fillId="0" borderId="13" xfId="0" applyNumberFormat="1" applyFont="1" applyBorder="1" applyAlignment="1">
      <alignment horizontal="left" wrapText="1"/>
    </xf>
    <xf numFmtId="0" fontId="10" fillId="0" borderId="0" xfId="0" applyNumberFormat="1" applyFont="1" applyBorder="1" applyAlignment="1">
      <alignment horizontal="left" vertical="center"/>
    </xf>
    <xf numFmtId="0" fontId="26" fillId="0" borderId="13" xfId="0" applyNumberFormat="1" applyFont="1" applyBorder="1" applyAlignment="1">
      <alignment horizontal="left" vertical="center"/>
    </xf>
    <xf numFmtId="41" fontId="14" fillId="0" borderId="13" xfId="0" applyNumberFormat="1" applyFont="1" applyBorder="1" applyAlignment="1">
      <alignment horizontal="center" vertical="center"/>
    </xf>
    <xf numFmtId="41" fontId="7" fillId="0" borderId="0" xfId="0" applyNumberFormat="1" applyFont="1" applyBorder="1" applyAlignment="1">
      <alignment vertical="center"/>
    </xf>
    <xf numFmtId="0" fontId="4" fillId="0" borderId="0" xfId="0" applyFont="1"/>
    <xf numFmtId="0" fontId="72" fillId="0" borderId="0" xfId="0" applyFont="1"/>
    <xf numFmtId="0" fontId="0" fillId="0" borderId="0" xfId="0" applyAlignment="1"/>
    <xf numFmtId="0" fontId="66" fillId="0" borderId="0" xfId="0" applyFont="1" applyAlignment="1"/>
    <xf numFmtId="0" fontId="0" fillId="0" borderId="10" xfId="0" applyNumberFormat="1" applyFont="1" applyBorder="1" applyAlignment="1">
      <alignment horizontal="center" vertical="center" wrapText="1"/>
    </xf>
    <xf numFmtId="0" fontId="79" fillId="0" borderId="96" xfId="0" applyFont="1" applyBorder="1" applyAlignment="1">
      <alignment horizontal="center" vertical="center" wrapText="1"/>
    </xf>
    <xf numFmtId="3" fontId="80" fillId="0" borderId="10" xfId="0" applyNumberFormat="1" applyFont="1" applyBorder="1" applyAlignment="1">
      <alignment horizontal="right" vertical="center"/>
    </xf>
    <xf numFmtId="185" fontId="66" fillId="0" borderId="0" xfId="0" applyNumberFormat="1" applyFont="1"/>
    <xf numFmtId="189" fontId="53" fillId="25" borderId="27" xfId="0" applyNumberFormat="1" applyFont="1" applyFill="1" applyBorder="1" applyAlignment="1">
      <alignment vertical="center"/>
    </xf>
    <xf numFmtId="192" fontId="58" fillId="25" borderId="26" xfId="0" applyNumberFormat="1" applyFont="1" applyFill="1" applyBorder="1" applyAlignment="1">
      <alignment vertical="center"/>
    </xf>
    <xf numFmtId="192" fontId="58" fillId="25" borderId="35" xfId="0" applyNumberFormat="1" applyFont="1" applyFill="1" applyBorder="1" applyAlignment="1">
      <alignment vertical="center"/>
    </xf>
    <xf numFmtId="3" fontId="81" fillId="0" borderId="0" xfId="0" applyNumberFormat="1" applyFont="1" applyAlignment="1"/>
    <xf numFmtId="0" fontId="79" fillId="26" borderId="96" xfId="0" applyFont="1" applyFill="1" applyBorder="1" applyAlignment="1">
      <alignment horizontal="center" vertical="center" wrapText="1"/>
    </xf>
    <xf numFmtId="0" fontId="79" fillId="26" borderId="96" xfId="0" applyFont="1" applyFill="1" applyBorder="1" applyAlignment="1">
      <alignment horizontal="justify" vertical="center" wrapText="1"/>
    </xf>
    <xf numFmtId="0" fontId="74" fillId="0" borderId="36" xfId="0" applyFont="1" applyFill="1" applyBorder="1" applyAlignment="1">
      <alignment horizontal="center" vertical="center" wrapText="1" shrinkToFit="1"/>
    </xf>
    <xf numFmtId="0" fontId="74" fillId="0" borderId="36" xfId="0" applyFont="1" applyFill="1" applyBorder="1" applyAlignment="1">
      <alignment horizontal="center" vertical="center" shrinkToFit="1"/>
    </xf>
    <xf numFmtId="189" fontId="73" fillId="0" borderId="36" xfId="0" applyNumberFormat="1" applyFont="1" applyBorder="1" applyAlignment="1">
      <alignment horizontal="center" vertical="center" shrinkToFit="1"/>
    </xf>
    <xf numFmtId="0" fontId="74" fillId="0" borderId="36" xfId="0" applyFont="1" applyBorder="1" applyAlignment="1">
      <alignment horizontal="center" vertical="center" shrinkToFit="1"/>
    </xf>
    <xf numFmtId="0" fontId="74" fillId="0" borderId="36" xfId="0" applyFont="1" applyBorder="1" applyAlignment="1">
      <alignment horizontal="center" vertical="center" wrapText="1" shrinkToFit="1"/>
    </xf>
    <xf numFmtId="3" fontId="76" fillId="0" borderId="37" xfId="0" applyNumberFormat="1" applyFont="1" applyBorder="1" applyAlignment="1">
      <alignment horizontal="center" vertical="center"/>
    </xf>
    <xf numFmtId="3" fontId="76" fillId="0" borderId="38" xfId="0" applyNumberFormat="1" applyFont="1" applyBorder="1" applyAlignment="1">
      <alignment horizontal="center" vertical="center"/>
    </xf>
    <xf numFmtId="3" fontId="77" fillId="0" borderId="39" xfId="0" applyNumberFormat="1" applyFont="1" applyBorder="1" applyAlignment="1">
      <alignment horizontal="center" vertical="center"/>
    </xf>
    <xf numFmtId="3" fontId="77" fillId="0" borderId="40" xfId="0" applyNumberFormat="1" applyFont="1" applyBorder="1" applyAlignment="1">
      <alignment horizontal="left" vertical="center"/>
    </xf>
    <xf numFmtId="3" fontId="77" fillId="0" borderId="40" xfId="0" applyNumberFormat="1" applyFont="1" applyBorder="1" applyAlignment="1">
      <alignment horizontal="center" vertical="center"/>
    </xf>
    <xf numFmtId="3" fontId="77" fillId="0" borderId="41" xfId="0" applyNumberFormat="1" applyFont="1" applyBorder="1" applyAlignment="1">
      <alignment vertical="center" shrinkToFit="1"/>
    </xf>
    <xf numFmtId="3" fontId="77" fillId="0" borderId="40" xfId="0" applyNumberFormat="1" applyFont="1" applyBorder="1" applyAlignment="1">
      <alignment horizontal="left" vertical="center" shrinkToFit="1"/>
    </xf>
    <xf numFmtId="3" fontId="77" fillId="0" borderId="40" xfId="0" applyNumberFormat="1" applyFont="1" applyBorder="1" applyAlignment="1">
      <alignment vertical="center" shrinkToFit="1"/>
    </xf>
    <xf numFmtId="3" fontId="77" fillId="0" borderId="42" xfId="0" applyNumberFormat="1" applyFont="1" applyBorder="1" applyAlignment="1">
      <alignment horizontal="left" vertical="center" shrinkToFit="1"/>
    </xf>
    <xf numFmtId="3" fontId="0" fillId="0" borderId="0" xfId="0" applyNumberFormat="1" applyAlignment="1"/>
    <xf numFmtId="3" fontId="78" fillId="0" borderId="43" xfId="0" applyNumberFormat="1" applyFont="1" applyBorder="1" applyAlignment="1">
      <alignment horizontal="center" vertical="center"/>
    </xf>
    <xf numFmtId="3" fontId="77" fillId="0" borderId="44" xfId="0" applyNumberFormat="1" applyFont="1" applyBorder="1" applyAlignment="1">
      <alignment horizontal="left" vertical="center"/>
    </xf>
    <xf numFmtId="3" fontId="77" fillId="0" borderId="44" xfId="0" applyNumberFormat="1" applyFont="1" applyBorder="1" applyAlignment="1">
      <alignment horizontal="center" vertical="center"/>
    </xf>
    <xf numFmtId="3" fontId="77" fillId="0" borderId="45" xfId="0" applyNumberFormat="1" applyFont="1" applyBorder="1" applyAlignment="1">
      <alignment vertical="center"/>
    </xf>
    <xf numFmtId="3" fontId="77" fillId="0" borderId="44" xfId="0" applyNumberFormat="1" applyFont="1" applyBorder="1" applyAlignment="1">
      <alignment vertical="center"/>
    </xf>
    <xf numFmtId="3" fontId="77" fillId="0" borderId="33" xfId="0" applyNumberFormat="1" applyFont="1" applyBorder="1" applyAlignment="1">
      <alignment horizontal="left" vertical="center"/>
    </xf>
    <xf numFmtId="3" fontId="77" fillId="0" borderId="40" xfId="0" quotePrefix="1" applyNumberFormat="1" applyFont="1" applyBorder="1" applyAlignment="1">
      <alignment horizontal="left" vertical="center" shrinkToFit="1"/>
    </xf>
    <xf numFmtId="0" fontId="72" fillId="0" borderId="96" xfId="0" applyFont="1" applyBorder="1"/>
    <xf numFmtId="196" fontId="65" fillId="0" borderId="31" xfId="0" applyNumberFormat="1" applyFont="1" applyBorder="1" applyAlignment="1">
      <alignment horizontal="left" vertical="center"/>
    </xf>
    <xf numFmtId="0" fontId="70" fillId="0" borderId="13" xfId="0" applyFont="1" applyBorder="1" applyAlignment="1">
      <alignment horizontal="center" vertical="center"/>
    </xf>
    <xf numFmtId="0" fontId="70" fillId="0" borderId="0" xfId="0" applyFont="1" applyBorder="1" applyAlignment="1">
      <alignment horizontal="center" vertical="center"/>
    </xf>
    <xf numFmtId="0" fontId="70" fillId="0" borderId="14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0" xfId="0" quotePrefix="1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13" xfId="0" applyNumberFormat="1" applyFont="1" applyBorder="1" applyAlignment="1">
      <alignment horizontal="center" vertical="center"/>
    </xf>
    <xf numFmtId="0" fontId="10" fillId="0" borderId="14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24" xfId="0" applyNumberFormat="1" applyFont="1" applyBorder="1" applyAlignment="1">
      <alignment horizontal="center" vertical="center"/>
    </xf>
    <xf numFmtId="0" fontId="21" fillId="0" borderId="22" xfId="0" applyNumberFormat="1" applyFont="1" applyBorder="1" applyAlignment="1">
      <alignment horizontal="center" vertical="center"/>
    </xf>
    <xf numFmtId="0" fontId="21" fillId="0" borderId="25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1" fontId="7" fillId="0" borderId="14" xfId="0" applyNumberFormat="1" applyFont="1" applyBorder="1" applyAlignment="1">
      <alignment vertical="center"/>
    </xf>
    <xf numFmtId="3" fontId="0" fillId="0" borderId="0" xfId="0" applyNumberFormat="1" applyFont="1" applyAlignment="1">
      <alignment horizontal="center" vertical="center"/>
    </xf>
    <xf numFmtId="41" fontId="82" fillId="26" borderId="96" xfId="0" applyNumberFormat="1" applyFont="1" applyFill="1" applyBorder="1" applyAlignment="1">
      <alignment horizontal="justify" vertical="center" wrapText="1"/>
    </xf>
    <xf numFmtId="199" fontId="62" fillId="0" borderId="0" xfId="0" applyNumberFormat="1" applyFont="1" applyAlignment="1">
      <alignment horizontal="center" vertical="center"/>
    </xf>
    <xf numFmtId="199" fontId="26" fillId="0" borderId="27" xfId="0" applyNumberFormat="1" applyFont="1" applyBorder="1" applyAlignment="1">
      <alignment vertical="center"/>
    </xf>
    <xf numFmtId="199" fontId="10" fillId="0" borderId="27" xfId="0" applyNumberFormat="1" applyFont="1" applyBorder="1" applyAlignment="1">
      <alignment vertical="center"/>
    </xf>
    <xf numFmtId="199" fontId="10" fillId="0" borderId="27" xfId="0" applyNumberFormat="1" applyFont="1" applyFill="1" applyBorder="1" applyAlignment="1">
      <alignment vertical="center"/>
    </xf>
    <xf numFmtId="199" fontId="56" fillId="0" borderId="27" xfId="0" applyNumberFormat="1" applyFont="1" applyBorder="1" applyAlignment="1">
      <alignment vertical="center"/>
    </xf>
    <xf numFmtId="199" fontId="0" fillId="0" borderId="0" xfId="0" applyNumberFormat="1"/>
    <xf numFmtId="41" fontId="10" fillId="0" borderId="47" xfId="0" applyNumberFormat="1" applyFont="1" applyBorder="1" applyAlignment="1">
      <alignment vertical="center"/>
    </xf>
    <xf numFmtId="41" fontId="10" fillId="0" borderId="31" xfId="0" applyNumberFormat="1" applyFont="1" applyBorder="1" applyAlignment="1"/>
    <xf numFmtId="41" fontId="58" fillId="0" borderId="31" xfId="0" applyNumberFormat="1" applyFont="1" applyFill="1" applyBorder="1" applyAlignment="1"/>
    <xf numFmtId="41" fontId="59" fillId="0" borderId="31" xfId="0" applyNumberFormat="1" applyFont="1" applyFill="1" applyBorder="1" applyAlignment="1"/>
    <xf numFmtId="41" fontId="10" fillId="0" borderId="31" xfId="0" applyNumberFormat="1" applyFont="1" applyFill="1" applyBorder="1" applyAlignment="1"/>
    <xf numFmtId="41" fontId="26" fillId="0" borderId="31" xfId="0" applyNumberFormat="1" applyFont="1" applyBorder="1" applyAlignment="1"/>
    <xf numFmtId="41" fontId="27" fillId="0" borderId="31" xfId="0" applyNumberFormat="1" applyFont="1" applyBorder="1" applyAlignment="1">
      <alignment vertical="center"/>
    </xf>
    <xf numFmtId="41" fontId="1" fillId="0" borderId="0" xfId="0" applyNumberFormat="1" applyFont="1" applyBorder="1" applyAlignment="1"/>
    <xf numFmtId="41" fontId="1" fillId="0" borderId="22" xfId="0" applyNumberFormat="1" applyFont="1" applyBorder="1" applyAlignment="1"/>
    <xf numFmtId="41" fontId="10" fillId="0" borderId="0" xfId="0" applyNumberFormat="1" applyFont="1" applyAlignment="1"/>
    <xf numFmtId="41" fontId="10" fillId="0" borderId="47" xfId="0" applyNumberFormat="1" applyFont="1" applyBorder="1" applyAlignment="1">
      <alignment horizontal="center" vertical="center"/>
    </xf>
    <xf numFmtId="41" fontId="10" fillId="0" borderId="31" xfId="0" applyNumberFormat="1" applyFont="1" applyBorder="1" applyAlignment="1">
      <alignment horizontal="center"/>
    </xf>
    <xf numFmtId="41" fontId="10" fillId="0" borderId="48" xfId="0" applyNumberFormat="1" applyFont="1" applyBorder="1" applyAlignment="1">
      <alignment horizontal="center"/>
    </xf>
    <xf numFmtId="41" fontId="10" fillId="0" borderId="31" xfId="0" applyNumberFormat="1" applyFont="1" applyFill="1" applyBorder="1" applyAlignment="1">
      <alignment horizontal="center"/>
    </xf>
    <xf numFmtId="41" fontId="10" fillId="0" borderId="48" xfId="0" applyNumberFormat="1" applyFont="1" applyFill="1" applyBorder="1" applyAlignment="1">
      <alignment horizontal="center"/>
    </xf>
    <xf numFmtId="41" fontId="26" fillId="0" borderId="31" xfId="0" applyNumberFormat="1" applyFont="1" applyFill="1" applyBorder="1" applyAlignment="1">
      <alignment horizontal="center"/>
    </xf>
    <xf numFmtId="41" fontId="1" fillId="0" borderId="48" xfId="0" applyNumberFormat="1" applyFont="1" applyFill="1" applyBorder="1" applyAlignment="1">
      <alignment horizontal="center"/>
    </xf>
    <xf numFmtId="41" fontId="1" fillId="0" borderId="30" xfId="0" applyNumberFormat="1" applyFont="1" applyFill="1" applyBorder="1" applyAlignment="1">
      <alignment horizontal="center"/>
    </xf>
    <xf numFmtId="41" fontId="1" fillId="0" borderId="49" xfId="0" applyNumberFormat="1" applyFont="1" applyFill="1" applyBorder="1" applyAlignment="1">
      <alignment horizontal="center"/>
    </xf>
    <xf numFmtId="41" fontId="10" fillId="0" borderId="0" xfId="0" applyNumberFormat="1" applyFont="1" applyAlignment="1">
      <alignment horizontal="center"/>
    </xf>
    <xf numFmtId="41" fontId="1" fillId="0" borderId="47" xfId="0" applyNumberFormat="1" applyFont="1" applyBorder="1" applyAlignment="1">
      <alignment vertical="center"/>
    </xf>
    <xf numFmtId="41" fontId="0" fillId="0" borderId="50" xfId="0" applyNumberFormat="1" applyFont="1" applyBorder="1" applyAlignment="1">
      <alignment horizontal="center" vertical="center"/>
    </xf>
    <xf numFmtId="41" fontId="1" fillId="0" borderId="31" xfId="0" applyNumberFormat="1" applyFont="1" applyBorder="1" applyAlignment="1"/>
    <xf numFmtId="41" fontId="1" fillId="0" borderId="14" xfId="0" applyNumberFormat="1" applyFont="1" applyBorder="1" applyAlignment="1">
      <alignment horizontal="center"/>
    </xf>
    <xf numFmtId="41" fontId="13" fillId="0" borderId="31" xfId="0" applyNumberFormat="1" applyFont="1" applyBorder="1" applyAlignment="1"/>
    <xf numFmtId="41" fontId="25" fillId="0" borderId="31" xfId="0" applyNumberFormat="1" applyFont="1" applyBorder="1" applyAlignment="1"/>
    <xf numFmtId="41" fontId="10" fillId="0" borderId="14" xfId="0" applyNumberFormat="1" applyFont="1" applyBorder="1" applyAlignment="1">
      <alignment horizontal="center"/>
    </xf>
    <xf numFmtId="41" fontId="1" fillId="0" borderId="51" xfId="0" applyNumberFormat="1" applyFont="1" applyBorder="1" applyAlignment="1"/>
    <xf numFmtId="41" fontId="1" fillId="0" borderId="25" xfId="0" applyNumberFormat="1" applyFont="1" applyBorder="1" applyAlignment="1">
      <alignment horizontal="center"/>
    </xf>
    <xf numFmtId="41" fontId="1" fillId="0" borderId="0" xfId="0" applyNumberFormat="1" applyFont="1" applyAlignment="1"/>
    <xf numFmtId="41" fontId="1" fillId="0" borderId="0" xfId="0" applyNumberFormat="1" applyFont="1" applyAlignment="1">
      <alignment horizontal="center"/>
    </xf>
    <xf numFmtId="0" fontId="66" fillId="0" borderId="18" xfId="0" applyFont="1" applyBorder="1" applyAlignment="1">
      <alignment horizontal="center" vertical="center"/>
    </xf>
    <xf numFmtId="0" fontId="66" fillId="0" borderId="19" xfId="0" applyFont="1" applyBorder="1" applyAlignment="1">
      <alignment horizontal="center" vertical="center"/>
    </xf>
    <xf numFmtId="200" fontId="66" fillId="0" borderId="47" xfId="73" applyFont="1" applyBorder="1" applyAlignment="1">
      <alignment vertical="center"/>
    </xf>
    <xf numFmtId="200" fontId="66" fillId="0" borderId="47" xfId="73" applyFont="1" applyBorder="1" applyAlignment="1">
      <alignment horizontal="center" vertical="center"/>
    </xf>
    <xf numFmtId="200" fontId="66" fillId="0" borderId="50" xfId="73" applyFont="1" applyBorder="1" applyAlignment="1">
      <alignment horizontal="center" vertical="center"/>
    </xf>
    <xf numFmtId="0" fontId="66" fillId="0" borderId="20" xfId="0" applyFont="1" applyBorder="1" applyAlignment="1">
      <alignment horizontal="center"/>
    </xf>
    <xf numFmtId="0" fontId="66" fillId="0" borderId="0" xfId="0" applyFont="1" applyBorder="1" applyAlignment="1"/>
    <xf numFmtId="200" fontId="66" fillId="0" borderId="31" xfId="73" applyFont="1" applyBorder="1" applyAlignment="1"/>
    <xf numFmtId="200" fontId="66" fillId="0" borderId="31" xfId="73" applyFont="1" applyBorder="1" applyAlignment="1">
      <alignment horizontal="center"/>
    </xf>
    <xf numFmtId="200" fontId="66" fillId="0" borderId="14" xfId="73" applyFont="1" applyBorder="1" applyAlignment="1">
      <alignment horizontal="center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200" fontId="66" fillId="0" borderId="31" xfId="73" applyFont="1" applyBorder="1" applyAlignment="1">
      <alignment horizontal="center" vertical="center"/>
    </xf>
    <xf numFmtId="200" fontId="66" fillId="0" borderId="48" xfId="73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200" fontId="13" fillId="0" borderId="31" xfId="73" applyFont="1" applyBorder="1" applyAlignment="1">
      <alignment vertical="center"/>
    </xf>
    <xf numFmtId="200" fontId="13" fillId="0" borderId="31" xfId="73" applyFont="1" applyBorder="1" applyAlignment="1">
      <alignment horizontal="center" vertical="center"/>
    </xf>
    <xf numFmtId="200" fontId="13" fillId="0" borderId="48" xfId="73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200" fontId="66" fillId="0" borderId="31" xfId="73" applyFont="1" applyBorder="1" applyAlignment="1">
      <alignment vertical="center"/>
    </xf>
    <xf numFmtId="0" fontId="66" fillId="0" borderId="20" xfId="0" applyFont="1" applyBorder="1" applyAlignment="1">
      <alignment horizontal="center" vertical="center"/>
    </xf>
    <xf numFmtId="200" fontId="66" fillId="0" borderId="0" xfId="73" applyFont="1" applyBorder="1" applyAlignment="1"/>
    <xf numFmtId="200" fontId="13" fillId="0" borderId="31" xfId="73" applyFont="1" applyBorder="1" applyAlignment="1"/>
    <xf numFmtId="0" fontId="66" fillId="0" borderId="21" xfId="0" applyFont="1" applyBorder="1" applyAlignment="1">
      <alignment horizontal="center"/>
    </xf>
    <xf numFmtId="0" fontId="66" fillId="0" borderId="22" xfId="0" applyFont="1" applyBorder="1" applyAlignment="1"/>
    <xf numFmtId="200" fontId="66" fillId="0" borderId="51" xfId="73" applyFont="1" applyBorder="1" applyAlignment="1"/>
    <xf numFmtId="200" fontId="66" fillId="0" borderId="51" xfId="73" applyFont="1" applyBorder="1" applyAlignment="1">
      <alignment horizontal="center"/>
    </xf>
    <xf numFmtId="200" fontId="66" fillId="0" borderId="25" xfId="73" applyFont="1" applyBorder="1" applyAlignment="1">
      <alignment horizontal="center"/>
    </xf>
    <xf numFmtId="41" fontId="0" fillId="0" borderId="0" xfId="0" applyNumberFormat="1"/>
    <xf numFmtId="0" fontId="60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41" fontId="13" fillId="0" borderId="14" xfId="0" applyNumberFormat="1" applyFont="1" applyBorder="1" applyAlignment="1">
      <alignment horizontal="center"/>
    </xf>
    <xf numFmtId="41" fontId="0" fillId="0" borderId="52" xfId="0" applyNumberFormat="1" applyFont="1" applyBorder="1" applyAlignment="1">
      <alignment horizontal="center" vertical="center"/>
    </xf>
    <xf numFmtId="41" fontId="1" fillId="0" borderId="30" xfId="0" applyNumberFormat="1" applyFont="1" applyBorder="1" applyAlignment="1">
      <alignment horizontal="center"/>
    </xf>
    <xf numFmtId="41" fontId="13" fillId="0" borderId="30" xfId="0" applyNumberFormat="1" applyFont="1" applyBorder="1" applyAlignment="1">
      <alignment horizontal="center"/>
    </xf>
    <xf numFmtId="41" fontId="10" fillId="0" borderId="30" xfId="0" applyNumberFormat="1" applyFont="1" applyBorder="1" applyAlignment="1">
      <alignment horizontal="center"/>
    </xf>
    <xf numFmtId="41" fontId="1" fillId="0" borderId="49" xfId="0" applyNumberFormat="1" applyFont="1" applyBorder="1" applyAlignment="1">
      <alignment horizontal="center"/>
    </xf>
    <xf numFmtId="41" fontId="10" fillId="0" borderId="50" xfId="0" applyNumberFormat="1" applyFont="1" applyBorder="1" applyAlignment="1">
      <alignment horizontal="center" vertical="center"/>
    </xf>
    <xf numFmtId="41" fontId="10" fillId="0" borderId="14" xfId="0" applyNumberFormat="1" applyFont="1" applyFill="1" applyBorder="1" applyAlignment="1">
      <alignment horizontal="center"/>
    </xf>
    <xf numFmtId="41" fontId="59" fillId="0" borderId="14" xfId="0" applyNumberFormat="1" applyFont="1" applyFill="1" applyBorder="1" applyAlignment="1">
      <alignment horizontal="center"/>
    </xf>
    <xf numFmtId="41" fontId="26" fillId="0" borderId="14" xfId="0" applyNumberFormat="1" applyFont="1" applyFill="1" applyBorder="1" applyAlignment="1">
      <alignment horizontal="center"/>
    </xf>
    <xf numFmtId="41" fontId="1" fillId="0" borderId="14" xfId="0" applyNumberFormat="1" applyFont="1" applyFill="1" applyBorder="1" applyAlignment="1">
      <alignment horizontal="center"/>
    </xf>
    <xf numFmtId="41" fontId="1" fillId="0" borderId="25" xfId="0" applyNumberFormat="1" applyFont="1" applyFill="1" applyBorder="1" applyAlignment="1">
      <alignment horizontal="center"/>
    </xf>
    <xf numFmtId="41" fontId="10" fillId="0" borderId="52" xfId="0" applyNumberFormat="1" applyFont="1" applyBorder="1" applyAlignment="1">
      <alignment horizontal="center" vertical="center"/>
    </xf>
    <xf numFmtId="41" fontId="10" fillId="0" borderId="30" xfId="0" applyNumberFormat="1" applyFont="1" applyFill="1" applyBorder="1" applyAlignment="1">
      <alignment horizontal="center"/>
    </xf>
    <xf numFmtId="41" fontId="59" fillId="0" borderId="30" xfId="0" applyNumberFormat="1" applyFont="1" applyFill="1" applyBorder="1" applyAlignment="1">
      <alignment horizontal="center"/>
    </xf>
    <xf numFmtId="41" fontId="26" fillId="0" borderId="30" xfId="0" applyNumberFormat="1" applyFont="1" applyFill="1" applyBorder="1" applyAlignment="1">
      <alignment horizontal="center"/>
    </xf>
    <xf numFmtId="41" fontId="26" fillId="0" borderId="30" xfId="0" applyNumberFormat="1" applyFont="1" applyBorder="1" applyAlignment="1">
      <alignment horizontal="center"/>
    </xf>
    <xf numFmtId="41" fontId="26" fillId="0" borderId="14" xfId="0" applyNumberFormat="1" applyFont="1" applyBorder="1" applyAlignment="1">
      <alignment horizontal="center"/>
    </xf>
    <xf numFmtId="41" fontId="26" fillId="0" borderId="31" xfId="0" applyNumberFormat="1" applyFont="1" applyBorder="1" applyAlignment="1">
      <alignment horizontal="center"/>
    </xf>
    <xf numFmtId="41" fontId="66" fillId="0" borderId="48" xfId="0" applyNumberFormat="1" applyFont="1" applyFill="1" applyBorder="1" applyAlignment="1">
      <alignment horizontal="center"/>
    </xf>
    <xf numFmtId="41" fontId="10" fillId="0" borderId="49" xfId="0" applyNumberFormat="1" applyFont="1" applyBorder="1" applyAlignment="1">
      <alignment horizontal="center"/>
    </xf>
    <xf numFmtId="41" fontId="10" fillId="0" borderId="53" xfId="0" applyNumberFormat="1" applyFont="1" applyBorder="1" applyAlignment="1">
      <alignment horizontal="center"/>
    </xf>
    <xf numFmtId="41" fontId="10" fillId="0" borderId="0" xfId="0" applyNumberFormat="1" applyFont="1" applyBorder="1" applyAlignment="1"/>
    <xf numFmtId="41" fontId="10" fillId="0" borderId="22" xfId="0" applyNumberFormat="1" applyFont="1" applyBorder="1" applyAlignment="1"/>
    <xf numFmtId="41" fontId="10" fillId="0" borderId="0" xfId="0" applyNumberFormat="1" applyFont="1" applyAlignment="1">
      <alignment horizontal="left" vertical="center"/>
    </xf>
    <xf numFmtId="41" fontId="1" fillId="0" borderId="12" xfId="0" applyNumberFormat="1" applyFont="1" applyBorder="1" applyAlignment="1">
      <alignment horizontal="centerContinuous" vertical="center"/>
    </xf>
    <xf numFmtId="41" fontId="1" fillId="0" borderId="29" xfId="0" applyNumberFormat="1" applyFont="1" applyBorder="1" applyAlignment="1">
      <alignment horizontal="centerContinuous" vertical="center"/>
    </xf>
    <xf numFmtId="41" fontId="0" fillId="0" borderId="12" xfId="0" applyNumberFormat="1" applyFont="1" applyBorder="1" applyAlignment="1">
      <alignment horizontal="centerContinuous" vertical="center"/>
    </xf>
    <xf numFmtId="41" fontId="1" fillId="0" borderId="10" xfId="0" applyNumberFormat="1" applyFont="1" applyBorder="1" applyAlignment="1">
      <alignment horizontal="center" vertical="center"/>
    </xf>
    <xf numFmtId="41" fontId="1" fillId="0" borderId="10" xfId="0" applyNumberFormat="1" applyFont="1" applyBorder="1" applyAlignment="1">
      <alignment horizontal="right" vertical="center"/>
    </xf>
    <xf numFmtId="41" fontId="1" fillId="24" borderId="10" xfId="0" applyNumberFormat="1" applyFont="1" applyFill="1" applyBorder="1" applyAlignment="1">
      <alignment horizontal="right" vertical="center"/>
    </xf>
    <xf numFmtId="41" fontId="1" fillId="0" borderId="10" xfId="0" applyNumberFormat="1" applyFont="1" applyFill="1" applyBorder="1" applyAlignment="1">
      <alignment horizontal="right" vertical="center"/>
    </xf>
    <xf numFmtId="0" fontId="14" fillId="0" borderId="10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12" fillId="0" borderId="10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4" fillId="0" borderId="10" xfId="0" applyNumberFormat="1" applyFont="1" applyBorder="1" applyAlignment="1">
      <alignment vertical="center"/>
    </xf>
    <xf numFmtId="0" fontId="13" fillId="0" borderId="10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 wrapText="1"/>
    </xf>
    <xf numFmtId="0" fontId="13" fillId="0" borderId="10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vertical="center"/>
    </xf>
    <xf numFmtId="0" fontId="0" fillId="0" borderId="10" xfId="0" applyNumberFormat="1" applyFont="1" applyBorder="1" applyAlignment="1">
      <alignment horizontal="left" vertical="center" wrapText="1"/>
    </xf>
    <xf numFmtId="0" fontId="13" fillId="0" borderId="10" xfId="0" applyNumberFormat="1" applyFont="1" applyBorder="1" applyAlignment="1">
      <alignment vertical="center"/>
    </xf>
    <xf numFmtId="0" fontId="1" fillId="0" borderId="0" xfId="0" applyNumberFormat="1" applyFont="1"/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41" fontId="1" fillId="0" borderId="47" xfId="0" applyNumberFormat="1" applyFont="1" applyFill="1" applyBorder="1" applyAlignment="1">
      <alignment vertical="center"/>
    </xf>
    <xf numFmtId="41" fontId="1" fillId="0" borderId="47" xfId="0" applyNumberFormat="1" applyFont="1" applyFill="1" applyBorder="1" applyAlignment="1">
      <alignment horizontal="center" vertical="center"/>
    </xf>
    <xf numFmtId="41" fontId="1" fillId="0" borderId="5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20" xfId="0" applyFont="1" applyFill="1" applyBorder="1" applyAlignment="1">
      <alignment horizontal="center"/>
    </xf>
    <xf numFmtId="0" fontId="1" fillId="0" borderId="0" xfId="0" applyFont="1" applyFill="1" applyBorder="1" applyAlignment="1"/>
    <xf numFmtId="41" fontId="1" fillId="0" borderId="31" xfId="0" applyNumberFormat="1" applyFont="1" applyFill="1" applyBorder="1" applyAlignment="1"/>
    <xf numFmtId="41" fontId="1" fillId="0" borderId="31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3" fillId="0" borderId="2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0" fillId="0" borderId="0" xfId="0" applyFont="1" applyFill="1" applyBorder="1" applyAlignment="1"/>
    <xf numFmtId="0" fontId="13" fillId="0" borderId="0" xfId="0" applyFont="1" applyFill="1" applyAlignment="1"/>
    <xf numFmtId="41" fontId="13" fillId="0" borderId="31" xfId="0" applyNumberFormat="1" applyFont="1" applyFill="1" applyBorder="1" applyAlignment="1"/>
    <xf numFmtId="41" fontId="13" fillId="0" borderId="30" xfId="0" applyNumberFormat="1" applyFont="1" applyFill="1" applyBorder="1" applyAlignment="1">
      <alignment horizontal="center"/>
    </xf>
    <xf numFmtId="41" fontId="13" fillId="0" borderId="31" xfId="0" applyNumberFormat="1" applyFont="1" applyFill="1" applyBorder="1" applyAlignment="1">
      <alignment horizontal="center"/>
    </xf>
    <xf numFmtId="41" fontId="13" fillId="0" borderId="48" xfId="0" applyNumberFormat="1" applyFont="1" applyFill="1" applyBorder="1" applyAlignment="1">
      <alignment horizontal="center"/>
    </xf>
    <xf numFmtId="41" fontId="26" fillId="0" borderId="31" xfId="0" applyNumberFormat="1" applyFont="1" applyFill="1" applyBorder="1" applyAlignment="1"/>
    <xf numFmtId="41" fontId="13" fillId="0" borderId="14" xfId="0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/>
    <xf numFmtId="0" fontId="24" fillId="0" borderId="0" xfId="0" applyFont="1" applyFill="1" applyBorder="1" applyAlignment="1"/>
    <xf numFmtId="0" fontId="1" fillId="0" borderId="21" xfId="0" applyFont="1" applyFill="1" applyBorder="1" applyAlignment="1">
      <alignment horizontal="center"/>
    </xf>
    <xf numFmtId="0" fontId="13" fillId="0" borderId="22" xfId="0" applyFont="1" applyFill="1" applyBorder="1" applyAlignment="1"/>
    <xf numFmtId="41" fontId="13" fillId="0" borderId="51" xfId="0" applyNumberFormat="1" applyFont="1" applyFill="1" applyBorder="1" applyAlignment="1"/>
    <xf numFmtId="41" fontId="1" fillId="0" borderId="5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41" fontId="1" fillId="0" borderId="0" xfId="0" applyNumberFormat="1" applyFont="1" applyFill="1" applyAlignment="1"/>
    <xf numFmtId="41" fontId="1" fillId="0" borderId="0" xfId="0" applyNumberFormat="1" applyFont="1" applyFill="1" applyAlignment="1">
      <alignment horizontal="center"/>
    </xf>
    <xf numFmtId="43" fontId="10" fillId="0" borderId="14" xfId="0" applyNumberFormat="1" applyFont="1" applyFill="1" applyBorder="1" applyAlignment="1">
      <alignment horizontal="center"/>
    </xf>
    <xf numFmtId="200" fontId="66" fillId="0" borderId="14" xfId="73" applyFont="1" applyBorder="1" applyAlignment="1">
      <alignment horizontal="center" vertical="center"/>
    </xf>
    <xf numFmtId="0" fontId="0" fillId="0" borderId="0" xfId="0" applyFont="1"/>
    <xf numFmtId="0" fontId="0" fillId="0" borderId="0" xfId="0" applyAlignment="1">
      <alignment wrapText="1"/>
    </xf>
    <xf numFmtId="0" fontId="0" fillId="0" borderId="0" xfId="0" quotePrefix="1" applyFont="1"/>
    <xf numFmtId="0" fontId="13" fillId="0" borderId="0" xfId="0" applyFont="1"/>
    <xf numFmtId="3" fontId="0" fillId="0" borderId="0" xfId="0" applyNumberFormat="1" applyFont="1"/>
    <xf numFmtId="0" fontId="0" fillId="0" borderId="0" xfId="0" applyFont="1" applyBorder="1" applyAlignment="1"/>
    <xf numFmtId="0" fontId="0" fillId="0" borderId="0" xfId="0" applyFont="1" applyAlignment="1"/>
    <xf numFmtId="0" fontId="10" fillId="0" borderId="54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189" fontId="58" fillId="0" borderId="22" xfId="0" applyNumberFormat="1" applyFont="1" applyBorder="1" applyAlignment="1">
      <alignment vertical="center"/>
    </xf>
    <xf numFmtId="192" fontId="58" fillId="25" borderId="22" xfId="0" applyNumberFormat="1" applyFont="1" applyFill="1" applyBorder="1" applyAlignment="1">
      <alignment vertical="center"/>
    </xf>
    <xf numFmtId="192" fontId="10" fillId="0" borderId="54" xfId="0" applyNumberFormat="1" applyFont="1" applyBorder="1" applyAlignment="1">
      <alignment vertical="center"/>
    </xf>
    <xf numFmtId="199" fontId="10" fillId="0" borderId="54" xfId="0" applyNumberFormat="1" applyFont="1" applyBorder="1" applyAlignment="1">
      <alignment vertical="center"/>
    </xf>
    <xf numFmtId="199" fontId="10" fillId="0" borderId="54" xfId="0" applyNumberFormat="1" applyFont="1" applyFill="1" applyBorder="1" applyAlignment="1">
      <alignment vertical="center"/>
    </xf>
    <xf numFmtId="199" fontId="56" fillId="0" borderId="54" xfId="0" applyNumberFormat="1" applyFont="1" applyBorder="1" applyAlignment="1">
      <alignment vertical="center"/>
    </xf>
    <xf numFmtId="0" fontId="74" fillId="0" borderId="55" xfId="0" applyFont="1" applyBorder="1" applyAlignment="1">
      <alignment horizontal="center" vertical="center" shrinkToFit="1"/>
    </xf>
    <xf numFmtId="189" fontId="26" fillId="0" borderId="56" xfId="0" applyNumberFormat="1" applyFont="1" applyFill="1" applyBorder="1" applyAlignment="1">
      <alignment vertical="center"/>
    </xf>
    <xf numFmtId="189" fontId="26" fillId="0" borderId="57" xfId="0" applyNumberFormat="1" applyFont="1" applyFill="1" applyBorder="1" applyAlignment="1">
      <alignment vertical="center"/>
    </xf>
    <xf numFmtId="199" fontId="26" fillId="0" borderId="57" xfId="0" applyNumberFormat="1" applyFont="1" applyBorder="1" applyAlignment="1">
      <alignment vertical="center"/>
    </xf>
    <xf numFmtId="189" fontId="73" fillId="0" borderId="58" xfId="0" applyNumberFormat="1" applyFont="1" applyFill="1" applyBorder="1" applyAlignment="1">
      <alignment horizontal="center" vertical="center" shrinkToFit="1"/>
    </xf>
    <xf numFmtId="0" fontId="10" fillId="0" borderId="59" xfId="0" applyFont="1" applyFill="1" applyBorder="1" applyAlignment="1">
      <alignment vertical="center"/>
    </xf>
    <xf numFmtId="0" fontId="10" fillId="0" borderId="60" xfId="0" applyFont="1" applyFill="1" applyBorder="1" applyAlignment="1">
      <alignment vertical="center"/>
    </xf>
    <xf numFmtId="189" fontId="58" fillId="0" borderId="60" xfId="0" applyNumberFormat="1" applyFont="1" applyFill="1" applyBorder="1" applyAlignment="1">
      <alignment vertical="center"/>
    </xf>
    <xf numFmtId="192" fontId="58" fillId="25" borderId="60" xfId="0" applyNumberFormat="1" applyFont="1" applyFill="1" applyBorder="1" applyAlignment="1">
      <alignment vertical="center"/>
    </xf>
    <xf numFmtId="199" fontId="10" fillId="0" borderId="59" xfId="0" applyNumberFormat="1" applyFont="1" applyFill="1" applyBorder="1" applyAlignment="1">
      <alignment vertical="center"/>
    </xf>
    <xf numFmtId="0" fontId="74" fillId="0" borderId="58" xfId="0" applyFont="1" applyFill="1" applyBorder="1" applyAlignment="1">
      <alignment horizontal="center" vertical="center" wrapText="1" shrinkToFit="1"/>
    </xf>
    <xf numFmtId="0" fontId="26" fillId="0" borderId="59" xfId="0" applyFont="1" applyBorder="1" applyAlignment="1">
      <alignment horizontal="center" vertical="center"/>
    </xf>
    <xf numFmtId="199" fontId="26" fillId="0" borderId="59" xfId="0" applyNumberFormat="1" applyFont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201" fontId="1" fillId="0" borderId="10" xfId="0" applyNumberFormat="1" applyFont="1" applyBorder="1"/>
    <xf numFmtId="3" fontId="0" fillId="0" borderId="0" xfId="0" applyNumberFormat="1" applyFont="1" applyAlignment="1">
      <alignment vertical="center"/>
    </xf>
    <xf numFmtId="0" fontId="0" fillId="0" borderId="12" xfId="0" applyBorder="1" applyAlignment="1">
      <alignment vertical="center"/>
    </xf>
    <xf numFmtId="202" fontId="0" fillId="0" borderId="12" xfId="0" applyNumberFormat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202" fontId="0" fillId="0" borderId="16" xfId="0" applyNumberFormat="1" applyBorder="1" applyAlignment="1">
      <alignment vertical="center"/>
    </xf>
    <xf numFmtId="0" fontId="0" fillId="0" borderId="65" xfId="0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66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3" fontId="81" fillId="0" borderId="67" xfId="0" applyNumberFormat="1" applyFont="1" applyBorder="1" applyAlignment="1"/>
    <xf numFmtId="0" fontId="10" fillId="26" borderId="68" xfId="0" applyFont="1" applyFill="1" applyBorder="1" applyAlignment="1">
      <alignment horizontal="center" vertical="center"/>
    </xf>
    <xf numFmtId="3" fontId="0" fillId="0" borderId="10" xfId="0" applyNumberFormat="1" applyBorder="1"/>
    <xf numFmtId="0" fontId="0" fillId="0" borderId="69" xfId="0" applyBorder="1"/>
    <xf numFmtId="0" fontId="0" fillId="0" borderId="70" xfId="0" applyBorder="1"/>
    <xf numFmtId="0" fontId="0" fillId="0" borderId="71" xfId="0" applyBorder="1"/>
    <xf numFmtId="3" fontId="0" fillId="0" borderId="66" xfId="0" applyNumberFormat="1" applyBorder="1"/>
    <xf numFmtId="0" fontId="0" fillId="0" borderId="72" xfId="0" applyBorder="1"/>
    <xf numFmtId="0" fontId="0" fillId="0" borderId="73" xfId="0" applyBorder="1"/>
    <xf numFmtId="3" fontId="0" fillId="0" borderId="15" xfId="0" applyNumberFormat="1" applyBorder="1"/>
    <xf numFmtId="0" fontId="0" fillId="0" borderId="74" xfId="0" applyBorder="1"/>
    <xf numFmtId="0" fontId="0" fillId="26" borderId="18" xfId="0" applyFill="1" applyBorder="1" applyAlignment="1">
      <alignment horizontal="center"/>
    </xf>
    <xf numFmtId="0" fontId="0" fillId="26" borderId="52" xfId="0" applyFill="1" applyBorder="1" applyAlignment="1">
      <alignment horizontal="center"/>
    </xf>
    <xf numFmtId="0" fontId="0" fillId="27" borderId="75" xfId="0" applyFill="1" applyBorder="1" applyAlignment="1">
      <alignment horizontal="center"/>
    </xf>
    <xf numFmtId="0" fontId="0" fillId="26" borderId="75" xfId="0" applyFill="1" applyBorder="1" applyAlignment="1">
      <alignment horizontal="center"/>
    </xf>
    <xf numFmtId="41" fontId="0" fillId="0" borderId="74" xfId="0" applyNumberFormat="1" applyBorder="1"/>
    <xf numFmtId="41" fontId="0" fillId="0" borderId="72" xfId="0" applyNumberFormat="1" applyBorder="1"/>
    <xf numFmtId="4" fontId="0" fillId="0" borderId="66" xfId="0" applyNumberFormat="1" applyBorder="1"/>
    <xf numFmtId="0" fontId="8" fillId="0" borderId="46" xfId="0" applyFont="1" applyBorder="1" applyAlignment="1">
      <alignment vertical="center"/>
    </xf>
    <xf numFmtId="202" fontId="0" fillId="0" borderId="62" xfId="0" applyNumberFormat="1" applyBorder="1" applyAlignment="1">
      <alignment vertical="center"/>
    </xf>
    <xf numFmtId="202" fontId="0" fillId="0" borderId="76" xfId="0" applyNumberFormat="1" applyBorder="1" applyAlignment="1">
      <alignment vertical="center"/>
    </xf>
    <xf numFmtId="0" fontId="0" fillId="0" borderId="77" xfId="0" applyBorder="1" applyAlignment="1">
      <alignment horizontal="center" vertical="center"/>
    </xf>
    <xf numFmtId="3" fontId="66" fillId="0" borderId="0" xfId="0" applyNumberFormat="1" applyFont="1"/>
    <xf numFmtId="0" fontId="64" fillId="0" borderId="30" xfId="0" applyFont="1" applyBorder="1" applyAlignment="1">
      <alignment horizontal="left" vertical="center"/>
    </xf>
    <xf numFmtId="0" fontId="64" fillId="0" borderId="30" xfId="0" applyFont="1" applyBorder="1" applyAlignment="1">
      <alignment vertical="center"/>
    </xf>
    <xf numFmtId="0" fontId="0" fillId="0" borderId="0" xfId="0"/>
    <xf numFmtId="4" fontId="0" fillId="0" borderId="15" xfId="0" applyNumberFormat="1" applyBorder="1"/>
    <xf numFmtId="3" fontId="0" fillId="0" borderId="10" xfId="0" applyNumberFormat="1" applyBorder="1" applyAlignment="1">
      <alignment vertical="center"/>
    </xf>
    <xf numFmtId="0" fontId="23" fillId="0" borderId="12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0" fillId="0" borderId="0" xfId="0"/>
    <xf numFmtId="3" fontId="84" fillId="0" borderId="10" xfId="0" applyNumberFormat="1" applyFont="1" applyBorder="1" applyAlignment="1">
      <alignment vertical="center"/>
    </xf>
    <xf numFmtId="0" fontId="23" fillId="0" borderId="10" xfId="0" applyFont="1" applyBorder="1" applyAlignment="1">
      <alignment horizontal="center" vertical="top"/>
    </xf>
    <xf numFmtId="0" fontId="23" fillId="0" borderId="10" xfId="0" applyFont="1" applyBorder="1" applyAlignment="1">
      <alignment horizontal="center" vertical="top" wrapText="1"/>
    </xf>
    <xf numFmtId="0" fontId="8" fillId="0" borderId="78" xfId="0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/>
    </xf>
    <xf numFmtId="0" fontId="9" fillId="0" borderId="80" xfId="0" applyFont="1" applyBorder="1" applyAlignment="1">
      <alignment horizontal="center"/>
    </xf>
    <xf numFmtId="0" fontId="8" fillId="0" borderId="81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14" fontId="8" fillId="0" borderId="24" xfId="0" applyNumberFormat="1" applyFont="1" applyBorder="1" applyAlignment="1">
      <alignment horizontal="center" vertical="center"/>
    </xf>
    <xf numFmtId="14" fontId="70" fillId="0" borderId="13" xfId="0" applyNumberFormat="1" applyFont="1" applyBorder="1" applyAlignment="1">
      <alignment horizontal="distributed" vertical="center"/>
    </xf>
    <xf numFmtId="14" fontId="70" fillId="0" borderId="0" xfId="0" applyNumberFormat="1" applyFont="1" applyBorder="1" applyAlignment="1">
      <alignment horizontal="distributed" vertical="center"/>
    </xf>
    <xf numFmtId="14" fontId="70" fillId="0" borderId="14" xfId="0" applyNumberFormat="1" applyFont="1" applyBorder="1" applyAlignment="1">
      <alignment horizontal="distributed" vertical="center"/>
    </xf>
    <xf numFmtId="0" fontId="21" fillId="0" borderId="13" xfId="0" applyNumberFormat="1" applyFont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 vertical="center"/>
    </xf>
    <xf numFmtId="194" fontId="7" fillId="0" borderId="0" xfId="0" applyNumberFormat="1" applyFont="1" applyBorder="1" applyAlignment="1">
      <alignment horizontal="left" vertical="center"/>
    </xf>
    <xf numFmtId="194" fontId="7" fillId="0" borderId="14" xfId="0" applyNumberFormat="1" applyFont="1" applyBorder="1" applyAlignment="1">
      <alignment horizontal="left" vertical="center"/>
    </xf>
    <xf numFmtId="198" fontId="7" fillId="0" borderId="0" xfId="0" applyNumberFormat="1" applyFont="1" applyBorder="1" applyAlignment="1">
      <alignment horizontal="center" vertical="center"/>
    </xf>
    <xf numFmtId="41" fontId="14" fillId="0" borderId="0" xfId="0" applyNumberFormat="1" applyFont="1" applyBorder="1" applyAlignment="1">
      <alignment vertical="center"/>
    </xf>
    <xf numFmtId="41" fontId="14" fillId="0" borderId="14" xfId="0" applyNumberFormat="1" applyFont="1" applyBorder="1" applyAlignment="1">
      <alignment vertical="center"/>
    </xf>
    <xf numFmtId="195" fontId="7" fillId="0" borderId="0" xfId="0" applyNumberFormat="1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12" xfId="0" quotePrefix="1" applyFont="1" applyBorder="1" applyAlignment="1">
      <alignment horizontal="center" vertical="center" textRotation="255"/>
    </xf>
    <xf numFmtId="0" fontId="11" fillId="0" borderId="29" xfId="0" quotePrefix="1" applyFont="1" applyBorder="1" applyAlignment="1">
      <alignment horizontal="center" vertical="center" textRotation="255"/>
    </xf>
    <xf numFmtId="0" fontId="11" fillId="0" borderId="10" xfId="0" quotePrefix="1" applyFont="1" applyBorder="1" applyAlignment="1">
      <alignment horizontal="center" vertical="center" textRotation="255"/>
    </xf>
    <xf numFmtId="0" fontId="11" fillId="0" borderId="10" xfId="0" applyFont="1" applyBorder="1" applyAlignment="1">
      <alignment horizontal="center" vertical="center"/>
    </xf>
    <xf numFmtId="0" fontId="11" fillId="0" borderId="64" xfId="0" quotePrefix="1" applyFont="1" applyBorder="1" applyAlignment="1">
      <alignment horizontal="center" vertical="center" textRotation="255"/>
    </xf>
    <xf numFmtId="0" fontId="11" fillId="0" borderId="84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11" fillId="0" borderId="85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3" fillId="0" borderId="86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8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1" fontId="11" fillId="0" borderId="87" xfId="0" applyNumberFormat="1" applyFont="1" applyBorder="1" applyAlignment="1">
      <alignment horizontal="center" vertical="center"/>
    </xf>
    <xf numFmtId="1" fontId="11" fillId="0" borderId="88" xfId="0" applyNumberFormat="1" applyFont="1" applyBorder="1" applyAlignment="1">
      <alignment horizontal="center" vertical="center"/>
    </xf>
    <xf numFmtId="1" fontId="11" fillId="0" borderId="89" xfId="0" applyNumberFormat="1" applyFont="1" applyBorder="1" applyAlignment="1">
      <alignment horizontal="center" vertical="center"/>
    </xf>
    <xf numFmtId="1" fontId="11" fillId="0" borderId="13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1" fontId="11" fillId="0" borderId="14" xfId="0" applyNumberFormat="1" applyFont="1" applyBorder="1" applyAlignment="1">
      <alignment horizontal="center" vertical="center"/>
    </xf>
    <xf numFmtId="0" fontId="50" fillId="0" borderId="13" xfId="0" applyNumberFormat="1" applyFont="1" applyFill="1" applyBorder="1" applyAlignment="1">
      <alignment horizontal="center" vertical="center"/>
    </xf>
    <xf numFmtId="0" fontId="50" fillId="0" borderId="0" xfId="0" applyNumberFormat="1" applyFont="1" applyFill="1" applyBorder="1" applyAlignment="1">
      <alignment horizontal="center" vertical="center"/>
    </xf>
    <xf numFmtId="0" fontId="50" fillId="0" borderId="14" xfId="0" applyNumberFormat="1" applyFont="1" applyFill="1" applyBorder="1" applyAlignment="1">
      <alignment horizontal="center" vertical="center"/>
    </xf>
    <xf numFmtId="197" fontId="7" fillId="0" borderId="0" xfId="0" applyNumberFormat="1" applyFont="1" applyBorder="1" applyAlignment="1">
      <alignment horizontal="right" vertical="center"/>
    </xf>
    <xf numFmtId="197" fontId="7" fillId="0" borderId="14" xfId="0" applyNumberFormat="1" applyFont="1" applyBorder="1" applyAlignment="1">
      <alignment horizontal="right" vertical="center"/>
    </xf>
    <xf numFmtId="195" fontId="7" fillId="0" borderId="0" xfId="0" applyNumberFormat="1" applyFont="1" applyBorder="1" applyAlignment="1">
      <alignment horizontal="right" vertical="center"/>
    </xf>
    <xf numFmtId="195" fontId="7" fillId="0" borderId="14" xfId="0" applyNumberFormat="1" applyFont="1" applyBorder="1" applyAlignment="1">
      <alignment horizontal="right" vertical="center"/>
    </xf>
    <xf numFmtId="0" fontId="70" fillId="0" borderId="13" xfId="0" applyFont="1" applyBorder="1" applyAlignment="1">
      <alignment horizontal="distributed" vertical="center"/>
    </xf>
    <xf numFmtId="0" fontId="71" fillId="0" borderId="0" xfId="0" applyFont="1" applyBorder="1" applyAlignment="1">
      <alignment horizontal="distributed"/>
    </xf>
    <xf numFmtId="0" fontId="71" fillId="0" borderId="14" xfId="0" applyFont="1" applyBorder="1" applyAlignment="1">
      <alignment horizontal="distributed"/>
    </xf>
    <xf numFmtId="0" fontId="14" fillId="0" borderId="0" xfId="0" applyNumberFormat="1" applyFont="1" applyBorder="1" applyAlignment="1">
      <alignment horizontal="left" vertical="center"/>
    </xf>
    <xf numFmtId="0" fontId="14" fillId="0" borderId="14" xfId="0" applyNumberFormat="1" applyFont="1" applyBorder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1" fillId="0" borderId="10" xfId="0" applyNumberFormat="1" applyFont="1" applyBorder="1" applyAlignment="1">
      <alignment horizontal="center" vertical="center"/>
    </xf>
    <xf numFmtId="14" fontId="8" fillId="0" borderId="8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64" fillId="0" borderId="23" xfId="0" applyFont="1" applyBorder="1" applyAlignment="1">
      <alignment horizontal="left" vertical="center"/>
    </xf>
    <xf numFmtId="0" fontId="64" fillId="0" borderId="0" xfId="0" applyFont="1" applyBorder="1" applyAlignment="1">
      <alignment horizontal="left" vertical="center"/>
    </xf>
    <xf numFmtId="0" fontId="64" fillId="0" borderId="31" xfId="0" applyFont="1" applyBorder="1" applyAlignment="1">
      <alignment horizontal="left" vertical="center"/>
    </xf>
    <xf numFmtId="0" fontId="64" fillId="0" borderId="12" xfId="0" applyFont="1" applyBorder="1" applyAlignment="1">
      <alignment horizontal="center" vertical="center"/>
    </xf>
    <xf numFmtId="0" fontId="64" fillId="0" borderId="11" xfId="0" applyFont="1" applyBorder="1" applyAlignment="1">
      <alignment horizontal="center" vertical="center"/>
    </xf>
    <xf numFmtId="0" fontId="64" fillId="0" borderId="29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shrinkToFit="1"/>
    </xf>
    <xf numFmtId="0" fontId="13" fillId="0" borderId="31" xfId="0" applyFont="1" applyBorder="1" applyAlignment="1">
      <alignment horizontal="center" vertical="center" shrinkToFit="1"/>
    </xf>
    <xf numFmtId="0" fontId="26" fillId="0" borderId="59" xfId="0" applyFont="1" applyBorder="1" applyAlignment="1">
      <alignment horizontal="center" vertical="center"/>
    </xf>
    <xf numFmtId="0" fontId="0" fillId="0" borderId="59" xfId="0" applyBorder="1"/>
    <xf numFmtId="0" fontId="0" fillId="0" borderId="60" xfId="0" applyBorder="1"/>
    <xf numFmtId="0" fontId="49" fillId="0" borderId="60" xfId="0" applyFont="1" applyBorder="1" applyAlignment="1">
      <alignment horizontal="center" vertical="center"/>
    </xf>
    <xf numFmtId="0" fontId="49" fillId="0" borderId="59" xfId="0" applyFont="1" applyBorder="1" applyAlignment="1">
      <alignment horizontal="center" vertical="center"/>
    </xf>
    <xf numFmtId="189" fontId="63" fillId="0" borderId="27" xfId="0" applyNumberFormat="1" applyFont="1" applyBorder="1" applyAlignment="1">
      <alignment vertical="center"/>
    </xf>
    <xf numFmtId="189" fontId="49" fillId="0" borderId="27" xfId="0" applyNumberFormat="1" applyFont="1" applyBorder="1"/>
    <xf numFmtId="189" fontId="49" fillId="0" borderId="26" xfId="0" applyNumberFormat="1" applyFont="1" applyBorder="1"/>
    <xf numFmtId="189" fontId="63" fillId="0" borderId="57" xfId="0" applyNumberFormat="1" applyFont="1" applyFill="1" applyBorder="1" applyAlignment="1">
      <alignment vertical="center"/>
    </xf>
    <xf numFmtId="189" fontId="63" fillId="0" borderId="56" xfId="0" applyNumberFormat="1" applyFont="1" applyFill="1" applyBorder="1" applyAlignment="1">
      <alignment vertical="center"/>
    </xf>
    <xf numFmtId="189" fontId="63" fillId="0" borderId="27" xfId="0" applyNumberFormat="1" applyFont="1" applyFill="1" applyBorder="1" applyAlignment="1">
      <alignment vertical="center"/>
    </xf>
    <xf numFmtId="189" fontId="49" fillId="0" borderId="27" xfId="0" applyNumberFormat="1" applyFont="1" applyFill="1" applyBorder="1"/>
    <xf numFmtId="189" fontId="49" fillId="0" borderId="26" xfId="0" applyNumberFormat="1" applyFont="1" applyFill="1" applyBorder="1"/>
    <xf numFmtId="189" fontId="49" fillId="0" borderId="57" xfId="0" applyNumberFormat="1" applyFont="1" applyFill="1" applyBorder="1"/>
    <xf numFmtId="189" fontId="49" fillId="0" borderId="56" xfId="0" applyNumberFormat="1" applyFont="1" applyFill="1" applyBorder="1"/>
    <xf numFmtId="0" fontId="75" fillId="0" borderId="0" xfId="0" applyFont="1" applyAlignment="1">
      <alignment horizontal="center" vertical="center"/>
    </xf>
    <xf numFmtId="0" fontId="0" fillId="0" borderId="0" xfId="0"/>
    <xf numFmtId="3" fontId="76" fillId="0" borderId="94" xfId="0" applyNumberFormat="1" applyFont="1" applyBorder="1" applyAlignment="1">
      <alignment horizontal="center" vertical="center"/>
    </xf>
    <xf numFmtId="3" fontId="76" fillId="0" borderId="95" xfId="0" applyNumberFormat="1" applyFont="1" applyBorder="1" applyAlignment="1">
      <alignment horizontal="center" vertical="center"/>
    </xf>
    <xf numFmtId="3" fontId="76" fillId="0" borderId="92" xfId="0" applyNumberFormat="1" applyFont="1" applyBorder="1" applyAlignment="1">
      <alignment horizontal="center" vertical="center"/>
    </xf>
    <xf numFmtId="3" fontId="76" fillId="0" borderId="37" xfId="0" applyNumberFormat="1" applyFont="1" applyBorder="1" applyAlignment="1">
      <alignment horizontal="center" vertical="center"/>
    </xf>
    <xf numFmtId="3" fontId="76" fillId="0" borderId="90" xfId="0" applyNumberFormat="1" applyFont="1" applyBorder="1" applyAlignment="1">
      <alignment horizontal="center" vertical="center"/>
    </xf>
    <xf numFmtId="3" fontId="76" fillId="0" borderId="91" xfId="0" applyNumberFormat="1" applyFont="1" applyBorder="1" applyAlignment="1">
      <alignment horizontal="center" vertical="center"/>
    </xf>
    <xf numFmtId="3" fontId="76" fillId="0" borderId="80" xfId="0" applyNumberFormat="1" applyFont="1" applyBorder="1" applyAlignment="1">
      <alignment horizontal="center" vertical="center"/>
    </xf>
    <xf numFmtId="3" fontId="76" fillId="0" borderId="93" xfId="0" applyNumberFormat="1" applyFont="1" applyBorder="1" applyAlignment="1">
      <alignment horizontal="center" vertical="center"/>
    </xf>
    <xf numFmtId="0" fontId="72" fillId="0" borderId="97" xfId="0" applyFont="1" applyBorder="1" applyAlignment="1">
      <alignment horizontal="center" vertical="center"/>
    </xf>
    <xf numFmtId="0" fontId="72" fillId="0" borderId="98" xfId="0" applyFont="1" applyBorder="1" applyAlignment="1">
      <alignment horizontal="center" vertical="center"/>
    </xf>
    <xf numFmtId="0" fontId="67" fillId="0" borderId="99" xfId="0" applyFont="1" applyBorder="1" applyAlignment="1">
      <alignment horizontal="center" vertical="center" wrapText="1"/>
    </xf>
    <xf numFmtId="0" fontId="79" fillId="0" borderId="96" xfId="0" applyFont="1" applyBorder="1" applyAlignment="1">
      <alignment horizontal="center" vertical="center" wrapText="1"/>
    </xf>
    <xf numFmtId="0" fontId="79" fillId="28" borderId="97" xfId="0" applyFont="1" applyFill="1" applyBorder="1" applyAlignment="1">
      <alignment horizontal="center" vertical="center" wrapText="1"/>
    </xf>
    <xf numFmtId="0" fontId="79" fillId="28" borderId="98" xfId="0" applyFont="1" applyFill="1" applyBorder="1" applyAlignment="1">
      <alignment horizontal="center" vertical="center" wrapText="1"/>
    </xf>
  </cellXfs>
  <cellStyles count="86">
    <cellStyle name=" " xfId="1" xr:uid="{00000000-0005-0000-0000-000000000000}"/>
    <cellStyle name=" _97연말" xfId="2" xr:uid="{00000000-0005-0000-0000-000001000000}"/>
    <cellStyle name=" _97연말1" xfId="3" xr:uid="{00000000-0005-0000-0000-000002000000}"/>
    <cellStyle name=" _Book1" xfId="4" xr:uid="{00000000-0005-0000-0000-000003000000}"/>
    <cellStyle name="_구조물깨기(남일보은2-1공구) " xfId="5" xr:uid="{00000000-0005-0000-0000-000004000000}"/>
    <cellStyle name="_도곡1교 교대 수량_구조물깨기(남일보은2-1공구) " xfId="6" xr:uid="{00000000-0005-0000-0000-000005000000}"/>
    <cellStyle name="_도곡1교 교대(시점) 수량_구조물깨기(남일보은2-1공구) " xfId="7" xr:uid="{00000000-0005-0000-0000-000006000000}"/>
    <cellStyle name="_도곡1교 하부공 수량_구조물깨기(남일보은2-1공구) " xfId="8" xr:uid="{00000000-0005-0000-0000-000007000000}"/>
    <cellStyle name="_도곡2교 교대 수량_구조물깨기(남일보은2-1공구) " xfId="9" xr:uid="{00000000-0005-0000-0000-000008000000}"/>
    <cellStyle name="_도곡2교 교대(종점) 수량_구조물깨기(남일보은2-1공구) " xfId="10" xr:uid="{00000000-0005-0000-0000-000009000000}"/>
    <cellStyle name="_도곡3교 교대 수량_구조물깨기(남일보은2-1공구) " xfId="11" xr:uid="{00000000-0005-0000-0000-00000A000000}"/>
    <cellStyle name="_도곡4교 하부공 수량_구조물깨기(남일보은2-1공구) " xfId="12" xr:uid="{00000000-0005-0000-0000-00000B000000}"/>
    <cellStyle name="_도곡교 교대 수량_구조물깨기(남일보은2-1공구) " xfId="13" xr:uid="{00000000-0005-0000-0000-00000C000000}"/>
    <cellStyle name="_인원계획표 " xfId="14" xr:uid="{00000000-0005-0000-0000-00000D000000}"/>
    <cellStyle name="_입찰표지 " xfId="15" xr:uid="{00000000-0005-0000-0000-00000E000000}"/>
    <cellStyle name="_적격(화산) " xfId="16" xr:uid="{00000000-0005-0000-0000-00000F000000}"/>
    <cellStyle name="¤@?e_TEST-1 " xfId="17" xr:uid="{00000000-0005-0000-0000-000010000000}"/>
    <cellStyle name="20% - 강조색1" xfId="18" builtinId="30" customBuiltin="1"/>
    <cellStyle name="20% - 강조색2" xfId="19" builtinId="34" customBuiltin="1"/>
    <cellStyle name="20% - 강조색3" xfId="20" builtinId="38" customBuiltin="1"/>
    <cellStyle name="20% - 강조색4" xfId="21" builtinId="42" customBuiltin="1"/>
    <cellStyle name="20% - 강조색5" xfId="22" builtinId="46" customBuiltin="1"/>
    <cellStyle name="20% - 강조색6" xfId="23" builtinId="50" customBuiltin="1"/>
    <cellStyle name="40% - 강조색1" xfId="24" builtinId="31" customBuiltin="1"/>
    <cellStyle name="40% - 강조색2" xfId="25" builtinId="35" customBuiltin="1"/>
    <cellStyle name="40% - 강조색3" xfId="26" builtinId="39" customBuiltin="1"/>
    <cellStyle name="40% - 강조색4" xfId="27" builtinId="43" customBuiltin="1"/>
    <cellStyle name="40% - 강조색5" xfId="28" builtinId="47" customBuiltin="1"/>
    <cellStyle name="40% - 강조색6" xfId="29" builtinId="51" customBuiltin="1"/>
    <cellStyle name="60% - 강조색1" xfId="30" builtinId="32" customBuiltin="1"/>
    <cellStyle name="60% - 강조색2" xfId="31" builtinId="36" customBuiltin="1"/>
    <cellStyle name="60% - 강조색3" xfId="32" builtinId="40" customBuiltin="1"/>
    <cellStyle name="60% - 강조색4" xfId="33" builtinId="44" customBuiltin="1"/>
    <cellStyle name="60% - 강조색5" xfId="34" builtinId="48" customBuiltin="1"/>
    <cellStyle name="60% - 강조색6" xfId="35" builtinId="52" customBuiltin="1"/>
    <cellStyle name="AeE­ [0]_ 2ÆAAþº° " xfId="36" xr:uid="{00000000-0005-0000-0000-000023000000}"/>
    <cellStyle name="ÅëÈ­ [0]_¼öÀÍ¼º " xfId="37" xr:uid="{00000000-0005-0000-0000-000024000000}"/>
    <cellStyle name="AeE­ [0]_¹y¸eº¸E￡ " xfId="38" xr:uid="{00000000-0005-0000-0000-000025000000}"/>
    <cellStyle name="AeE­_ 2ÆAAþº° " xfId="39" xr:uid="{00000000-0005-0000-0000-000026000000}"/>
    <cellStyle name="ÅëÈ­_¼öÀÍ¼º " xfId="40" xr:uid="{00000000-0005-0000-0000-000027000000}"/>
    <cellStyle name="AeE­_¹y¸eº¸E￡ " xfId="41" xr:uid="{00000000-0005-0000-0000-000028000000}"/>
    <cellStyle name="AÞ¸¶ [0]_ 2ÆAAþº° " xfId="42" xr:uid="{00000000-0005-0000-0000-000029000000}"/>
    <cellStyle name="ÄÞ¸¶ [0]_¼öÀÍ¼º " xfId="43" xr:uid="{00000000-0005-0000-0000-00002A000000}"/>
    <cellStyle name="AÞ¸¶ [0]_¹y¸eº¸E￡ " xfId="44" xr:uid="{00000000-0005-0000-0000-00002B000000}"/>
    <cellStyle name="AÞ¸¶_ 2ÆAAþº° " xfId="45" xr:uid="{00000000-0005-0000-0000-00002C000000}"/>
    <cellStyle name="ÄÞ¸¶_¼öÀÍ¼º " xfId="46" xr:uid="{00000000-0005-0000-0000-00002D000000}"/>
    <cellStyle name="AÞ¸¶_¹y¸eº¸E￡ " xfId="47" xr:uid="{00000000-0005-0000-0000-00002E000000}"/>
    <cellStyle name="C￥AØ_ 2ÆAAþº° " xfId="48" xr:uid="{00000000-0005-0000-0000-00002F000000}"/>
    <cellStyle name="Ç¥ÁØ_»óºÎ¼ö·®Áý°è " xfId="49" xr:uid="{00000000-0005-0000-0000-000030000000}"/>
    <cellStyle name="C￥AØ_½½·¡ºeA¶±UAy°e " xfId="50" xr:uid="{00000000-0005-0000-0000-000031000000}"/>
    <cellStyle name="Comma" xfId="51" xr:uid="{00000000-0005-0000-0000-000032000000}"/>
    <cellStyle name="Comma [0]" xfId="52" xr:uid="{00000000-0005-0000-0000-000033000000}"/>
    <cellStyle name="Comma_ SG&amp;A Bridge " xfId="53" xr:uid="{00000000-0005-0000-0000-000034000000}"/>
    <cellStyle name="Currency" xfId="54" xr:uid="{00000000-0005-0000-0000-000035000000}"/>
    <cellStyle name="Currency [0]" xfId="55" xr:uid="{00000000-0005-0000-0000-000036000000}"/>
    <cellStyle name="Currency_ SG&amp;A Bridge " xfId="56" xr:uid="{00000000-0005-0000-0000-000037000000}"/>
    <cellStyle name="Currency1" xfId="57" xr:uid="{00000000-0005-0000-0000-000038000000}"/>
    <cellStyle name="Normal_ SG&amp;A Bridge " xfId="58" xr:uid="{00000000-0005-0000-0000-000039000000}"/>
    <cellStyle name="Percent" xfId="59" xr:uid="{00000000-0005-0000-0000-00003A000000}"/>
    <cellStyle name="강조색1" xfId="60" builtinId="29" customBuiltin="1"/>
    <cellStyle name="강조색2" xfId="61" builtinId="33" customBuiltin="1"/>
    <cellStyle name="강조색3" xfId="62" builtinId="37" customBuiltin="1"/>
    <cellStyle name="강조색4" xfId="63" builtinId="41" customBuiltin="1"/>
    <cellStyle name="강조색5" xfId="64" builtinId="45" customBuiltin="1"/>
    <cellStyle name="강조색6" xfId="65" builtinId="49" customBuiltin="1"/>
    <cellStyle name="경고문" xfId="66" builtinId="11" customBuiltin="1"/>
    <cellStyle name="계산" xfId="67" builtinId="22" customBuiltin="1"/>
    <cellStyle name="나쁨" xfId="68" builtinId="27" customBuiltin="1"/>
    <cellStyle name="메모" xfId="69" builtinId="10" customBuiltin="1"/>
    <cellStyle name="보통" xfId="70" builtinId="28" customBuiltin="1"/>
    <cellStyle name="설명 텍스트" xfId="71" builtinId="53" customBuiltin="1"/>
    <cellStyle name="셀 확인" xfId="72" builtinId="23" customBuiltin="1"/>
    <cellStyle name="쉼표 [0] 8" xfId="73" xr:uid="{00000000-0005-0000-0000-000048000000}"/>
    <cellStyle name="연결된 셀" xfId="74" builtinId="24" customBuiltin="1"/>
    <cellStyle name="요약" xfId="75" builtinId="25" customBuiltin="1"/>
    <cellStyle name="입력" xfId="76" builtinId="20" customBuiltin="1"/>
    <cellStyle name="제목" xfId="77" builtinId="15" customBuiltin="1"/>
    <cellStyle name="제목 1" xfId="78" builtinId="16" customBuiltin="1"/>
    <cellStyle name="제목 2" xfId="79" builtinId="17" customBuiltin="1"/>
    <cellStyle name="제목 3" xfId="80" builtinId="18" customBuiltin="1"/>
    <cellStyle name="제목 4" xfId="81" builtinId="19" customBuiltin="1"/>
    <cellStyle name="좋음" xfId="82" builtinId="26" customBuiltin="1"/>
    <cellStyle name="출력" xfId="83" builtinId="21" customBuiltin="1"/>
    <cellStyle name="콤마 [0]_  종  합  " xfId="84" xr:uid="{00000000-0005-0000-0000-000053000000}"/>
    <cellStyle name="콤마_  종  합  " xfId="85" xr:uid="{00000000-0005-0000-0000-000054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593725</xdr:rowOff>
    </xdr:from>
    <xdr:to>
      <xdr:col>6</xdr:col>
      <xdr:colOff>1428750</xdr:colOff>
      <xdr:row>3</xdr:row>
      <xdr:rowOff>593725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BDE4C1C-905F-4019-8753-39BA3BD475A0}"/>
            </a:ext>
          </a:extLst>
        </xdr:cNvPr>
        <xdr:cNvSpPr>
          <a:spLocks noChangeShapeType="1"/>
        </xdr:cNvSpPr>
      </xdr:nvSpPr>
      <xdr:spPr bwMode="auto">
        <a:xfrm>
          <a:off x="2581275" y="2517775"/>
          <a:ext cx="7115175" cy="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63500" cap="flat" cmpd="sng" algn="ctr">
          <a:solidFill>
            <a:srgbClr val="FF99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63500" cap="flat" cmpd="sng" algn="ctr">
          <a:solidFill>
            <a:srgbClr val="FF99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4"/>
  <sheetViews>
    <sheetView view="pageBreakPreview" zoomScale="130" zoomScaleNormal="100" zoomScaleSheetLayoutView="130" workbookViewId="0">
      <selection activeCell="B11" sqref="B11"/>
    </sheetView>
  </sheetViews>
  <sheetFormatPr defaultColWidth="7.140625" defaultRowHeight="21" customHeight="1"/>
  <cols>
    <col min="1" max="1" width="17.5703125" customWidth="1"/>
    <col min="2" max="2" width="76.7109375" customWidth="1"/>
    <col min="3" max="3" width="28.28515625" customWidth="1"/>
    <col min="5" max="5" width="13.85546875" bestFit="1" customWidth="1"/>
    <col min="7" max="7" width="11.7109375" customWidth="1"/>
  </cols>
  <sheetData>
    <row r="1" spans="1:8" ht="34.5" customHeight="1">
      <c r="A1" s="485" t="s">
        <v>152</v>
      </c>
      <c r="B1" s="486"/>
    </row>
    <row r="2" spans="1:8" ht="11.25" customHeight="1" thickBot="1">
      <c r="A2" s="174"/>
      <c r="B2" s="175"/>
    </row>
    <row r="3" spans="1:8" s="28" customFormat="1" ht="27" customHeight="1">
      <c r="A3" s="176" t="s">
        <v>147</v>
      </c>
      <c r="B3" s="177" t="str">
        <f>G3&amp;"권역 국도제설 및 결빙제거작업"</f>
        <v>계룡-세종권역 국도제설 및 결빙제거작업</v>
      </c>
      <c r="C3" s="178"/>
      <c r="D3" s="178"/>
      <c r="E3" s="487" t="s">
        <v>296</v>
      </c>
      <c r="F3" s="488"/>
      <c r="G3" s="440" t="s">
        <v>342</v>
      </c>
      <c r="H3" s="441" t="s">
        <v>297</v>
      </c>
    </row>
    <row r="4" spans="1:8" s="28" customFormat="1" ht="27" customHeight="1">
      <c r="A4" s="176" t="s">
        <v>150</v>
      </c>
      <c r="B4" s="179" t="str">
        <f>G3&amp;"권역 L="&amp;G4&amp;"km  (환산연장 L="&amp;TEXT(G5,"###.0")&amp;"km)"</f>
        <v>계룡-세종권역 L=28.8km  (환산연장 L=63.1km)</v>
      </c>
      <c r="C4" s="178"/>
      <c r="D4" s="178"/>
      <c r="E4" s="489" t="s">
        <v>298</v>
      </c>
      <c r="F4" s="490"/>
      <c r="G4" s="439">
        <v>28.8</v>
      </c>
      <c r="H4" s="442" t="s">
        <v>299</v>
      </c>
    </row>
    <row r="5" spans="1:8" s="28" customFormat="1" ht="27" customHeight="1">
      <c r="A5" s="176" t="s">
        <v>148</v>
      </c>
      <c r="B5" s="179" t="str">
        <f>"15톤 덤프 "&amp;G6&amp;"대 (삽날 "&amp;G6&amp;" + 살포기 "&amp;G6&amp;")"</f>
        <v>15톤 덤프 4대 (삽날 4 + 살포기 4)</v>
      </c>
      <c r="C5" s="178"/>
      <c r="D5" s="178"/>
      <c r="E5" s="489" t="s">
        <v>289</v>
      </c>
      <c r="F5" s="491"/>
      <c r="G5" s="443">
        <v>63.1</v>
      </c>
      <c r="H5" s="444" t="s">
        <v>293</v>
      </c>
    </row>
    <row r="6" spans="1:8" s="28" customFormat="1" ht="27" customHeight="1">
      <c r="A6" s="176"/>
      <c r="B6" s="179" t="str">
        <f>IF(G8=0,"","2.5톤 덤프 "&amp;G8&amp;"대")</f>
        <v>2.5톤 덤프 1대</v>
      </c>
      <c r="C6" s="178"/>
      <c r="D6" s="178"/>
      <c r="E6" s="492" t="s">
        <v>290</v>
      </c>
      <c r="F6" s="445" t="s">
        <v>291</v>
      </c>
      <c r="G6" s="438">
        <v>4</v>
      </c>
      <c r="H6" s="442" t="s">
        <v>294</v>
      </c>
    </row>
    <row r="7" spans="1:8" s="28" customFormat="1" ht="27" customHeight="1">
      <c r="A7" s="176"/>
      <c r="B7" s="179" t="str">
        <f>IF(G7=0,"","굴삭기(0.6 m3) "&amp;G7&amp;"대")</f>
        <v>굴삭기(0.6 m3) 1대</v>
      </c>
      <c r="C7" s="178"/>
      <c r="D7" s="178"/>
      <c r="E7" s="492"/>
      <c r="F7" s="76" t="s">
        <v>292</v>
      </c>
      <c r="G7" s="438">
        <v>1</v>
      </c>
      <c r="H7" s="442" t="s">
        <v>294</v>
      </c>
    </row>
    <row r="8" spans="1:8" s="28" customFormat="1" ht="27" customHeight="1" thickBot="1">
      <c r="A8" s="176" t="s">
        <v>153</v>
      </c>
      <c r="B8" s="179" t="s">
        <v>343</v>
      </c>
      <c r="C8" s="178"/>
      <c r="D8" s="178"/>
      <c r="E8" s="493"/>
      <c r="F8" s="446" t="s">
        <v>301</v>
      </c>
      <c r="G8" s="447">
        <v>1</v>
      </c>
      <c r="H8" s="448" t="s">
        <v>300</v>
      </c>
    </row>
    <row r="9" spans="1:8" s="28" customFormat="1" ht="45.75" customHeight="1" thickBot="1">
      <c r="A9" s="176" t="s">
        <v>149</v>
      </c>
      <c r="B9" s="188" t="s">
        <v>382</v>
      </c>
      <c r="C9" s="178"/>
      <c r="D9" s="178"/>
    </row>
    <row r="10" spans="1:8" s="28" customFormat="1" ht="27" customHeight="1">
      <c r="A10" s="176" t="s">
        <v>151</v>
      </c>
      <c r="B10" s="237">
        <f>내역서!G3</f>
        <v>593835000</v>
      </c>
      <c r="C10" s="178"/>
      <c r="D10" s="178"/>
      <c r="E10" s="487" t="s">
        <v>340</v>
      </c>
      <c r="F10" s="488"/>
      <c r="G10" s="468">
        <v>11</v>
      </c>
      <c r="H10" s="441" t="s">
        <v>339</v>
      </c>
    </row>
    <row r="11" spans="1:8" s="28" customFormat="1" ht="26.25" customHeight="1" thickBot="1">
      <c r="A11" s="180"/>
      <c r="B11" s="181" t="s">
        <v>154</v>
      </c>
      <c r="C11" s="178"/>
      <c r="D11" s="178"/>
      <c r="E11" s="483" t="s">
        <v>341</v>
      </c>
      <c r="F11" s="484"/>
      <c r="G11" s="469">
        <v>11</v>
      </c>
      <c r="H11" s="470" t="s">
        <v>339</v>
      </c>
    </row>
    <row r="12" spans="1:8" ht="21" customHeight="1">
      <c r="A12" s="173"/>
      <c r="B12" s="173"/>
      <c r="C12" s="172"/>
      <c r="D12" s="172"/>
      <c r="E12" s="172"/>
      <c r="F12" s="172"/>
    </row>
    <row r="13" spans="1:8" ht="21" customHeight="1">
      <c r="A13" s="173"/>
      <c r="B13" s="173"/>
    </row>
    <row r="14" spans="1:8" ht="21" customHeight="1">
      <c r="E14">
        <f>_xlfn.DAYS("2024-03-15","2023-11-15")+1</f>
        <v>122</v>
      </c>
    </row>
  </sheetData>
  <mergeCells count="7">
    <mergeCell ref="E11:F11"/>
    <mergeCell ref="A1:B1"/>
    <mergeCell ref="E3:F3"/>
    <mergeCell ref="E4:F4"/>
    <mergeCell ref="E5:F5"/>
    <mergeCell ref="E6:E8"/>
    <mergeCell ref="E10:F10"/>
  </mergeCells>
  <phoneticPr fontId="2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7"/>
  <sheetViews>
    <sheetView zoomScale="145" zoomScaleNormal="145" workbookViewId="0">
      <selection activeCell="C24" sqref="C24"/>
    </sheetView>
  </sheetViews>
  <sheetFormatPr defaultRowHeight="12"/>
  <cols>
    <col min="2" max="2" width="16.42578125" bestFit="1" customWidth="1"/>
    <col min="3" max="3" width="23.85546875" customWidth="1"/>
    <col min="4" max="5" width="20.85546875" bestFit="1" customWidth="1"/>
  </cols>
  <sheetData>
    <row r="2" spans="2:5" ht="12.75" thickBot="1"/>
    <row r="3" spans="2:5" ht="12.75" thickBot="1">
      <c r="B3" s="460" t="s">
        <v>324</v>
      </c>
      <c r="C3" s="461" t="s">
        <v>326</v>
      </c>
      <c r="D3" s="462" t="s">
        <v>229</v>
      </c>
    </row>
    <row r="4" spans="2:5">
      <c r="B4" s="457" t="s">
        <v>260</v>
      </c>
      <c r="C4" s="458">
        <v>172698</v>
      </c>
      <c r="D4" s="459" t="s">
        <v>327</v>
      </c>
    </row>
    <row r="5" spans="2:5">
      <c r="B5" s="452" t="s">
        <v>270</v>
      </c>
      <c r="C5" s="451">
        <v>240042</v>
      </c>
      <c r="D5" s="453" t="s">
        <v>328</v>
      </c>
    </row>
    <row r="6" spans="2:5" ht="12.75" thickBot="1">
      <c r="B6" s="454" t="s">
        <v>325</v>
      </c>
      <c r="C6" s="455">
        <v>283323</v>
      </c>
      <c r="D6" s="456" t="s">
        <v>329</v>
      </c>
    </row>
    <row r="7" spans="2:5">
      <c r="C7" s="474"/>
    </row>
    <row r="8" spans="2:5" ht="12.75" thickBot="1">
      <c r="C8" s="474"/>
    </row>
    <row r="9" spans="2:5" ht="12.75" thickBot="1">
      <c r="B9" s="460" t="s">
        <v>330</v>
      </c>
      <c r="C9" s="461" t="s">
        <v>326</v>
      </c>
      <c r="D9" s="462" t="s">
        <v>229</v>
      </c>
    </row>
    <row r="10" spans="2:5">
      <c r="B10" s="457" t="s">
        <v>292</v>
      </c>
      <c r="C10" s="458">
        <v>112342000</v>
      </c>
      <c r="D10" s="459" t="s">
        <v>338</v>
      </c>
    </row>
    <row r="11" spans="2:5">
      <c r="B11" s="452" t="s">
        <v>335</v>
      </c>
      <c r="C11" s="451">
        <v>90653000</v>
      </c>
      <c r="D11" s="453" t="s">
        <v>337</v>
      </c>
    </row>
    <row r="12" spans="2:5" ht="12.75" thickBot="1">
      <c r="B12" s="454" t="s">
        <v>353</v>
      </c>
      <c r="C12" s="455">
        <v>21982000</v>
      </c>
      <c r="D12" s="456" t="s">
        <v>336</v>
      </c>
    </row>
    <row r="13" spans="2:5">
      <c r="C13" s="474"/>
    </row>
    <row r="14" spans="2:5" ht="12.75" thickBot="1">
      <c r="C14" s="474"/>
    </row>
    <row r="15" spans="2:5" ht="12.75" thickBot="1">
      <c r="B15" s="460" t="s">
        <v>331</v>
      </c>
      <c r="C15" s="461" t="s">
        <v>381</v>
      </c>
      <c r="D15" s="463" t="s">
        <v>332</v>
      </c>
    </row>
    <row r="16" spans="2:5">
      <c r="B16" s="457" t="s">
        <v>333</v>
      </c>
      <c r="C16" s="475">
        <v>1590</v>
      </c>
      <c r="D16" s="464">
        <f>TRUNC(C16)</f>
        <v>1590</v>
      </c>
      <c r="E16" t="s">
        <v>357</v>
      </c>
    </row>
    <row r="17" spans="2:4" ht="12.75" thickBot="1">
      <c r="B17" s="454" t="s">
        <v>334</v>
      </c>
      <c r="C17" s="466"/>
      <c r="D17" s="465">
        <f>TRUNC(C17/1.1)</f>
        <v>0</v>
      </c>
    </row>
  </sheetData>
  <phoneticPr fontId="2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T19"/>
  <sheetViews>
    <sheetView view="pageBreakPreview" topLeftCell="A2" zoomScaleNormal="100" zoomScaleSheetLayoutView="100" workbookViewId="0">
      <selection activeCell="B19" sqref="B19"/>
    </sheetView>
  </sheetViews>
  <sheetFormatPr defaultColWidth="11.42578125" defaultRowHeight="14.25"/>
  <cols>
    <col min="1" max="1" width="41.28515625" style="8" customWidth="1"/>
    <col min="2" max="3" width="12.7109375" style="8" customWidth="1"/>
    <col min="4" max="4" width="24.7109375" style="8" customWidth="1"/>
    <col min="5" max="8" width="12.7109375" style="8" customWidth="1"/>
    <col min="9" max="20" width="33.28515625" style="8" customWidth="1"/>
    <col min="21" max="16384" width="11.42578125" style="9"/>
  </cols>
  <sheetData>
    <row r="1" spans="1:10" ht="27.75" customHeight="1">
      <c r="A1" s="513" t="s">
        <v>369</v>
      </c>
      <c r="B1" s="506" t="s">
        <v>59</v>
      </c>
      <c r="C1" s="515"/>
      <c r="D1" s="241" t="s">
        <v>295</v>
      </c>
      <c r="E1" s="516" t="s">
        <v>70</v>
      </c>
      <c r="F1" s="516"/>
      <c r="G1" s="506" t="s">
        <v>60</v>
      </c>
      <c r="H1" s="507"/>
    </row>
    <row r="2" spans="1:10" ht="75" customHeight="1">
      <c r="A2" s="514"/>
      <c r="B2" s="508"/>
      <c r="C2" s="509"/>
      <c r="D2" s="242"/>
      <c r="E2" s="510"/>
      <c r="F2" s="511"/>
      <c r="G2" s="508"/>
      <c r="H2" s="512"/>
    </row>
    <row r="3" spans="1:10" ht="16.5" customHeight="1">
      <c r="A3" s="245"/>
      <c r="B3" s="244"/>
      <c r="C3" s="244"/>
      <c r="D3" s="244"/>
      <c r="E3" s="243"/>
      <c r="F3" s="244"/>
      <c r="G3" s="244"/>
      <c r="H3" s="246"/>
    </row>
    <row r="4" spans="1:10" ht="51" customHeight="1">
      <c r="A4" s="197" t="s">
        <v>370</v>
      </c>
      <c r="B4" s="244"/>
      <c r="C4" s="244"/>
      <c r="D4" s="196"/>
      <c r="E4" s="243"/>
      <c r="F4" s="244"/>
      <c r="G4" s="244"/>
      <c r="H4" s="246"/>
    </row>
    <row r="5" spans="1:10" ht="60" customHeight="1">
      <c r="A5" s="494" t="str">
        <f>요약서!B3</f>
        <v>계룡-세종권역 국도제설 및 결빙제거작업</v>
      </c>
      <c r="B5" s="495"/>
      <c r="C5" s="495"/>
      <c r="D5" s="495"/>
      <c r="E5" s="495"/>
      <c r="F5" s="495"/>
      <c r="G5" s="495"/>
      <c r="H5" s="496"/>
    </row>
    <row r="6" spans="1:10" ht="27" customHeight="1">
      <c r="A6" s="494" t="s">
        <v>230</v>
      </c>
      <c r="B6" s="495"/>
      <c r="C6" s="495"/>
      <c r="D6" s="495"/>
      <c r="E6" s="495"/>
      <c r="F6" s="495"/>
      <c r="G6" s="495"/>
      <c r="H6" s="496"/>
    </row>
    <row r="7" spans="1:10" ht="27" customHeight="1">
      <c r="A7" s="238"/>
      <c r="B7" s="239"/>
      <c r="C7" s="239"/>
      <c r="D7" s="239"/>
      <c r="E7" s="239"/>
      <c r="F7" s="239"/>
      <c r="G7" s="239"/>
      <c r="H7" s="240"/>
    </row>
    <row r="8" spans="1:10" ht="22.5" customHeight="1">
      <c r="A8" s="23"/>
      <c r="B8" s="244"/>
      <c r="C8" s="244"/>
      <c r="D8" s="244"/>
      <c r="E8" s="243"/>
      <c r="F8" s="24"/>
      <c r="G8" s="244"/>
      <c r="H8" s="246"/>
    </row>
    <row r="9" spans="1:10" ht="27" customHeight="1">
      <c r="A9" s="198" t="s">
        <v>249</v>
      </c>
      <c r="B9" s="247"/>
      <c r="C9" s="247"/>
      <c r="D9" s="503" t="s">
        <v>245</v>
      </c>
      <c r="E9" s="503"/>
      <c r="F9" s="503"/>
      <c r="G9" s="503"/>
      <c r="H9" s="504"/>
    </row>
    <row r="10" spans="1:10" ht="20.25" customHeight="1">
      <c r="A10" s="23"/>
      <c r="B10" s="247"/>
      <c r="C10" s="247"/>
      <c r="D10" s="247"/>
      <c r="E10" s="62"/>
      <c r="F10" s="24"/>
      <c r="G10" s="247"/>
      <c r="H10" s="248"/>
    </row>
    <row r="11" spans="1:10" ht="20.25" customHeight="1">
      <c r="A11" s="58" t="s">
        <v>246</v>
      </c>
      <c r="B11" s="247"/>
      <c r="C11" s="247"/>
      <c r="D11" s="199" t="s">
        <v>171</v>
      </c>
      <c r="E11" s="505">
        <f>예산갑지!G13</f>
        <v>593835000</v>
      </c>
      <c r="F11" s="505"/>
      <c r="G11" s="505"/>
      <c r="H11" s="248"/>
      <c r="J11" s="8">
        <f>132800000+13280000</f>
        <v>146080000</v>
      </c>
    </row>
    <row r="12" spans="1:10" ht="20.25" customHeight="1">
      <c r="A12" s="58" t="s">
        <v>247</v>
      </c>
      <c r="B12" s="247"/>
      <c r="C12" s="247"/>
      <c r="D12" s="199" t="s">
        <v>169</v>
      </c>
      <c r="E12" s="505">
        <f>예산갑지!G14</f>
        <v>539850000</v>
      </c>
      <c r="F12" s="505"/>
      <c r="G12" s="505"/>
      <c r="H12" s="254"/>
    </row>
    <row r="13" spans="1:10" ht="20.25" customHeight="1">
      <c r="A13" s="58" t="s">
        <v>248</v>
      </c>
      <c r="B13" s="247"/>
      <c r="C13" s="247"/>
      <c r="D13" s="199" t="s">
        <v>168</v>
      </c>
      <c r="E13" s="502">
        <f>원가계산서!E24</f>
        <v>53985000</v>
      </c>
      <c r="F13" s="502"/>
      <c r="G13" s="502"/>
      <c r="H13" s="254"/>
    </row>
    <row r="14" spans="1:10" ht="20.25" customHeight="1">
      <c r="A14" s="58" t="s">
        <v>284</v>
      </c>
      <c r="B14" s="247"/>
      <c r="C14" s="247"/>
      <c r="D14" s="199"/>
      <c r="E14" s="502"/>
      <c r="F14" s="502"/>
      <c r="G14" s="502"/>
      <c r="H14" s="254"/>
    </row>
    <row r="15" spans="1:10" ht="20.25" customHeight="1">
      <c r="A15" s="58" t="s">
        <v>285</v>
      </c>
      <c r="B15" s="247"/>
      <c r="C15" s="247"/>
      <c r="D15" s="247"/>
      <c r="E15" s="7"/>
      <c r="F15" s="63"/>
      <c r="G15" s="500"/>
      <c r="H15" s="501"/>
    </row>
    <row r="16" spans="1:10" ht="36" customHeight="1">
      <c r="A16" s="497"/>
      <c r="B16" s="498"/>
      <c r="C16" s="498"/>
      <c r="D16" s="498"/>
      <c r="E16" s="498"/>
      <c r="F16" s="498"/>
      <c r="G16" s="498"/>
      <c r="H16" s="499"/>
    </row>
    <row r="17" spans="1:8" ht="43.5" customHeight="1">
      <c r="A17" s="497" t="s">
        <v>244</v>
      </c>
      <c r="B17" s="498"/>
      <c r="C17" s="498"/>
      <c r="D17" s="498"/>
      <c r="E17" s="498"/>
      <c r="F17" s="498"/>
      <c r="G17" s="498"/>
      <c r="H17" s="499"/>
    </row>
    <row r="18" spans="1:8" ht="43.5" customHeight="1" thickBot="1">
      <c r="A18" s="250"/>
      <c r="B18" s="251"/>
      <c r="C18" s="251"/>
      <c r="D18" s="251"/>
      <c r="E18" s="251"/>
      <c r="F18" s="251"/>
      <c r="G18" s="251"/>
      <c r="H18" s="252"/>
    </row>
    <row r="19" spans="1:8" ht="25.5">
      <c r="A19" s="249"/>
    </row>
  </sheetData>
  <mergeCells count="17">
    <mergeCell ref="G1:H1"/>
    <mergeCell ref="B2:C2"/>
    <mergeCell ref="E2:F2"/>
    <mergeCell ref="G2:H2"/>
    <mergeCell ref="A5:H5"/>
    <mergeCell ref="A1:A2"/>
    <mergeCell ref="B1:C1"/>
    <mergeCell ref="E1:F1"/>
    <mergeCell ref="A6:H6"/>
    <mergeCell ref="A16:H16"/>
    <mergeCell ref="G15:H15"/>
    <mergeCell ref="E14:G14"/>
    <mergeCell ref="A17:H17"/>
    <mergeCell ref="D9:H9"/>
    <mergeCell ref="E11:G11"/>
    <mergeCell ref="E12:G12"/>
    <mergeCell ref="E13:G13"/>
  </mergeCells>
  <phoneticPr fontId="24" type="noConversion"/>
  <printOptions horizontalCentered="1" verticalCentered="1"/>
  <pageMargins left="1.1811023622047245" right="0.78740157480314965" top="0.39370078740157483" bottom="0.39370078740157483" header="0.51181102362204722" footer="0.51181102362204722"/>
  <pageSetup paperSize="9" scale="8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E6919-F7CA-40D3-A0EE-64FE13B51BDA}">
  <dimension ref="A1:K24"/>
  <sheetViews>
    <sheetView view="pageBreakPreview" zoomScale="60" zoomScaleNormal="100" workbookViewId="0">
      <selection activeCell="M15" sqref="M15"/>
    </sheetView>
  </sheetViews>
  <sheetFormatPr defaultColWidth="11.42578125" defaultRowHeight="12"/>
  <cols>
    <col min="1" max="1" width="23.42578125" style="479" customWidth="1"/>
    <col min="2" max="2" width="15" style="479" customWidth="1"/>
    <col min="3" max="3" width="20.5703125" style="479" customWidth="1"/>
    <col min="4" max="4" width="21.85546875" style="479" customWidth="1"/>
    <col min="5" max="7" width="21.5703125" style="479" customWidth="1"/>
    <col min="8" max="8" width="14.28515625" style="479" customWidth="1"/>
    <col min="9" max="16384" width="11.42578125" style="479"/>
  </cols>
  <sheetData>
    <row r="1" spans="1:11" s="28" customFormat="1" ht="72" customHeight="1">
      <c r="A1" s="517" t="s">
        <v>20</v>
      </c>
      <c r="B1" s="517"/>
      <c r="C1" s="517"/>
      <c r="D1" s="517"/>
      <c r="E1" s="517"/>
      <c r="F1" s="517"/>
      <c r="G1" s="517"/>
      <c r="H1" s="517"/>
    </row>
    <row r="2" spans="1:11" s="28" customFormat="1" ht="39.950000000000003" customHeight="1">
      <c r="A2" s="518" t="s">
        <v>21</v>
      </c>
      <c r="B2" s="523" t="s">
        <v>22</v>
      </c>
      <c r="C2" s="520" t="s">
        <v>161</v>
      </c>
      <c r="D2" s="521"/>
      <c r="E2" s="521"/>
      <c r="F2" s="521"/>
      <c r="G2" s="522"/>
      <c r="H2" s="518" t="s">
        <v>23</v>
      </c>
    </row>
    <row r="3" spans="1:11" s="28" customFormat="1" ht="39.950000000000003" customHeight="1">
      <c r="A3" s="519"/>
      <c r="B3" s="524"/>
      <c r="C3" s="29" t="s">
        <v>145</v>
      </c>
      <c r="D3" s="29" t="s">
        <v>159</v>
      </c>
      <c r="E3" s="29" t="s">
        <v>160</v>
      </c>
      <c r="F3" s="29" t="s">
        <v>360</v>
      </c>
      <c r="G3" s="29" t="s">
        <v>383</v>
      </c>
      <c r="H3" s="519"/>
    </row>
    <row r="4" spans="1:11" s="28" customFormat="1" ht="90" customHeight="1">
      <c r="A4" s="29" t="s">
        <v>24</v>
      </c>
      <c r="B4" s="29">
        <v>100</v>
      </c>
      <c r="C4" s="481">
        <v>25</v>
      </c>
      <c r="D4" s="481">
        <v>25</v>
      </c>
      <c r="E4" s="481">
        <v>25</v>
      </c>
      <c r="F4" s="481">
        <v>20</v>
      </c>
      <c r="G4" s="482" t="s">
        <v>384</v>
      </c>
      <c r="H4" s="29"/>
    </row>
    <row r="5" spans="1:11" s="28" customFormat="1" ht="72.75" customHeight="1">
      <c r="A5" s="520" t="s">
        <v>25</v>
      </c>
      <c r="B5" s="522"/>
      <c r="C5" s="29">
        <f>C4</f>
        <v>25</v>
      </c>
      <c r="D5" s="29">
        <f>C5+D4</f>
        <v>50</v>
      </c>
      <c r="E5" s="29">
        <f>D5+E4</f>
        <v>75</v>
      </c>
      <c r="F5" s="29">
        <v>95</v>
      </c>
      <c r="G5" s="29">
        <v>100</v>
      </c>
      <c r="H5" s="29"/>
      <c r="K5" s="28" t="s">
        <v>142</v>
      </c>
    </row>
    <row r="6" spans="1:11" s="28" customFormat="1" ht="39.950000000000003" customHeight="1"/>
    <row r="7" spans="1:11" s="28" customFormat="1" ht="39.950000000000003" customHeight="1"/>
    <row r="8" spans="1:11" s="28" customFormat="1" ht="39.950000000000003" customHeight="1"/>
    <row r="9" spans="1:11" s="28" customFormat="1" ht="61.5" customHeight="1">
      <c r="A9" s="517" t="s">
        <v>26</v>
      </c>
      <c r="B9" s="517"/>
      <c r="C9" s="517"/>
      <c r="D9" s="517"/>
      <c r="E9" s="517"/>
      <c r="F9" s="517"/>
      <c r="G9" s="517"/>
      <c r="H9" s="517"/>
    </row>
    <row r="10" spans="1:11" s="28" customFormat="1" ht="39.950000000000003" customHeight="1">
      <c r="A10" s="30" t="s">
        <v>21</v>
      </c>
      <c r="B10" s="518" t="s">
        <v>1</v>
      </c>
      <c r="C10" s="520" t="s">
        <v>161</v>
      </c>
      <c r="D10" s="521"/>
      <c r="E10" s="521"/>
      <c r="F10" s="521"/>
      <c r="G10" s="522"/>
      <c r="H10" s="518" t="s">
        <v>23</v>
      </c>
    </row>
    <row r="11" spans="1:11" s="28" customFormat="1" ht="39.950000000000003" customHeight="1">
      <c r="A11" s="31"/>
      <c r="B11" s="519"/>
      <c r="C11" s="29" t="str">
        <f>C3</f>
        <v>착수30일</v>
      </c>
      <c r="D11" s="29" t="str">
        <f>D3</f>
        <v>착수60일</v>
      </c>
      <c r="E11" s="478" t="str">
        <f>E3</f>
        <v>착수90일</v>
      </c>
      <c r="F11" s="29" t="s">
        <v>385</v>
      </c>
      <c r="G11" s="29" t="s">
        <v>383</v>
      </c>
      <c r="H11" s="519"/>
    </row>
    <row r="12" spans="1:11" s="28" customFormat="1" ht="54.95" customHeight="1">
      <c r="A12" s="477" t="s">
        <v>27</v>
      </c>
      <c r="B12" s="29">
        <f>SUM(C12:F12)</f>
        <v>610</v>
      </c>
      <c r="C12" s="29">
        <v>150</v>
      </c>
      <c r="D12" s="29">
        <f>C12</f>
        <v>150</v>
      </c>
      <c r="E12" s="29">
        <f>C12</f>
        <v>150</v>
      </c>
      <c r="F12" s="29">
        <v>160</v>
      </c>
      <c r="G12" s="29" t="s">
        <v>386</v>
      </c>
      <c r="H12" s="29"/>
    </row>
    <row r="13" spans="1:11" s="28" customFormat="1" ht="54.95" customHeight="1">
      <c r="A13" s="477" t="s">
        <v>28</v>
      </c>
      <c r="B13" s="29">
        <f>SUM(C13:F13)</f>
        <v>610</v>
      </c>
      <c r="C13" s="29">
        <v>150</v>
      </c>
      <c r="D13" s="29">
        <f>C13</f>
        <v>150</v>
      </c>
      <c r="E13" s="29">
        <f>C13</f>
        <v>150</v>
      </c>
      <c r="F13" s="29">
        <v>160</v>
      </c>
      <c r="G13" s="29" t="s">
        <v>386</v>
      </c>
      <c r="H13" s="29"/>
    </row>
    <row r="14" spans="1:11" s="28" customFormat="1" ht="54.95" customHeight="1">
      <c r="A14" s="477" t="s">
        <v>1</v>
      </c>
      <c r="B14" s="29">
        <f>SUM(B12:B13)</f>
        <v>1220</v>
      </c>
      <c r="C14" s="29">
        <f>SUM(C12:C13)</f>
        <v>300</v>
      </c>
      <c r="D14" s="29">
        <f>SUM(D12:D13)</f>
        <v>300</v>
      </c>
      <c r="E14" s="29">
        <f>SUM(E12:E13)</f>
        <v>300</v>
      </c>
      <c r="F14" s="29">
        <v>320</v>
      </c>
      <c r="G14" s="29" t="s">
        <v>386</v>
      </c>
      <c r="H14" s="29"/>
    </row>
    <row r="15" spans="1:11" s="28" customFormat="1" ht="54.95" customHeight="1">
      <c r="A15" s="520" t="s">
        <v>29</v>
      </c>
      <c r="B15" s="522"/>
      <c r="C15" s="29">
        <f>C14</f>
        <v>300</v>
      </c>
      <c r="D15" s="29">
        <f>C15+D14</f>
        <v>600</v>
      </c>
      <c r="E15" s="29">
        <f>D15+E14</f>
        <v>900</v>
      </c>
      <c r="F15" s="29">
        <v>1220</v>
      </c>
      <c r="G15" s="29">
        <v>1220</v>
      </c>
      <c r="H15" s="29"/>
    </row>
    <row r="16" spans="1:11" s="28" customFormat="1" ht="39.950000000000003" customHeight="1"/>
    <row r="17" s="28" customFormat="1" ht="39.950000000000003" customHeight="1"/>
    <row r="18" s="28" customFormat="1" ht="39.950000000000003" customHeight="1"/>
    <row r="19" s="28" customFormat="1" ht="39.950000000000003" customHeight="1"/>
    <row r="20" s="28" customFormat="1" ht="39.950000000000003" customHeight="1"/>
    <row r="21" s="28" customFormat="1" ht="39.950000000000003" customHeight="1"/>
    <row r="22" s="28" customFormat="1" ht="39.950000000000003" customHeight="1"/>
    <row r="23" s="28" customFormat="1" ht="39.950000000000003" customHeight="1"/>
    <row r="24" s="28" customFormat="1" ht="39.950000000000003" customHeight="1"/>
  </sheetData>
  <mergeCells count="11">
    <mergeCell ref="A5:B5"/>
    <mergeCell ref="A1:H1"/>
    <mergeCell ref="A2:A3"/>
    <mergeCell ref="B2:B3"/>
    <mergeCell ref="C2:G2"/>
    <mergeCell ref="H2:H3"/>
    <mergeCell ref="A9:H9"/>
    <mergeCell ref="B10:B11"/>
    <mergeCell ref="C10:G10"/>
    <mergeCell ref="H10:H11"/>
    <mergeCell ref="A15:B15"/>
  </mergeCells>
  <phoneticPr fontId="2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horizontalDpi="4294967292" r:id="rId1"/>
  <headerFooter alignWithMargins="0"/>
  <rowBreaks count="1" manualBreakCount="1">
    <brk id="8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I23"/>
  <sheetViews>
    <sheetView view="pageBreakPreview" zoomScaleNormal="100" zoomScaleSheetLayoutView="100" workbookViewId="0">
      <selection activeCell="A4" sqref="A4"/>
    </sheetView>
  </sheetViews>
  <sheetFormatPr defaultColWidth="11.42578125" defaultRowHeight="14.25"/>
  <cols>
    <col min="1" max="1" width="39.7109375" style="18" customWidth="1"/>
    <col min="2" max="2" width="4.7109375" style="8" customWidth="1"/>
    <col min="3" max="3" width="20.7109375" style="8" customWidth="1"/>
    <col min="4" max="4" width="4.7109375" style="8" customWidth="1"/>
    <col min="5" max="5" width="20.28515625" style="8" customWidth="1"/>
    <col min="6" max="6" width="25" style="8" customWidth="1"/>
    <col min="7" max="7" width="2.28515625" style="8" customWidth="1"/>
    <col min="8" max="8" width="20.7109375" style="8" customWidth="1"/>
    <col min="9" max="9" width="6.28515625" style="8" customWidth="1"/>
    <col min="10" max="16384" width="11.42578125" style="9"/>
  </cols>
  <sheetData>
    <row r="1" spans="1:9" ht="25.5" customHeight="1">
      <c r="A1" s="525"/>
      <c r="B1" s="526"/>
      <c r="C1" s="526"/>
      <c r="D1" s="526"/>
      <c r="E1" s="526"/>
      <c r="F1" s="526"/>
      <c r="G1" s="526"/>
      <c r="H1" s="526"/>
      <c r="I1" s="527"/>
    </row>
    <row r="2" spans="1:9" ht="51.75" customHeight="1">
      <c r="A2" s="528"/>
      <c r="B2" s="529"/>
      <c r="C2" s="529"/>
      <c r="D2" s="529"/>
      <c r="E2" s="529"/>
      <c r="F2" s="529"/>
      <c r="G2" s="529"/>
      <c r="H2" s="529"/>
      <c r="I2" s="530"/>
    </row>
    <row r="3" spans="1:9" ht="18" customHeight="1">
      <c r="A3" s="19"/>
      <c r="B3" s="10"/>
      <c r="C3" s="11"/>
      <c r="D3" s="10"/>
      <c r="E3" s="11"/>
      <c r="F3" s="10"/>
      <c r="G3" s="11"/>
      <c r="H3" s="10"/>
      <c r="I3" s="20"/>
    </row>
    <row r="4" spans="1:9" ht="18" customHeight="1">
      <c r="A4" s="195" t="str">
        <f>표지2!A4</f>
        <v xml:space="preserve">   2026-2027년도</v>
      </c>
      <c r="B4" s="10"/>
      <c r="C4" s="11"/>
      <c r="D4" s="10"/>
      <c r="E4" s="11"/>
      <c r="F4" s="10"/>
      <c r="G4" s="11"/>
      <c r="H4" s="10"/>
      <c r="I4" s="20"/>
    </row>
    <row r="5" spans="1:9" ht="18" customHeight="1">
      <c r="A5" s="194"/>
      <c r="B5" s="12"/>
      <c r="C5" s="12"/>
      <c r="D5" s="12"/>
      <c r="E5" s="12"/>
      <c r="F5" s="11"/>
      <c r="G5" s="12"/>
      <c r="H5" s="12"/>
      <c r="I5" s="22"/>
    </row>
    <row r="6" spans="1:9" ht="18" customHeight="1">
      <c r="A6" s="21"/>
      <c r="B6" s="12"/>
      <c r="C6" s="12"/>
      <c r="D6" s="12"/>
      <c r="E6" s="12"/>
      <c r="F6" s="13"/>
      <c r="G6" s="12"/>
      <c r="H6" s="12"/>
      <c r="I6" s="22"/>
    </row>
    <row r="7" spans="1:9" ht="38.25" customHeight="1">
      <c r="A7" s="538" t="str">
        <f>표지2!A5</f>
        <v>계룡-세종권역 국도제설 및 결빙제거작업</v>
      </c>
      <c r="B7" s="539"/>
      <c r="C7" s="539"/>
      <c r="D7" s="539"/>
      <c r="E7" s="539"/>
      <c r="F7" s="539"/>
      <c r="G7" s="539"/>
      <c r="H7" s="539"/>
      <c r="I7" s="540"/>
    </row>
    <row r="8" spans="1:9" ht="39" customHeight="1">
      <c r="A8" s="538" t="s">
        <v>344</v>
      </c>
      <c r="B8" s="539"/>
      <c r="C8" s="539"/>
      <c r="D8" s="539"/>
      <c r="E8" s="539"/>
      <c r="F8" s="539"/>
      <c r="G8" s="539"/>
      <c r="H8" s="539"/>
      <c r="I8" s="540"/>
    </row>
    <row r="9" spans="1:9" s="16" customFormat="1" ht="18" customHeight="1">
      <c r="A9" s="25"/>
      <c r="B9" s="14"/>
      <c r="C9" s="14"/>
      <c r="D9" s="14"/>
      <c r="E9" s="14"/>
      <c r="F9" s="15"/>
      <c r="G9" s="15"/>
      <c r="H9" s="14"/>
      <c r="I9" s="56"/>
    </row>
    <row r="10" spans="1:9" s="16" customFormat="1" ht="18" customHeight="1">
      <c r="A10" s="25"/>
      <c r="B10" s="14"/>
      <c r="C10" s="14"/>
      <c r="D10" s="14"/>
      <c r="E10" s="14"/>
      <c r="F10" s="15"/>
      <c r="G10" s="15"/>
      <c r="H10" s="14"/>
      <c r="I10" s="57"/>
    </row>
    <row r="11" spans="1:9" s="16" customFormat="1" ht="18" customHeight="1">
      <c r="A11" s="198" t="s">
        <v>173</v>
      </c>
      <c r="B11" s="59"/>
      <c r="C11" s="59"/>
      <c r="D11" s="59"/>
      <c r="E11" s="60"/>
      <c r="F11" s="541" t="s">
        <v>172</v>
      </c>
      <c r="G11" s="541"/>
      <c r="H11" s="541"/>
      <c r="I11" s="542"/>
    </row>
    <row r="12" spans="1:9" s="16" customFormat="1" ht="18" customHeight="1">
      <c r="A12" s="23"/>
      <c r="B12" s="59"/>
      <c r="C12" s="59"/>
      <c r="D12" s="59"/>
      <c r="E12" s="59"/>
      <c r="F12" s="62"/>
      <c r="G12" s="24"/>
      <c r="H12" s="59"/>
      <c r="I12" s="61"/>
    </row>
    <row r="13" spans="1:9" s="16" customFormat="1" ht="18" customHeight="1">
      <c r="A13" s="58" t="s">
        <v>30</v>
      </c>
      <c r="B13" s="59"/>
      <c r="C13" s="59"/>
      <c r="D13" s="59"/>
      <c r="E13" s="199"/>
      <c r="F13" s="199" t="s">
        <v>171</v>
      </c>
      <c r="G13" s="536">
        <f>원가계산서!D4</f>
        <v>593835000</v>
      </c>
      <c r="H13" s="536"/>
      <c r="I13" s="537"/>
    </row>
    <row r="14" spans="1:9" s="16" customFormat="1" ht="18" customHeight="1">
      <c r="A14" s="58" t="s">
        <v>31</v>
      </c>
      <c r="B14" s="59"/>
      <c r="C14" s="59"/>
      <c r="D14" s="59"/>
      <c r="E14" s="59"/>
      <c r="F14" s="199" t="s">
        <v>169</v>
      </c>
      <c r="G14" s="536">
        <f>원가계산서!공급가액</f>
        <v>539850000</v>
      </c>
      <c r="H14" s="536"/>
      <c r="I14" s="537"/>
    </row>
    <row r="15" spans="1:9" s="16" customFormat="1" ht="18" customHeight="1">
      <c r="A15" s="58" t="s">
        <v>32</v>
      </c>
      <c r="B15" s="59"/>
      <c r="C15" s="59"/>
      <c r="D15" s="59"/>
      <c r="E15" s="59"/>
      <c r="F15" s="199" t="s">
        <v>168</v>
      </c>
      <c r="G15" s="534">
        <f>원가계산서!E24</f>
        <v>53985000</v>
      </c>
      <c r="H15" s="534"/>
      <c r="I15" s="535"/>
    </row>
    <row r="16" spans="1:9" s="16" customFormat="1" ht="18" customHeight="1">
      <c r="A16" s="58" t="s">
        <v>287</v>
      </c>
      <c r="B16" s="59"/>
      <c r="C16" s="59"/>
      <c r="D16" s="59"/>
      <c r="E16" s="59"/>
      <c r="F16" s="7"/>
      <c r="G16" s="63"/>
      <c r="H16" s="500"/>
      <c r="I16" s="501"/>
    </row>
    <row r="17" spans="1:9" s="16" customFormat="1" ht="18" customHeight="1">
      <c r="A17" s="58" t="s">
        <v>286</v>
      </c>
      <c r="B17" s="59"/>
      <c r="C17" s="59"/>
      <c r="D17" s="59"/>
      <c r="E17" s="59"/>
      <c r="F17" s="7"/>
      <c r="G17" s="63"/>
      <c r="H17" s="500"/>
      <c r="I17" s="501"/>
    </row>
    <row r="18" spans="1:9" s="16" customFormat="1" ht="18" customHeight="1">
      <c r="A18" s="64"/>
      <c r="B18" s="14"/>
      <c r="C18" s="14"/>
      <c r="D18" s="14"/>
      <c r="E18" s="14"/>
      <c r="F18" s="17"/>
      <c r="G18" s="17"/>
      <c r="H18" s="14"/>
      <c r="I18" s="57"/>
    </row>
    <row r="19" spans="1:9" s="16" customFormat="1" ht="18" customHeight="1">
      <c r="A19" s="64"/>
      <c r="B19" s="14"/>
      <c r="C19" s="14"/>
      <c r="D19" s="14"/>
      <c r="E19" s="14"/>
      <c r="F19" s="14"/>
      <c r="G19" s="14"/>
      <c r="H19" s="14"/>
      <c r="I19" s="57"/>
    </row>
    <row r="20" spans="1:9" s="16" customFormat="1" ht="27" customHeight="1">
      <c r="A20" s="531" t="str">
        <f>표지2!A17</f>
        <v>논 산 국 토 관 리 사 무 소</v>
      </c>
      <c r="B20" s="532"/>
      <c r="C20" s="532"/>
      <c r="D20" s="532"/>
      <c r="E20" s="532"/>
      <c r="F20" s="532"/>
      <c r="G20" s="532"/>
      <c r="H20" s="532"/>
      <c r="I20" s="533"/>
    </row>
    <row r="21" spans="1:9">
      <c r="A21" s="65"/>
      <c r="B21" s="18"/>
      <c r="C21" s="18"/>
      <c r="D21" s="18"/>
      <c r="E21" s="18"/>
      <c r="F21" s="18"/>
      <c r="G21" s="18"/>
      <c r="H21" s="18"/>
      <c r="I21" s="66"/>
    </row>
    <row r="22" spans="1:9">
      <c r="A22" s="65"/>
      <c r="B22" s="18"/>
      <c r="C22" s="18"/>
      <c r="D22" s="18"/>
      <c r="E22" s="18"/>
      <c r="F22" s="18"/>
      <c r="G22" s="18"/>
      <c r="H22" s="18"/>
      <c r="I22" s="66"/>
    </row>
    <row r="23" spans="1:9" ht="15" thickBot="1">
      <c r="A23" s="67"/>
      <c r="B23" s="68"/>
      <c r="C23" s="68"/>
      <c r="D23" s="68"/>
      <c r="E23" s="68"/>
      <c r="F23" s="68"/>
      <c r="G23" s="68"/>
      <c r="H23" s="68"/>
      <c r="I23" s="69"/>
    </row>
  </sheetData>
  <mergeCells count="10">
    <mergeCell ref="A1:I2"/>
    <mergeCell ref="A20:I20"/>
    <mergeCell ref="H16:I16"/>
    <mergeCell ref="G15:I15"/>
    <mergeCell ref="G13:I13"/>
    <mergeCell ref="G14:I14"/>
    <mergeCell ref="A7:I7"/>
    <mergeCell ref="F11:I11"/>
    <mergeCell ref="A8:I8"/>
    <mergeCell ref="H17:I17"/>
  </mergeCells>
  <phoneticPr fontId="4" type="noConversion"/>
  <printOptions horizontalCentered="1" verticalCentered="1"/>
  <pageMargins left="1.1811023622047245" right="0.78740157480314965" top="0.39370078740157483" bottom="0.39370078740157483" header="0.51181102362204722" footer="0.51181102362204722"/>
  <pageSetup paperSize="9" scale="9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T29"/>
  <sheetViews>
    <sheetView view="pageBreakPreview" topLeftCell="A3" zoomScaleNormal="100" zoomScaleSheetLayoutView="100" workbookViewId="0">
      <selection activeCell="E24" sqref="E24"/>
    </sheetView>
  </sheetViews>
  <sheetFormatPr defaultColWidth="11.42578125" defaultRowHeight="12"/>
  <cols>
    <col min="1" max="1" width="1.28515625" customWidth="1"/>
    <col min="2" max="2" width="11.42578125" customWidth="1"/>
    <col min="3" max="3" width="26.28515625" customWidth="1"/>
    <col min="4" max="4" width="63.42578125" customWidth="1"/>
    <col min="5" max="5" width="27.42578125" customWidth="1"/>
    <col min="6" max="6" width="14.28515625" customWidth="1"/>
    <col min="7" max="7" width="12" bestFit="1" customWidth="1"/>
    <col min="8" max="8" width="12.7109375" bestFit="1" customWidth="1"/>
    <col min="9" max="9" width="13" bestFit="1" customWidth="1"/>
  </cols>
  <sheetData>
    <row r="1" spans="1:20" ht="7.5" customHeight="1">
      <c r="A1" s="92" t="s">
        <v>142</v>
      </c>
      <c r="B1" s="93"/>
      <c r="C1" s="93"/>
      <c r="D1" s="93"/>
      <c r="E1" s="93"/>
      <c r="F1" s="93"/>
      <c r="G1" s="93"/>
      <c r="H1" s="93"/>
      <c r="I1" s="93"/>
      <c r="J1" s="93"/>
    </row>
    <row r="2" spans="1:20" ht="22.5" customHeight="1">
      <c r="A2" s="92"/>
      <c r="B2" s="543" t="s">
        <v>163</v>
      </c>
      <c r="C2" s="543"/>
      <c r="D2" s="543"/>
      <c r="E2" s="543"/>
      <c r="F2" s="543"/>
      <c r="G2" s="543"/>
      <c r="H2" s="543"/>
      <c r="I2" s="93"/>
      <c r="J2" s="93"/>
    </row>
    <row r="3" spans="1:20" ht="9" customHeight="1">
      <c r="A3" s="92"/>
      <c r="B3" s="543"/>
      <c r="C3" s="543"/>
      <c r="D3" s="543"/>
      <c r="E3" s="543"/>
      <c r="F3" s="543"/>
      <c r="G3" s="543"/>
      <c r="H3" s="543"/>
      <c r="I3" s="93"/>
      <c r="J3" s="93"/>
    </row>
    <row r="4" spans="1:20" ht="24" customHeight="1">
      <c r="A4" s="92"/>
      <c r="B4" s="182" t="s">
        <v>170</v>
      </c>
      <c r="C4" s="183"/>
      <c r="D4" s="184">
        <f>공급가액+E24</f>
        <v>593835000</v>
      </c>
      <c r="E4" s="185"/>
      <c r="F4" s="94"/>
      <c r="G4" s="94"/>
      <c r="H4" s="95"/>
      <c r="I4" s="95"/>
      <c r="J4" s="93"/>
    </row>
    <row r="5" spans="1:20" ht="24" customHeight="1">
      <c r="A5" s="92"/>
      <c r="B5" s="182" t="s">
        <v>164</v>
      </c>
      <c r="C5" s="183"/>
      <c r="D5" s="184">
        <f>순공사원가+E22+E23</f>
        <v>539850000</v>
      </c>
      <c r="E5" s="186"/>
      <c r="F5" s="97">
        <v>41400000</v>
      </c>
      <c r="G5" s="96"/>
      <c r="H5" s="95"/>
      <c r="I5" s="95"/>
      <c r="J5" s="93"/>
    </row>
    <row r="6" spans="1:20" ht="24" customHeight="1">
      <c r="A6" s="92"/>
      <c r="B6" s="183" t="s">
        <v>165</v>
      </c>
      <c r="C6" s="183"/>
      <c r="D6" s="187">
        <f>D7+E11+E12+E13+E14+E15+E16+E17+E18+E19+E20+E21</f>
        <v>452200188</v>
      </c>
      <c r="E6" s="206" t="s">
        <v>158</v>
      </c>
      <c r="F6" s="98"/>
      <c r="G6" s="99"/>
      <c r="H6" s="95"/>
      <c r="I6" s="95"/>
      <c r="J6" s="93"/>
    </row>
    <row r="7" spans="1:20" ht="24" customHeight="1">
      <c r="A7" s="92"/>
      <c r="B7" s="183" t="s">
        <v>166</v>
      </c>
      <c r="C7" s="183"/>
      <c r="D7" s="187">
        <f>설계내역서!G4</f>
        <v>333180188</v>
      </c>
      <c r="E7" s="206">
        <f>설계내역서!M4</f>
        <v>53831641</v>
      </c>
      <c r="F7" s="100"/>
      <c r="G7" s="98"/>
      <c r="H7" s="94"/>
      <c r="I7" s="101"/>
      <c r="J7" s="94"/>
    </row>
    <row r="8" spans="1:20" ht="24" customHeight="1">
      <c r="A8" s="92"/>
      <c r="B8" s="183" t="s">
        <v>271</v>
      </c>
      <c r="C8" s="183"/>
      <c r="D8" s="187">
        <f>설계내역서!I4</f>
        <v>30022635</v>
      </c>
      <c r="E8" s="206">
        <f>설계내역서!M5</f>
        <v>9115312</v>
      </c>
      <c r="F8" s="100"/>
      <c r="G8" s="98"/>
      <c r="H8" s="94"/>
      <c r="I8" s="101"/>
      <c r="J8" s="94"/>
    </row>
    <row r="9" spans="1:20" ht="24" customHeight="1">
      <c r="A9" s="92"/>
      <c r="B9" s="183" t="s">
        <v>273</v>
      </c>
      <c r="C9" s="183"/>
      <c r="D9" s="187">
        <f>설계내역서!K4</f>
        <v>249325912</v>
      </c>
      <c r="E9" s="206">
        <f>설계내역서!M6</f>
        <v>1817992</v>
      </c>
      <c r="F9" s="100"/>
      <c r="G9" s="98"/>
      <c r="H9" s="94"/>
      <c r="I9" s="101"/>
      <c r="J9" s="94"/>
    </row>
    <row r="10" spans="1:20" ht="24" customHeight="1">
      <c r="A10" s="92"/>
      <c r="B10" s="183" t="s">
        <v>272</v>
      </c>
      <c r="C10" s="183"/>
      <c r="D10" s="187">
        <f>설계내역서!M4</f>
        <v>53831641</v>
      </c>
      <c r="E10" s="206">
        <f>설계내역서!M7</f>
        <v>1817992</v>
      </c>
      <c r="F10" s="100"/>
      <c r="G10" s="98"/>
      <c r="H10" s="94"/>
      <c r="I10" s="101"/>
      <c r="J10" s="94"/>
    </row>
    <row r="11" spans="1:20" ht="24" customHeight="1">
      <c r="A11" s="92"/>
      <c r="B11" s="183" t="s">
        <v>305</v>
      </c>
      <c r="C11" s="183"/>
      <c r="D11" s="480" t="s">
        <v>378</v>
      </c>
      <c r="E11" s="185">
        <f>ROUNDDOWN(D9*0.191,-3)</f>
        <v>47621000</v>
      </c>
      <c r="F11" s="255"/>
      <c r="G11" s="94"/>
      <c r="H11" s="95"/>
      <c r="I11" s="95"/>
      <c r="J11" s="93"/>
    </row>
    <row r="12" spans="1:20" ht="24" customHeight="1">
      <c r="A12" s="92"/>
      <c r="B12" s="183" t="s">
        <v>306</v>
      </c>
      <c r="C12" s="183"/>
      <c r="D12" s="476" t="s">
        <v>359</v>
      </c>
      <c r="E12" s="185">
        <f>ROUNDDOWN((D9+E11)*0.0356,-3)</f>
        <v>10571000</v>
      </c>
      <c r="F12" s="255"/>
      <c r="G12" s="94"/>
      <c r="H12" s="95"/>
      <c r="I12" s="95"/>
      <c r="J12" s="93"/>
    </row>
    <row r="13" spans="1:20" ht="24" customHeight="1">
      <c r="A13" s="45"/>
      <c r="B13" s="183" t="s">
        <v>307</v>
      </c>
      <c r="C13" s="183"/>
      <c r="D13" s="476" t="s">
        <v>308</v>
      </c>
      <c r="E13" s="185">
        <f>ROUNDDOWN((D9+E11)*0.0101,-3)</f>
        <v>2999000</v>
      </c>
      <c r="F13" s="255"/>
      <c r="G13" s="94"/>
      <c r="H13" s="95"/>
      <c r="I13" s="95"/>
      <c r="J13" s="93"/>
    </row>
    <row r="14" spans="1:20" ht="24" customHeight="1">
      <c r="A14" s="45"/>
      <c r="B14" s="183" t="s">
        <v>309</v>
      </c>
      <c r="C14" s="183"/>
      <c r="D14" s="476" t="s">
        <v>371</v>
      </c>
      <c r="E14" s="185">
        <f>ROUNDDOWN(D9*0.03595,-3)</f>
        <v>8963000</v>
      </c>
      <c r="F14" s="255"/>
      <c r="G14" s="94"/>
      <c r="H14" s="95"/>
      <c r="I14" s="410"/>
    </row>
    <row r="15" spans="1:20" ht="24" customHeight="1">
      <c r="A15" s="45"/>
      <c r="B15" s="183" t="s">
        <v>310</v>
      </c>
      <c r="C15" s="183"/>
      <c r="D15" s="476" t="s">
        <v>372</v>
      </c>
      <c r="E15" s="185">
        <f>ROUNDDOWN(D9*0.0475,-3)</f>
        <v>11842000</v>
      </c>
      <c r="F15" s="255"/>
      <c r="G15" s="94"/>
      <c r="H15" s="95"/>
      <c r="I15" s="95"/>
      <c r="J15" s="93"/>
    </row>
    <row r="16" spans="1:20" s="45" customFormat="1" ht="24" customHeight="1">
      <c r="A16" s="7"/>
      <c r="B16" s="183" t="s">
        <v>311</v>
      </c>
      <c r="C16" s="6"/>
      <c r="D16" s="476" t="s">
        <v>373</v>
      </c>
      <c r="E16" s="185">
        <f>ROUNDDOWN(E14*0.1314,-3)</f>
        <v>1177000</v>
      </c>
      <c r="F16" s="255"/>
      <c r="G16" s="94"/>
      <c r="H16" s="43"/>
      <c r="I16" s="44"/>
      <c r="J16" s="44"/>
      <c r="K16" s="43"/>
      <c r="L16" s="44"/>
      <c r="M16" s="44"/>
      <c r="N16" s="44"/>
      <c r="O16" s="44"/>
      <c r="P16" s="44"/>
      <c r="Q16" s="44"/>
      <c r="R16" s="44"/>
      <c r="S16" s="44"/>
      <c r="T16" s="44"/>
    </row>
    <row r="17" spans="1:20" s="45" customFormat="1" ht="24" customHeight="1">
      <c r="A17" s="7"/>
      <c r="B17" s="183" t="s">
        <v>312</v>
      </c>
      <c r="C17" s="6"/>
      <c r="D17" s="476" t="s">
        <v>374</v>
      </c>
      <c r="E17" s="185">
        <f>ROUNDDOWN(직접공사비*0.001,-3)</f>
        <v>333000</v>
      </c>
      <c r="F17" s="255"/>
      <c r="G17" s="94"/>
      <c r="H17" s="43"/>
      <c r="I17" s="44"/>
      <c r="J17" s="44"/>
      <c r="K17" s="43"/>
      <c r="L17" s="44"/>
      <c r="M17" s="44"/>
      <c r="N17" s="44"/>
      <c r="O17" s="44"/>
      <c r="P17" s="44"/>
      <c r="Q17" s="44"/>
      <c r="R17" s="44"/>
      <c r="S17" s="44"/>
      <c r="T17" s="44"/>
    </row>
    <row r="18" spans="1:20" s="45" customFormat="1" ht="24" customHeight="1">
      <c r="A18" s="7"/>
      <c r="B18" s="183" t="s">
        <v>313</v>
      </c>
      <c r="C18" s="6"/>
      <c r="D18" s="476" t="s">
        <v>375</v>
      </c>
      <c r="E18" s="185">
        <f>ROUNDDOWN((D8+D9)*0.0315,-3)</f>
        <v>8799000</v>
      </c>
      <c r="F18" s="255"/>
      <c r="G18" s="94"/>
      <c r="H18" s="43"/>
      <c r="I18" s="44"/>
      <c r="J18" s="44"/>
      <c r="K18" s="43"/>
      <c r="L18" s="44"/>
      <c r="M18" s="44"/>
      <c r="N18" s="44"/>
      <c r="O18" s="44"/>
      <c r="P18" s="44"/>
      <c r="Q18" s="44"/>
      <c r="R18" s="44"/>
      <c r="S18" s="44"/>
      <c r="T18" s="44"/>
    </row>
    <row r="19" spans="1:20" ht="24" customHeight="1">
      <c r="A19" s="45"/>
      <c r="B19" s="183" t="s">
        <v>314</v>
      </c>
      <c r="C19" s="183"/>
      <c r="D19" s="476" t="s">
        <v>376</v>
      </c>
      <c r="E19" s="185">
        <f>ROUNDDOWN((D8+D9+E11)*0.055,-3)</f>
        <v>17983000</v>
      </c>
      <c r="F19" s="255"/>
      <c r="G19" s="94"/>
      <c r="H19" s="95"/>
      <c r="I19" s="95"/>
      <c r="J19" s="93"/>
    </row>
    <row r="20" spans="1:20" ht="24" customHeight="1">
      <c r="A20" s="92"/>
      <c r="B20" s="183" t="s">
        <v>315</v>
      </c>
      <c r="C20" s="183"/>
      <c r="D20" s="476" t="s">
        <v>316</v>
      </c>
      <c r="E20" s="185">
        <f>ROUNDDOWN((D8+D9+D10)*0.009,-3)</f>
        <v>2998000</v>
      </c>
      <c r="F20" s="102"/>
      <c r="G20" s="94"/>
      <c r="H20" s="95"/>
      <c r="I20" s="471">
        <f>$D$4-TRUNC($E$24,-5)*11</f>
        <v>935000</v>
      </c>
      <c r="J20" s="93"/>
    </row>
    <row r="21" spans="1:20" ht="24" customHeight="1">
      <c r="A21" s="92"/>
      <c r="B21" s="183" t="s">
        <v>317</v>
      </c>
      <c r="C21" s="183"/>
      <c r="D21" s="476" t="s">
        <v>318</v>
      </c>
      <c r="E21" s="185">
        <f>ROUNDDOWN(D9*0.023,-3)</f>
        <v>5734000</v>
      </c>
      <c r="F21" s="102"/>
      <c r="G21" s="94"/>
      <c r="H21" s="95"/>
      <c r="I21" s="471">
        <f>$I$20/1.1</f>
        <v>849999.99999999988</v>
      </c>
      <c r="J21" s="93"/>
      <c r="K21">
        <f>D4/1.1</f>
        <v>539850000</v>
      </c>
    </row>
    <row r="22" spans="1:20" ht="24" customHeight="1">
      <c r="A22" s="103"/>
      <c r="B22" s="183" t="s">
        <v>319</v>
      </c>
      <c r="C22" s="183"/>
      <c r="D22" s="476" t="s">
        <v>377</v>
      </c>
      <c r="E22" s="185">
        <f>ROUNDDOWN((D8+D9+E11+D10)*0.08,-3)</f>
        <v>30464000</v>
      </c>
      <c r="F22" s="102"/>
      <c r="G22" s="94"/>
      <c r="H22" s="95"/>
      <c r="I22" s="95"/>
      <c r="J22" s="93"/>
    </row>
    <row r="23" spans="1:20" ht="24" customHeight="1">
      <c r="A23" s="92"/>
      <c r="B23" s="183" t="s">
        <v>320</v>
      </c>
      <c r="C23" s="183"/>
      <c r="D23" s="476" t="s">
        <v>352</v>
      </c>
      <c r="E23" s="185">
        <f>TRUNC((D9+E11+D10+E22)*0.15,0)-570</f>
        <v>57185812</v>
      </c>
      <c r="F23" s="255"/>
      <c r="G23" s="437" t="s">
        <v>288</v>
      </c>
      <c r="H23" s="95"/>
      <c r="I23" s="436">
        <v>7177</v>
      </c>
      <c r="J23" s="93">
        <f>(D4-TRUNC(E24,-4)*11)/1.1</f>
        <v>49999.999999999993</v>
      </c>
    </row>
    <row r="24" spans="1:20" ht="24" customHeight="1">
      <c r="A24" s="92"/>
      <c r="B24" s="182" t="s">
        <v>321</v>
      </c>
      <c r="C24" s="183"/>
      <c r="D24" s="187" t="s">
        <v>322</v>
      </c>
      <c r="E24" s="185">
        <f>공급가액*0.1</f>
        <v>53985000</v>
      </c>
      <c r="F24" s="102"/>
      <c r="G24" s="94"/>
      <c r="H24" s="95"/>
      <c r="I24" s="95"/>
      <c r="J24" s="93"/>
    </row>
    <row r="26" spans="1:20">
      <c r="E26" s="104"/>
      <c r="F26" s="105"/>
      <c r="G26" s="105"/>
      <c r="H26" s="94"/>
      <c r="I26" s="122"/>
    </row>
    <row r="27" spans="1:20" ht="13.5">
      <c r="E27" s="200"/>
      <c r="G27" s="105"/>
    </row>
    <row r="28" spans="1:20" ht="13.5">
      <c r="E28" s="200"/>
      <c r="G28" s="105"/>
    </row>
    <row r="29" spans="1:20">
      <c r="G29" s="105"/>
    </row>
  </sheetData>
  <mergeCells count="1">
    <mergeCell ref="B2:H3"/>
  </mergeCells>
  <phoneticPr fontId="2" type="noConversion"/>
  <printOptions horizontalCentered="1"/>
  <pageMargins left="0.74803149606299213" right="0.74803149606299213" top="0.78740157480314965" bottom="0.78740157480314965" header="0.51181102362204722" footer="0.51181102362204722"/>
  <pageSetup paperSize="9" scale="85" fitToWidth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indexed="14"/>
  </sheetPr>
  <dimension ref="A1:J48"/>
  <sheetViews>
    <sheetView view="pageBreakPreview" topLeftCell="A8" zoomScale="85" zoomScaleNormal="100" zoomScaleSheetLayoutView="85" workbookViewId="0">
      <selection activeCell="C18" sqref="C18"/>
    </sheetView>
  </sheetViews>
  <sheetFormatPr defaultColWidth="11.42578125" defaultRowHeight="33" customHeight="1"/>
  <cols>
    <col min="1" max="1" width="9.42578125" style="373" customWidth="1"/>
    <col min="2" max="2" width="35.85546875" style="373" customWidth="1"/>
    <col min="3" max="3" width="24.5703125" style="373" customWidth="1"/>
    <col min="4" max="4" width="11.42578125" style="37" customWidth="1"/>
    <col min="5" max="5" width="11.42578125" style="363" customWidth="1"/>
    <col min="6" max="6" width="17.140625" style="91" customWidth="1"/>
    <col min="7" max="7" width="22.140625" style="37" customWidth="1"/>
    <col min="8" max="8" width="14.7109375" style="71" customWidth="1"/>
    <col min="9" max="9" width="15.28515625" style="71" bestFit="1" customWidth="1"/>
    <col min="10" max="16384" width="11.42578125" style="71"/>
  </cols>
  <sheetData>
    <row r="1" spans="1:10" ht="27.75" customHeight="1">
      <c r="A1" s="544" t="s">
        <v>33</v>
      </c>
      <c r="B1" s="544"/>
      <c r="C1" s="88" t="s">
        <v>34</v>
      </c>
      <c r="D1" s="6" t="s">
        <v>35</v>
      </c>
      <c r="E1" s="88" t="s">
        <v>36</v>
      </c>
      <c r="F1" s="70" t="s">
        <v>37</v>
      </c>
      <c r="G1" s="6" t="s">
        <v>38</v>
      </c>
      <c r="H1" s="6" t="s">
        <v>39</v>
      </c>
    </row>
    <row r="2" spans="1:10" ht="28.5" customHeight="1">
      <c r="A2" s="27" t="str">
        <f>"□ "&amp;표지2!A5&amp;" 설계내역서"</f>
        <v>□ 계룡-세종권역 국도제설 및 결빙제거작업 설계내역서</v>
      </c>
      <c r="B2" s="364"/>
      <c r="C2" s="364"/>
      <c r="D2" s="72"/>
      <c r="E2" s="359"/>
      <c r="F2" s="73"/>
      <c r="G2" s="5"/>
      <c r="H2" s="74"/>
    </row>
    <row r="3" spans="1:10" ht="28.5" customHeight="1">
      <c r="A3" s="89" t="s">
        <v>265</v>
      </c>
      <c r="B3" s="365" t="s">
        <v>99</v>
      </c>
      <c r="C3" s="88"/>
      <c r="D3" s="76"/>
      <c r="E3" s="360"/>
      <c r="F3" s="77"/>
      <c r="G3" s="4">
        <f>G4+G47</f>
        <v>593835000</v>
      </c>
      <c r="H3" s="74"/>
    </row>
    <row r="4" spans="1:10" ht="28.5" customHeight="1">
      <c r="A4" s="89" t="s">
        <v>100</v>
      </c>
      <c r="B4" s="365" t="s">
        <v>101</v>
      </c>
      <c r="C4" s="89"/>
      <c r="D4" s="78"/>
      <c r="E4" s="361"/>
      <c r="F4" s="78"/>
      <c r="G4" s="4">
        <f>G5+G45+G46</f>
        <v>539850000</v>
      </c>
      <c r="H4" s="74"/>
    </row>
    <row r="5" spans="1:10" ht="24" customHeight="1">
      <c r="A5" s="88" t="s">
        <v>102</v>
      </c>
      <c r="B5" s="366" t="s">
        <v>103</v>
      </c>
      <c r="C5" s="88"/>
      <c r="D5" s="76"/>
      <c r="E5" s="360"/>
      <c r="F5" s="76"/>
      <c r="G5" s="87">
        <f>G6+G34+G35+G36+G37+G38+G39+G40+G41+G42+G43+G44</f>
        <v>452200188</v>
      </c>
      <c r="H5" s="74"/>
    </row>
    <row r="6" spans="1:10" ht="24" customHeight="1">
      <c r="A6" s="80" t="s">
        <v>40</v>
      </c>
      <c r="B6" s="367" t="s">
        <v>41</v>
      </c>
      <c r="C6" s="80" t="s">
        <v>42</v>
      </c>
      <c r="D6" s="81"/>
      <c r="E6" s="80"/>
      <c r="F6" s="81"/>
      <c r="G6" s="87">
        <f>G7+G13+G19+G25+G32+G30</f>
        <v>333180188</v>
      </c>
      <c r="H6" s="74"/>
    </row>
    <row r="7" spans="1:10" ht="24" customHeight="1">
      <c r="A7" s="82" t="s">
        <v>104</v>
      </c>
      <c r="B7" s="368" t="s">
        <v>43</v>
      </c>
      <c r="C7" s="362" t="s">
        <v>105</v>
      </c>
      <c r="D7" s="83" t="s">
        <v>42</v>
      </c>
      <c r="E7" s="362" t="s">
        <v>42</v>
      </c>
      <c r="F7" s="84"/>
      <c r="G7" s="3">
        <f>SUM(G8:G12)</f>
        <v>57221770</v>
      </c>
      <c r="H7" s="85"/>
      <c r="J7" s="409" t="s">
        <v>268</v>
      </c>
    </row>
    <row r="8" spans="1:10" ht="24" customHeight="1">
      <c r="A8" s="80">
        <f>설계내역서!A6</f>
        <v>1.01</v>
      </c>
      <c r="B8" s="369" t="str">
        <f>설계내역서!B6</f>
        <v>덤프+제설기+살포기+염수</v>
      </c>
      <c r="C8" s="369" t="str">
        <f>설계내역서!C6</f>
        <v>사용(인부1명)/덤프1대</v>
      </c>
      <c r="D8" s="87">
        <f>설계내역서!D6</f>
        <v>11</v>
      </c>
      <c r="E8" s="204" t="str">
        <f>설계내역서!E6</f>
        <v>일</v>
      </c>
      <c r="F8" s="87">
        <f>설계내역서!F6</f>
        <v>1089266</v>
      </c>
      <c r="G8" s="87">
        <f>INT(F8*D8)</f>
        <v>11981926</v>
      </c>
      <c r="H8" s="74"/>
    </row>
    <row r="9" spans="1:10" ht="24" customHeight="1">
      <c r="A9" s="80">
        <f>설계내역서!A7</f>
        <v>1.02</v>
      </c>
      <c r="B9" s="369" t="str">
        <f>설계내역서!B7</f>
        <v>덤프+제설기+살포기+염수</v>
      </c>
      <c r="C9" s="369" t="str">
        <f>설계내역서!C7</f>
        <v>사용(인부1명)/덤프1대</v>
      </c>
      <c r="D9" s="87">
        <f>설계내역서!D7</f>
        <v>11</v>
      </c>
      <c r="E9" s="204" t="str">
        <f>설계내역서!E7</f>
        <v>일</v>
      </c>
      <c r="F9" s="87">
        <f>설계내역서!F7</f>
        <v>1089266</v>
      </c>
      <c r="G9" s="87">
        <f>INT(F9*D9)</f>
        <v>11981926</v>
      </c>
      <c r="H9" s="74"/>
    </row>
    <row r="10" spans="1:10" ht="24" customHeight="1">
      <c r="A10" s="80">
        <f>설계내역서!A8</f>
        <v>1.03</v>
      </c>
      <c r="B10" s="369" t="str">
        <f>설계내역서!B8</f>
        <v>덤프+제설기+살포기+염수</v>
      </c>
      <c r="C10" s="369" t="str">
        <f>설계내역서!C8</f>
        <v>사용(인부1명)/덤프1대</v>
      </c>
      <c r="D10" s="87">
        <f>설계내역서!D8</f>
        <v>11</v>
      </c>
      <c r="E10" s="204" t="str">
        <f>설계내역서!E8</f>
        <v>일</v>
      </c>
      <c r="F10" s="87">
        <f>설계내역서!F8</f>
        <v>1089266</v>
      </c>
      <c r="G10" s="87">
        <f>INT(F10*D10)</f>
        <v>11981926</v>
      </c>
      <c r="H10" s="74"/>
    </row>
    <row r="11" spans="1:10" ht="24" customHeight="1">
      <c r="A11" s="80">
        <f>설계내역서!A9</f>
        <v>1.04</v>
      </c>
      <c r="B11" s="369" t="str">
        <f>설계내역서!B9</f>
        <v>덤프+제설기+살포기+염수</v>
      </c>
      <c r="C11" s="369" t="str">
        <f>설계내역서!C9</f>
        <v>사용(인부1명)/덤프1대</v>
      </c>
      <c r="D11" s="87">
        <f>설계내역서!D9</f>
        <v>11</v>
      </c>
      <c r="E11" s="204" t="str">
        <f>설계내역서!E9</f>
        <v>일</v>
      </c>
      <c r="F11" s="87">
        <f>설계내역서!F9</f>
        <v>1089266</v>
      </c>
      <c r="G11" s="87">
        <f>INT(F11*D11)</f>
        <v>11981926</v>
      </c>
      <c r="H11" s="74"/>
    </row>
    <row r="12" spans="1:10" ht="24" customHeight="1">
      <c r="A12" s="80">
        <f>설계내역서!A10</f>
        <v>1.05</v>
      </c>
      <c r="B12" s="369" t="str">
        <f>설계내역서!B10</f>
        <v>굴삭기</v>
      </c>
      <c r="C12" s="369" t="str">
        <f>설계내역서!C10</f>
        <v>사용(인부1명)/0.6㎡</v>
      </c>
      <c r="D12" s="87">
        <f>설계내역서!D10</f>
        <v>9</v>
      </c>
      <c r="E12" s="204" t="str">
        <f>설계내역서!E10</f>
        <v>일</v>
      </c>
      <c r="F12" s="87">
        <f>설계내역서!F10</f>
        <v>1032674</v>
      </c>
      <c r="G12" s="87">
        <f>INT(F12*D12)</f>
        <v>9294066</v>
      </c>
      <c r="H12" s="74"/>
    </row>
    <row r="13" spans="1:10" ht="24" customHeight="1">
      <c r="A13" s="82">
        <f>설계내역서!A11</f>
        <v>2</v>
      </c>
      <c r="B13" s="368" t="str">
        <f>설계내역서!B11</f>
        <v>제설 및 결빙제거작업</v>
      </c>
      <c r="C13" s="362" t="str">
        <f>설계내역서!C11</f>
        <v>야간</v>
      </c>
      <c r="D13" s="86"/>
      <c r="E13" s="80"/>
      <c r="F13" s="87"/>
      <c r="G13" s="3">
        <f>SUM(G14:G18)</f>
        <v>72943531</v>
      </c>
      <c r="H13" s="74"/>
      <c r="J13" s="409" t="s">
        <v>267</v>
      </c>
    </row>
    <row r="14" spans="1:10" ht="24" customHeight="1">
      <c r="A14" s="80">
        <f>설계내역서!A12</f>
        <v>2.0099999999999998</v>
      </c>
      <c r="B14" s="369" t="str">
        <f>설계내역서!B12</f>
        <v>덤프+제설기+살포기+염수</v>
      </c>
      <c r="C14" s="369" t="str">
        <f>설계내역서!C12</f>
        <v>사용(인부1명)/덤프1대</v>
      </c>
      <c r="D14" s="87">
        <f>설계내역서!D12</f>
        <v>11</v>
      </c>
      <c r="E14" s="204" t="str">
        <f>설계내역서!E12</f>
        <v>일</v>
      </c>
      <c r="F14" s="87">
        <f>설계내역서!F12</f>
        <v>1385903</v>
      </c>
      <c r="G14" s="87">
        <f>INT(F14*D14)</f>
        <v>15244933</v>
      </c>
      <c r="H14" s="74"/>
      <c r="J14" s="408" t="s">
        <v>269</v>
      </c>
    </row>
    <row r="15" spans="1:10" ht="24" customHeight="1">
      <c r="A15" s="80">
        <f>설계내역서!A13</f>
        <v>2.0199999999999996</v>
      </c>
      <c r="B15" s="369" t="str">
        <f>설계내역서!B13</f>
        <v>덤프+제설기+살포기+염수</v>
      </c>
      <c r="C15" s="369" t="str">
        <f>설계내역서!C13</f>
        <v>사용(인부1명)/덤프1대</v>
      </c>
      <c r="D15" s="87">
        <f>설계내역서!D13</f>
        <v>11</v>
      </c>
      <c r="E15" s="204" t="str">
        <f>설계내역서!E13</f>
        <v>일</v>
      </c>
      <c r="F15" s="87">
        <f>설계내역서!F13</f>
        <v>1385903</v>
      </c>
      <c r="G15" s="87">
        <f>INT(F15*D15)</f>
        <v>15244933</v>
      </c>
      <c r="H15" s="74"/>
    </row>
    <row r="16" spans="1:10" ht="24" customHeight="1">
      <c r="A16" s="80">
        <f>설계내역서!A14</f>
        <v>2.0299999999999994</v>
      </c>
      <c r="B16" s="369" t="str">
        <f>설계내역서!B14</f>
        <v>덤프+제설기+살포기+염수</v>
      </c>
      <c r="C16" s="369" t="str">
        <f>설계내역서!C14</f>
        <v>사용(인부1명)/덤프1대</v>
      </c>
      <c r="D16" s="87">
        <f>설계내역서!D14</f>
        <v>11</v>
      </c>
      <c r="E16" s="204" t="str">
        <f>설계내역서!E14</f>
        <v>일</v>
      </c>
      <c r="F16" s="87">
        <f>설계내역서!F14</f>
        <v>1385903</v>
      </c>
      <c r="G16" s="87">
        <f>INT(F16*D16)</f>
        <v>15244933</v>
      </c>
      <c r="H16" s="74"/>
    </row>
    <row r="17" spans="1:10" ht="24" customHeight="1">
      <c r="A17" s="80">
        <f>설계내역서!A15</f>
        <v>2.0399999999999991</v>
      </c>
      <c r="B17" s="369" t="str">
        <f>설계내역서!B15</f>
        <v>덤프+제설기+살포기+염수</v>
      </c>
      <c r="C17" s="369" t="str">
        <f>설계내역서!C15</f>
        <v>사용(인부1명)/덤프1대</v>
      </c>
      <c r="D17" s="87">
        <f>설계내역서!D15</f>
        <v>11</v>
      </c>
      <c r="E17" s="204" t="str">
        <f>설계내역서!E15</f>
        <v>일</v>
      </c>
      <c r="F17" s="87">
        <f>설계내역서!F15</f>
        <v>1385903</v>
      </c>
      <c r="G17" s="87">
        <f>INT(F17*D17)</f>
        <v>15244933</v>
      </c>
      <c r="H17" s="74"/>
    </row>
    <row r="18" spans="1:10" ht="24" customHeight="1">
      <c r="A18" s="80">
        <f>설계내역서!A16</f>
        <v>2.0499999999999989</v>
      </c>
      <c r="B18" s="369" t="str">
        <f>설계내역서!B16</f>
        <v>굴삭기</v>
      </c>
      <c r="C18" s="369" t="str">
        <f>설계내역서!C16</f>
        <v>사용(인부1명)/0.6㎡</v>
      </c>
      <c r="D18" s="87">
        <f>설계내역서!D16</f>
        <v>9</v>
      </c>
      <c r="E18" s="204" t="str">
        <f>설계내역서!E16</f>
        <v>일</v>
      </c>
      <c r="F18" s="87">
        <f>설계내역서!F16</f>
        <v>1329311</v>
      </c>
      <c r="G18" s="87">
        <f>INT(F18*D18)</f>
        <v>11963799</v>
      </c>
      <c r="H18" s="74"/>
    </row>
    <row r="19" spans="1:10" ht="24" customHeight="1">
      <c r="A19" s="82">
        <f>설계내역서!A17</f>
        <v>3</v>
      </c>
      <c r="B19" s="368" t="str">
        <f>설계내역서!B17</f>
        <v>제설작업 대기</v>
      </c>
      <c r="C19" s="362"/>
      <c r="D19" s="86"/>
      <c r="E19" s="362"/>
      <c r="F19" s="87"/>
      <c r="G19" s="3">
        <f>SUM(G20:G24)</f>
        <v>148388544</v>
      </c>
      <c r="H19" s="85"/>
      <c r="J19" s="409" t="s">
        <v>302</v>
      </c>
    </row>
    <row r="20" spans="1:10" ht="24" customHeight="1">
      <c r="A20" s="80">
        <f>설계내역서!A18</f>
        <v>3.01</v>
      </c>
      <c r="B20" s="369" t="str">
        <f>설계내역서!B18</f>
        <v>덤프+제설기+살포기+염수</v>
      </c>
      <c r="C20" s="369" t="s">
        <v>263</v>
      </c>
      <c r="D20" s="87">
        <f>설계내역서!D18</f>
        <v>99</v>
      </c>
      <c r="E20" s="204" t="str">
        <f>설계내역서!E18</f>
        <v>일</v>
      </c>
      <c r="F20" s="87">
        <f>설계내역서!F18</f>
        <v>365952</v>
      </c>
      <c r="G20" s="87">
        <f>F20*D20</f>
        <v>36229248</v>
      </c>
      <c r="H20" s="74"/>
      <c r="J20" s="406"/>
    </row>
    <row r="21" spans="1:10" ht="24" customHeight="1">
      <c r="A21" s="80">
        <f>설계내역서!A19</f>
        <v>3.0199999999999996</v>
      </c>
      <c r="B21" s="369" t="str">
        <f>설계내역서!B19</f>
        <v>덤프+제설기+살포기+염수</v>
      </c>
      <c r="C21" s="369" t="s">
        <v>263</v>
      </c>
      <c r="D21" s="87">
        <f>설계내역서!D19</f>
        <v>99</v>
      </c>
      <c r="E21" s="204" t="str">
        <f>설계내역서!E19</f>
        <v>일</v>
      </c>
      <c r="F21" s="87">
        <f>설계내역서!F19</f>
        <v>365952</v>
      </c>
      <c r="G21" s="87">
        <f>F21*D21</f>
        <v>36229248</v>
      </c>
      <c r="H21" s="74"/>
      <c r="J21" s="408"/>
    </row>
    <row r="22" spans="1:10" ht="24" customHeight="1">
      <c r="A22" s="80">
        <f>설계내역서!A20</f>
        <v>3.0299999999999994</v>
      </c>
      <c r="B22" s="369" t="str">
        <f>설계내역서!B20</f>
        <v>덤프+제설기+살포기+염수</v>
      </c>
      <c r="C22" s="369" t="s">
        <v>263</v>
      </c>
      <c r="D22" s="87">
        <f>설계내역서!D20</f>
        <v>99</v>
      </c>
      <c r="E22" s="204" t="str">
        <f>설계내역서!E20</f>
        <v>일</v>
      </c>
      <c r="F22" s="87">
        <f>설계내역서!F20</f>
        <v>365952</v>
      </c>
      <c r="G22" s="87">
        <f>F22*D22</f>
        <v>36229248</v>
      </c>
      <c r="H22" s="74"/>
      <c r="J22" s="408"/>
    </row>
    <row r="23" spans="1:10" ht="24" customHeight="1">
      <c r="A23" s="80">
        <f>설계내역서!A21</f>
        <v>3.0399999999999991</v>
      </c>
      <c r="B23" s="369" t="str">
        <f>설계내역서!B21</f>
        <v>덤프+제설기+살포기+염수</v>
      </c>
      <c r="C23" s="369" t="s">
        <v>263</v>
      </c>
      <c r="D23" s="87">
        <f>설계내역서!D21</f>
        <v>99</v>
      </c>
      <c r="E23" s="204" t="str">
        <f>설계내역서!E21</f>
        <v>일</v>
      </c>
      <c r="F23" s="87">
        <f>설계내역서!F21</f>
        <v>365952</v>
      </c>
      <c r="G23" s="87">
        <f>F23*D23</f>
        <v>36229248</v>
      </c>
      <c r="H23" s="74"/>
      <c r="J23" s="408"/>
    </row>
    <row r="24" spans="1:10" ht="24" customHeight="1">
      <c r="A24" s="80">
        <f>설계내역서!A22</f>
        <v>3.0499999999999989</v>
      </c>
      <c r="B24" s="369" t="str">
        <f>설계내역서!B22</f>
        <v>굴삭기</v>
      </c>
      <c r="C24" s="369" t="str">
        <f>설계내역서!C22</f>
        <v>사용(인부1명)/0.6㎡</v>
      </c>
      <c r="D24" s="87">
        <f>설계내역서!D22</f>
        <v>9</v>
      </c>
      <c r="E24" s="204" t="str">
        <f>설계내역서!E22</f>
        <v>일</v>
      </c>
      <c r="F24" s="87">
        <f>설계내역서!F22</f>
        <v>385728</v>
      </c>
      <c r="G24" s="87">
        <f>INT(F24*D24)</f>
        <v>3471552</v>
      </c>
      <c r="H24" s="74"/>
    </row>
    <row r="25" spans="1:10" ht="24" customHeight="1">
      <c r="A25" s="82">
        <f>설계내역서!A23</f>
        <v>4</v>
      </c>
      <c r="B25" s="368" t="str">
        <f>설계내역서!B23</f>
        <v>정비점검</v>
      </c>
      <c r="C25" s="362"/>
      <c r="D25" s="86"/>
      <c r="E25" s="362" t="s">
        <v>42</v>
      </c>
      <c r="F25" s="87"/>
      <c r="G25" s="3">
        <f>SUM(G26:G29)</f>
        <v>18132480</v>
      </c>
      <c r="H25" s="85"/>
    </row>
    <row r="26" spans="1:10" ht="24" customHeight="1">
      <c r="A26" s="80">
        <f>설계내역서!A24</f>
        <v>4.01</v>
      </c>
      <c r="B26" s="369" t="str">
        <f>설계내역서!B24</f>
        <v>덤프+제설기+살포기+염수</v>
      </c>
      <c r="C26" s="369" t="str">
        <f>설계내역서!C24</f>
        <v>월4회</v>
      </c>
      <c r="D26" s="87">
        <f>설계내역서!D24</f>
        <v>4</v>
      </c>
      <c r="E26" s="204" t="str">
        <f>설계내역서!E24</f>
        <v>월</v>
      </c>
      <c r="F26" s="87">
        <f>설계내역서!F24</f>
        <v>1133280</v>
      </c>
      <c r="G26" s="87">
        <f>INT(F26*D26)</f>
        <v>4533120</v>
      </c>
      <c r="H26" s="74"/>
    </row>
    <row r="27" spans="1:10" ht="24" customHeight="1">
      <c r="A27" s="80">
        <f>설계내역서!A25</f>
        <v>4.0199999999999996</v>
      </c>
      <c r="B27" s="369" t="str">
        <f>설계내역서!B25</f>
        <v>덤프+제설기+살포기+염수</v>
      </c>
      <c r="C27" s="369" t="str">
        <f>설계내역서!C25</f>
        <v>월4회</v>
      </c>
      <c r="D27" s="87">
        <f>설계내역서!D25</f>
        <v>4</v>
      </c>
      <c r="E27" s="204" t="str">
        <f>설계내역서!E25</f>
        <v>월</v>
      </c>
      <c r="F27" s="87">
        <f>설계내역서!F25</f>
        <v>1133280</v>
      </c>
      <c r="G27" s="87">
        <f>INT(F27*D27)</f>
        <v>4533120</v>
      </c>
      <c r="H27" s="74"/>
    </row>
    <row r="28" spans="1:10" ht="24" customHeight="1">
      <c r="A28" s="80">
        <f>설계내역서!A25</f>
        <v>4.0199999999999996</v>
      </c>
      <c r="B28" s="369" t="str">
        <f>설계내역서!B25</f>
        <v>덤프+제설기+살포기+염수</v>
      </c>
      <c r="C28" s="369" t="str">
        <f>설계내역서!C25</f>
        <v>월4회</v>
      </c>
      <c r="D28" s="87">
        <f>설계내역서!D25</f>
        <v>4</v>
      </c>
      <c r="E28" s="204" t="str">
        <f>설계내역서!E25</f>
        <v>월</v>
      </c>
      <c r="F28" s="87">
        <f>설계내역서!F25</f>
        <v>1133280</v>
      </c>
      <c r="G28" s="87">
        <f>INT(F28*D28)</f>
        <v>4533120</v>
      </c>
      <c r="H28" s="74"/>
    </row>
    <row r="29" spans="1:10" ht="24" customHeight="1">
      <c r="A29" s="80">
        <f>설계내역서!A26</f>
        <v>4.0299999999999994</v>
      </c>
      <c r="B29" s="369" t="str">
        <f>설계내역서!B26</f>
        <v>덤프+제설기+살포기+염수</v>
      </c>
      <c r="C29" s="369" t="str">
        <f>설계내역서!C26</f>
        <v>월4회</v>
      </c>
      <c r="D29" s="87">
        <f>설계내역서!D26</f>
        <v>4</v>
      </c>
      <c r="E29" s="204" t="str">
        <f>설계내역서!E26</f>
        <v>월</v>
      </c>
      <c r="F29" s="87">
        <f>설계내역서!F26</f>
        <v>1133280</v>
      </c>
      <c r="G29" s="87">
        <f>INT(F29*D29)</f>
        <v>4533120</v>
      </c>
      <c r="H29" s="74"/>
    </row>
    <row r="30" spans="1:10" ht="24" customHeight="1">
      <c r="A30" s="82">
        <f>설계내역서!A28</f>
        <v>5</v>
      </c>
      <c r="B30" s="368" t="str">
        <f>설계내역서!B28</f>
        <v>제설자재 운반작업</v>
      </c>
      <c r="C30" s="80"/>
      <c r="D30" s="86"/>
      <c r="E30" s="80"/>
      <c r="F30" s="87"/>
      <c r="G30" s="3">
        <f>SUM(G31:G31)</f>
        <v>916568</v>
      </c>
      <c r="H30" s="74"/>
    </row>
    <row r="31" spans="1:10" ht="24" customHeight="1">
      <c r="A31" s="80">
        <f>설계내역서!A29</f>
        <v>5.01</v>
      </c>
      <c r="B31" s="369" t="str">
        <f>설계내역서!B29</f>
        <v>덤프운반</v>
      </c>
      <c r="C31" s="369" t="str">
        <f>설계내역서!C29</f>
        <v>15ton(1대)</v>
      </c>
      <c r="D31" s="87">
        <f>설계내역서!D29</f>
        <v>1</v>
      </c>
      <c r="E31" s="204" t="str">
        <f>설계내역서!E29</f>
        <v>일</v>
      </c>
      <c r="F31" s="87">
        <f>설계내역서!F29</f>
        <v>916568</v>
      </c>
      <c r="G31" s="87">
        <f>INT(F31*D31)</f>
        <v>916568</v>
      </c>
      <c r="H31" s="74"/>
    </row>
    <row r="32" spans="1:10" ht="24" customHeight="1">
      <c r="A32" s="82">
        <f>설계내역서!A30</f>
        <v>6</v>
      </c>
      <c r="B32" s="368" t="str">
        <f>설계내역서!B30</f>
        <v>도로순찰</v>
      </c>
      <c r="C32" s="80"/>
      <c r="D32" s="86"/>
      <c r="E32" s="80"/>
      <c r="F32" s="87"/>
      <c r="G32" s="3">
        <f>SUM(G33:G33)</f>
        <v>35577295</v>
      </c>
      <c r="H32" s="74"/>
    </row>
    <row r="33" spans="1:8" ht="24" customHeight="1">
      <c r="A33" s="80">
        <f>설계내역서!A31</f>
        <v>6.01</v>
      </c>
      <c r="B33" s="369" t="str">
        <f>설계내역서!B31</f>
        <v>도로순찰</v>
      </c>
      <c r="C33" s="369" t="str">
        <f>설계내역서!C31</f>
        <v>2.5ton(1대)</v>
      </c>
      <c r="D33" s="87">
        <f>설계내역서!D31</f>
        <v>297</v>
      </c>
      <c r="E33" s="204" t="str">
        <f>설계내역서!E31</f>
        <v>시간</v>
      </c>
      <c r="F33" s="87">
        <f>설계내역서!F31</f>
        <v>119788.875</v>
      </c>
      <c r="G33" s="87">
        <f>INT(F33*D33)</f>
        <v>35577295</v>
      </c>
      <c r="H33" s="74"/>
    </row>
    <row r="34" spans="1:8" ht="24" customHeight="1">
      <c r="A34" s="88" t="s">
        <v>107</v>
      </c>
      <c r="B34" s="367" t="s">
        <v>108</v>
      </c>
      <c r="C34" s="370"/>
      <c r="D34" s="87">
        <v>1</v>
      </c>
      <c r="E34" s="88" t="s">
        <v>109</v>
      </c>
      <c r="F34" s="77"/>
      <c r="G34" s="2">
        <f>원가계산서!E11</f>
        <v>47621000</v>
      </c>
      <c r="H34" s="76" t="s">
        <v>110</v>
      </c>
    </row>
    <row r="35" spans="1:8" ht="24" customHeight="1">
      <c r="A35" s="88" t="s">
        <v>45</v>
      </c>
      <c r="B35" s="367" t="s">
        <v>111</v>
      </c>
      <c r="C35" s="370"/>
      <c r="D35" s="87">
        <v>1</v>
      </c>
      <c r="E35" s="88" t="s">
        <v>112</v>
      </c>
      <c r="F35" s="77"/>
      <c r="G35" s="2">
        <f>원가계산서!E12</f>
        <v>10571000</v>
      </c>
      <c r="H35" s="76" t="s">
        <v>113</v>
      </c>
    </row>
    <row r="36" spans="1:8" ht="24" customHeight="1">
      <c r="A36" s="88" t="s">
        <v>46</v>
      </c>
      <c r="B36" s="367" t="s">
        <v>114</v>
      </c>
      <c r="C36" s="370"/>
      <c r="D36" s="87">
        <v>1</v>
      </c>
      <c r="E36" s="88" t="s">
        <v>115</v>
      </c>
      <c r="F36" s="77"/>
      <c r="G36" s="2">
        <f>원가계산서!E13</f>
        <v>2999000</v>
      </c>
      <c r="H36" s="76" t="s">
        <v>113</v>
      </c>
    </row>
    <row r="37" spans="1:8" ht="24" customHeight="1">
      <c r="A37" s="88" t="s">
        <v>47</v>
      </c>
      <c r="B37" s="367" t="s">
        <v>116</v>
      </c>
      <c r="C37" s="370"/>
      <c r="D37" s="87">
        <v>1</v>
      </c>
      <c r="E37" s="88" t="s">
        <v>115</v>
      </c>
      <c r="F37" s="77"/>
      <c r="G37" s="2">
        <f>원가계산서!E14</f>
        <v>8963000</v>
      </c>
      <c r="H37" s="76" t="s">
        <v>113</v>
      </c>
    </row>
    <row r="38" spans="1:8" ht="24" customHeight="1">
      <c r="A38" s="88" t="s">
        <v>48</v>
      </c>
      <c r="B38" s="367" t="s">
        <v>117</v>
      </c>
      <c r="C38" s="370"/>
      <c r="D38" s="87">
        <v>1</v>
      </c>
      <c r="E38" s="88" t="s">
        <v>115</v>
      </c>
      <c r="F38" s="77"/>
      <c r="G38" s="2">
        <f>원가계산서!E15</f>
        <v>11842000</v>
      </c>
      <c r="H38" s="76" t="s">
        <v>113</v>
      </c>
    </row>
    <row r="39" spans="1:8" ht="24" customHeight="1">
      <c r="A39" s="88" t="s">
        <v>49</v>
      </c>
      <c r="B39" s="367" t="s">
        <v>118</v>
      </c>
      <c r="C39" s="370"/>
      <c r="D39" s="87">
        <v>1</v>
      </c>
      <c r="E39" s="88" t="s">
        <v>115</v>
      </c>
      <c r="F39" s="77"/>
      <c r="G39" s="2">
        <f>원가계산서!E16</f>
        <v>1177000</v>
      </c>
      <c r="H39" s="76"/>
    </row>
    <row r="40" spans="1:8" ht="24" customHeight="1">
      <c r="A40" s="88" t="s">
        <v>50</v>
      </c>
      <c r="B40" s="371" t="s">
        <v>194</v>
      </c>
      <c r="C40" s="370"/>
      <c r="D40" s="87">
        <v>1</v>
      </c>
      <c r="E40" s="88" t="s">
        <v>61</v>
      </c>
      <c r="F40" s="77"/>
      <c r="G40" s="2">
        <f>원가계산서!E17</f>
        <v>333000</v>
      </c>
      <c r="H40" s="76"/>
    </row>
    <row r="41" spans="1:8" ht="24" customHeight="1">
      <c r="A41" s="88" t="s">
        <v>69</v>
      </c>
      <c r="B41" s="367" t="s">
        <v>119</v>
      </c>
      <c r="C41" s="370"/>
      <c r="D41" s="87">
        <v>1</v>
      </c>
      <c r="E41" s="88" t="s">
        <v>120</v>
      </c>
      <c r="F41" s="77"/>
      <c r="G41" s="2">
        <f>원가계산서!E18</f>
        <v>8799000</v>
      </c>
      <c r="H41" s="76"/>
    </row>
    <row r="42" spans="1:8" ht="24" customHeight="1">
      <c r="A42" s="153" t="s">
        <v>122</v>
      </c>
      <c r="B42" s="367" t="s">
        <v>121</v>
      </c>
      <c r="C42" s="370"/>
      <c r="D42" s="87">
        <v>1</v>
      </c>
      <c r="E42" s="88" t="s">
        <v>115</v>
      </c>
      <c r="F42" s="77"/>
      <c r="G42" s="2">
        <f>원가계산서!E19</f>
        <v>17983000</v>
      </c>
      <c r="H42" s="76" t="s">
        <v>113</v>
      </c>
    </row>
    <row r="43" spans="1:8" ht="24" customHeight="1">
      <c r="A43" s="153" t="s">
        <v>193</v>
      </c>
      <c r="B43" s="367" t="s">
        <v>123</v>
      </c>
      <c r="C43" s="370"/>
      <c r="D43" s="87">
        <v>1</v>
      </c>
      <c r="E43" s="88" t="s">
        <v>115</v>
      </c>
      <c r="F43" s="77"/>
      <c r="G43" s="2">
        <f>원가계산서!E20</f>
        <v>2998000</v>
      </c>
      <c r="H43" s="76" t="s">
        <v>113</v>
      </c>
    </row>
    <row r="44" spans="1:8" ht="24" customHeight="1">
      <c r="A44" s="153" t="s">
        <v>303</v>
      </c>
      <c r="B44" s="371" t="s">
        <v>304</v>
      </c>
      <c r="C44" s="370"/>
      <c r="D44" s="87">
        <v>1</v>
      </c>
      <c r="E44" s="88" t="s">
        <v>61</v>
      </c>
      <c r="F44" s="77"/>
      <c r="G44" s="2">
        <f>원가계산서!E21</f>
        <v>5734000</v>
      </c>
      <c r="H44" s="76" t="s">
        <v>44</v>
      </c>
    </row>
    <row r="45" spans="1:8" ht="24" customHeight="1">
      <c r="A45" s="88" t="s">
        <v>124</v>
      </c>
      <c r="B45" s="366" t="s">
        <v>125</v>
      </c>
      <c r="C45" s="370"/>
      <c r="D45" s="87">
        <v>1</v>
      </c>
      <c r="E45" s="88" t="s">
        <v>115</v>
      </c>
      <c r="F45" s="77"/>
      <c r="G45" s="2">
        <f>원가계산서!E22</f>
        <v>30464000</v>
      </c>
      <c r="H45" s="76" t="s">
        <v>126</v>
      </c>
    </row>
    <row r="46" spans="1:8" ht="24" customHeight="1">
      <c r="A46" s="88" t="s">
        <v>127</v>
      </c>
      <c r="B46" s="366" t="s">
        <v>128</v>
      </c>
      <c r="C46" s="370"/>
      <c r="D46" s="87">
        <v>1</v>
      </c>
      <c r="E46" s="88" t="s">
        <v>129</v>
      </c>
      <c r="F46" s="77"/>
      <c r="G46" s="2">
        <f>원가계산서!E23</f>
        <v>57185812</v>
      </c>
      <c r="H46" s="76" t="s">
        <v>44</v>
      </c>
    </row>
    <row r="47" spans="1:8" ht="30" customHeight="1">
      <c r="A47" s="89" t="s">
        <v>264</v>
      </c>
      <c r="B47" s="365" t="s">
        <v>62</v>
      </c>
      <c r="C47" s="372"/>
      <c r="D47" s="87"/>
      <c r="E47" s="89"/>
      <c r="F47" s="90"/>
      <c r="G47" s="1">
        <f>원가계산서!E24</f>
        <v>53985000</v>
      </c>
      <c r="H47" s="76" t="s">
        <v>44</v>
      </c>
    </row>
    <row r="48" spans="1:8" ht="24" customHeight="1"/>
  </sheetData>
  <mergeCells count="1">
    <mergeCell ref="A1:B1"/>
  </mergeCells>
  <phoneticPr fontId="2" type="noConversion"/>
  <printOptions horizontalCentered="1"/>
  <pageMargins left="1.0236220472440944" right="0.39370078740157483" top="0.43307086614173229" bottom="0.27559055118110237" header="0.15748031496062992" footer="0.15748031496062992"/>
  <pageSetup paperSize="9" scale="81" orientation="landscape" r:id="rId1"/>
  <headerFooter alignWithMargins="0"/>
  <rowBreaks count="1" manualBreakCount="1">
    <brk id="24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pageSetUpPr fitToPage="1"/>
  </sheetPr>
  <dimension ref="A1:AK38"/>
  <sheetViews>
    <sheetView view="pageBreakPreview" zoomScale="85" zoomScaleNormal="100" zoomScaleSheetLayoutView="85" workbookViewId="0">
      <selection activeCell="D18" sqref="D18"/>
    </sheetView>
  </sheetViews>
  <sheetFormatPr defaultRowHeight="12"/>
  <cols>
    <col min="1" max="1" width="8.140625" customWidth="1"/>
    <col min="2" max="2" width="24.42578125" customWidth="1"/>
    <col min="3" max="3" width="20.5703125" customWidth="1"/>
    <col min="4" max="4" width="9.28515625" customWidth="1"/>
    <col min="5" max="5" width="6.85546875" customWidth="1"/>
    <col min="6" max="6" width="12.42578125" style="323" customWidth="1"/>
    <col min="7" max="7" width="14" style="323" customWidth="1"/>
    <col min="8" max="8" width="11.140625" style="323" customWidth="1"/>
    <col min="9" max="9" width="13.140625" style="323" customWidth="1"/>
    <col min="10" max="10" width="12.28515625" style="323" bestFit="1" customWidth="1"/>
    <col min="11" max="11" width="14.140625" style="323" customWidth="1"/>
    <col min="12" max="12" width="10.42578125" style="323" customWidth="1"/>
    <col min="13" max="13" width="13.42578125" style="323" customWidth="1"/>
    <col min="14" max="14" width="10.140625" customWidth="1"/>
    <col min="16" max="28" width="0.140625" hidden="1" customWidth="1"/>
    <col min="29" max="29" width="15" bestFit="1" customWidth="1"/>
    <col min="33" max="33" width="8.85546875" hidden="1" customWidth="1"/>
  </cols>
  <sheetData>
    <row r="1" spans="1:37" ht="33.75" customHeight="1">
      <c r="A1" s="193" t="str">
        <f>"□ "&amp;표지2!A5</f>
        <v>□ 계룡-세종권역 국도제설 및 결빙제거작업</v>
      </c>
      <c r="B1" s="106"/>
      <c r="C1" s="106"/>
      <c r="D1" s="106"/>
      <c r="E1" s="106"/>
      <c r="F1" s="351"/>
      <c r="G1" s="351"/>
      <c r="H1" s="351"/>
      <c r="I1" s="351"/>
      <c r="J1" s="351"/>
      <c r="K1" s="351"/>
      <c r="L1" s="351"/>
      <c r="M1" s="351"/>
      <c r="N1" s="106"/>
    </row>
    <row r="2" spans="1:37" ht="25.5" customHeight="1">
      <c r="A2" s="546" t="s">
        <v>130</v>
      </c>
      <c r="B2" s="547"/>
      <c r="C2" s="550" t="s">
        <v>34</v>
      </c>
      <c r="D2" s="550" t="s">
        <v>51</v>
      </c>
      <c r="E2" s="550" t="s">
        <v>36</v>
      </c>
      <c r="F2" s="352" t="s">
        <v>52</v>
      </c>
      <c r="G2" s="353"/>
      <c r="H2" s="354" t="s">
        <v>243</v>
      </c>
      <c r="I2" s="353"/>
      <c r="J2" s="352" t="s">
        <v>12</v>
      </c>
      <c r="K2" s="353"/>
      <c r="L2" s="354" t="s">
        <v>242</v>
      </c>
      <c r="M2" s="353"/>
      <c r="N2" s="550" t="s">
        <v>53</v>
      </c>
    </row>
    <row r="3" spans="1:37" ht="25.5" customHeight="1">
      <c r="A3" s="548"/>
      <c r="B3" s="549"/>
      <c r="C3" s="551"/>
      <c r="D3" s="551"/>
      <c r="E3" s="551"/>
      <c r="F3" s="355" t="s">
        <v>54</v>
      </c>
      <c r="G3" s="355" t="s">
        <v>0</v>
      </c>
      <c r="H3" s="355" t="s">
        <v>54</v>
      </c>
      <c r="I3" s="355" t="s">
        <v>0</v>
      </c>
      <c r="J3" s="355" t="s">
        <v>54</v>
      </c>
      <c r="K3" s="355" t="s">
        <v>0</v>
      </c>
      <c r="L3" s="355" t="s">
        <v>54</v>
      </c>
      <c r="M3" s="355" t="s">
        <v>0</v>
      </c>
      <c r="N3" s="551"/>
    </row>
    <row r="4" spans="1:37" ht="28.5" customHeight="1" thickBot="1">
      <c r="A4" s="107" t="s">
        <v>131</v>
      </c>
      <c r="B4" s="75" t="s">
        <v>41</v>
      </c>
      <c r="C4" s="75" t="s">
        <v>42</v>
      </c>
      <c r="D4" s="74" t="s">
        <v>42</v>
      </c>
      <c r="E4" s="6" t="s">
        <v>42</v>
      </c>
      <c r="F4" s="356">
        <v>0</v>
      </c>
      <c r="G4" s="356">
        <f>G5+G11+G17+G23+G30+G28</f>
        <v>333180188</v>
      </c>
      <c r="H4" s="356">
        <v>0</v>
      </c>
      <c r="I4" s="356">
        <f>I5+I11+I17+I23+I30+I28</f>
        <v>30022635</v>
      </c>
      <c r="J4" s="356">
        <v>0</v>
      </c>
      <c r="K4" s="356">
        <f>K5+K11+K17+K23+K30+K28</f>
        <v>249325912</v>
      </c>
      <c r="L4" s="356">
        <v>0</v>
      </c>
      <c r="M4" s="356">
        <f>M5+M11+M17+M23+M30+M28</f>
        <v>53831641</v>
      </c>
      <c r="N4" s="6" t="s">
        <v>42</v>
      </c>
      <c r="P4" s="108" t="s">
        <v>55</v>
      </c>
      <c r="Q4" s="108" t="s">
        <v>56</v>
      </c>
      <c r="AC4" s="323">
        <f>M4+I4+K4</f>
        <v>333180188</v>
      </c>
    </row>
    <row r="5" spans="1:37" s="110" customFormat="1" ht="28.5" customHeight="1">
      <c r="A5" s="146">
        <v>1</v>
      </c>
      <c r="B5" s="146" t="s">
        <v>132</v>
      </c>
      <c r="C5" s="151" t="s">
        <v>133</v>
      </c>
      <c r="D5" s="147" t="s">
        <v>42</v>
      </c>
      <c r="E5" s="148" t="s">
        <v>42</v>
      </c>
      <c r="F5" s="357">
        <v>0</v>
      </c>
      <c r="G5" s="357">
        <f t="shared" ref="G5:G26" si="0">K5+M5+I5</f>
        <v>57221770</v>
      </c>
      <c r="H5" s="357">
        <v>0</v>
      </c>
      <c r="I5" s="357">
        <f>SUM(I6:I10)</f>
        <v>13926864</v>
      </c>
      <c r="J5" s="357">
        <v>0</v>
      </c>
      <c r="K5" s="357">
        <f>SUM(K6:K10)</f>
        <v>34179594</v>
      </c>
      <c r="L5" s="357">
        <v>0</v>
      </c>
      <c r="M5" s="357">
        <f>SUM(M6:M10)</f>
        <v>9115312</v>
      </c>
      <c r="N5" s="148" t="s">
        <v>42</v>
      </c>
      <c r="P5" s="111" t="s">
        <v>57</v>
      </c>
      <c r="Q5" s="111" t="s">
        <v>55</v>
      </c>
      <c r="AG5" s="110" t="s">
        <v>261</v>
      </c>
      <c r="AH5" s="545" t="s">
        <v>290</v>
      </c>
      <c r="AI5" s="467" t="s">
        <v>291</v>
      </c>
      <c r="AJ5" s="440">
        <f>요약서!G6</f>
        <v>4</v>
      </c>
      <c r="AK5" s="441" t="s">
        <v>294</v>
      </c>
    </row>
    <row r="6" spans="1:37" s="110" customFormat="1" ht="28.5" customHeight="1">
      <c r="A6" s="112">
        <f>A5+0.01</f>
        <v>1.01</v>
      </c>
      <c r="B6" s="113" t="s">
        <v>134</v>
      </c>
      <c r="C6" s="114" t="s">
        <v>190</v>
      </c>
      <c r="D6" s="115">
        <f>요약서!G10</f>
        <v>11</v>
      </c>
      <c r="E6" s="109" t="s">
        <v>135</v>
      </c>
      <c r="F6" s="358">
        <f>J6+L6+H6</f>
        <v>1089266</v>
      </c>
      <c r="G6" s="358">
        <f t="shared" si="0"/>
        <v>11981926</v>
      </c>
      <c r="H6" s="358">
        <f>INT('15t 덤프'!D23)</f>
        <v>279096</v>
      </c>
      <c r="I6" s="358">
        <f>ROUNDDOWN(H6*D6,0)</f>
        <v>3070056</v>
      </c>
      <c r="J6" s="358">
        <f>INT('15t 덤프'!E23)</f>
        <v>644898</v>
      </c>
      <c r="K6" s="358">
        <f>ROUNDDOWN(J6*D6,0)</f>
        <v>7093878</v>
      </c>
      <c r="L6" s="358">
        <f>INT('15t 덤프'!F23)</f>
        <v>165272</v>
      </c>
      <c r="M6" s="358">
        <f>ROUNDDOWN(L6*D6,0)</f>
        <v>1817992</v>
      </c>
      <c r="N6" s="109" t="s">
        <v>42</v>
      </c>
      <c r="O6" s="207"/>
      <c r="P6" s="111" t="s">
        <v>58</v>
      </c>
      <c r="Q6" s="111" t="s">
        <v>57</v>
      </c>
      <c r="AG6" s="110">
        <v>1</v>
      </c>
      <c r="AH6" s="492"/>
      <c r="AI6" s="76" t="s">
        <v>292</v>
      </c>
      <c r="AJ6" s="438">
        <f>요약서!G7</f>
        <v>1</v>
      </c>
      <c r="AK6" s="442" t="s">
        <v>294</v>
      </c>
    </row>
    <row r="7" spans="1:37" s="110" customFormat="1" ht="28.5" customHeight="1" thickBot="1">
      <c r="A7" s="112">
        <f>A6+0.01</f>
        <v>1.02</v>
      </c>
      <c r="B7" s="113" t="s">
        <v>134</v>
      </c>
      <c r="C7" s="114" t="s">
        <v>190</v>
      </c>
      <c r="D7" s="115">
        <f>IF($AJ$5&gt;=2,$D$6)</f>
        <v>11</v>
      </c>
      <c r="E7" s="109" t="s">
        <v>135</v>
      </c>
      <c r="F7" s="358">
        <f>J7+L7+H7</f>
        <v>1089266</v>
      </c>
      <c r="G7" s="358">
        <f t="shared" si="0"/>
        <v>11981926</v>
      </c>
      <c r="H7" s="358">
        <f>IF($AJ$5&gt;=2,H$6,FALSE)</f>
        <v>279096</v>
      </c>
      <c r="I7" s="358">
        <f>ROUNDDOWN(H7*D7,0)</f>
        <v>3070056</v>
      </c>
      <c r="J7" s="358">
        <f>IF($AJ$5&gt;=2,J$6,FALSE)</f>
        <v>644898</v>
      </c>
      <c r="K7" s="358">
        <f>ROUNDDOWN(J7*D7,0)</f>
        <v>7093878</v>
      </c>
      <c r="L7" s="358">
        <f>IF($AJ$5&gt;=2,L$6,FALSE)</f>
        <v>165272</v>
      </c>
      <c r="M7" s="358">
        <f>ROUNDDOWN(L7*D7,0)</f>
        <v>1817992</v>
      </c>
      <c r="N7" s="109"/>
      <c r="O7" s="207"/>
      <c r="P7" s="111"/>
      <c r="Q7" s="111"/>
      <c r="AH7" s="493"/>
      <c r="AI7" s="446" t="s">
        <v>301</v>
      </c>
      <c r="AJ7" s="447">
        <f>요약서!G8</f>
        <v>1</v>
      </c>
      <c r="AK7" s="448" t="s">
        <v>294</v>
      </c>
    </row>
    <row r="8" spans="1:37" s="110" customFormat="1" ht="28.5" customHeight="1">
      <c r="A8" s="112">
        <f>A7+0.01</f>
        <v>1.03</v>
      </c>
      <c r="B8" s="113" t="s">
        <v>134</v>
      </c>
      <c r="C8" s="114" t="s">
        <v>190</v>
      </c>
      <c r="D8" s="115">
        <f>D6</f>
        <v>11</v>
      </c>
      <c r="E8" s="109" t="s">
        <v>106</v>
      </c>
      <c r="F8" s="358">
        <f>J8+L8+H8</f>
        <v>1089266</v>
      </c>
      <c r="G8" s="358">
        <f t="shared" si="0"/>
        <v>11981926</v>
      </c>
      <c r="H8" s="358">
        <f>IF($AJ$5&gt;=3,H$6,FALSE)</f>
        <v>279096</v>
      </c>
      <c r="I8" s="358">
        <f>ROUNDDOWN(H8*D8,0)</f>
        <v>3070056</v>
      </c>
      <c r="J8" s="358">
        <f>IF($AJ$5&gt;=3,J$6,FALSE)</f>
        <v>644898</v>
      </c>
      <c r="K8" s="358">
        <f>ROUNDDOWN(J8*D8,0)</f>
        <v>7093878</v>
      </c>
      <c r="L8" s="358">
        <f>IF($AJ$5&gt;=3,L$6,FALSE)</f>
        <v>165272</v>
      </c>
      <c r="M8" s="358">
        <f>ROUNDDOWN(L8*D8,0)</f>
        <v>1817992</v>
      </c>
      <c r="N8" s="109"/>
      <c r="O8" s="207"/>
      <c r="P8" s="111"/>
      <c r="Q8" s="111"/>
    </row>
    <row r="9" spans="1:37" s="110" customFormat="1" ht="28.5" customHeight="1">
      <c r="A9" s="112">
        <f>A8+0.01</f>
        <v>1.04</v>
      </c>
      <c r="B9" s="113" t="s">
        <v>134</v>
      </c>
      <c r="C9" s="114" t="s">
        <v>190</v>
      </c>
      <c r="D9" s="115">
        <f>D7</f>
        <v>11</v>
      </c>
      <c r="E9" s="109" t="s">
        <v>106</v>
      </c>
      <c r="F9" s="358">
        <f>J9+L9+H9</f>
        <v>1089266</v>
      </c>
      <c r="G9" s="358">
        <f t="shared" ref="G9" si="1">K9+M9+I9</f>
        <v>11981926</v>
      </c>
      <c r="H9" s="358">
        <f>IF($AJ$5&gt;=3,H$6,FALSE)</f>
        <v>279096</v>
      </c>
      <c r="I9" s="358">
        <f>ROUNDDOWN(H9*D9,0)</f>
        <v>3070056</v>
      </c>
      <c r="J9" s="358">
        <f>IF($AJ$5&gt;=3,J$6,FALSE)</f>
        <v>644898</v>
      </c>
      <c r="K9" s="358">
        <f>ROUNDDOWN(J9*D9,0)</f>
        <v>7093878</v>
      </c>
      <c r="L9" s="358">
        <f>IF($AJ$5&gt;=3,L$6,FALSE)</f>
        <v>165272</v>
      </c>
      <c r="M9" s="358">
        <f>ROUNDDOWN(L9*D9,0)</f>
        <v>1817992</v>
      </c>
      <c r="N9" s="109"/>
      <c r="O9" s="207"/>
      <c r="P9" s="111"/>
      <c r="Q9" s="111"/>
    </row>
    <row r="10" spans="1:37" s="110" customFormat="1" ht="28.5" customHeight="1">
      <c r="A10" s="112">
        <f>A9+0.01</f>
        <v>1.05</v>
      </c>
      <c r="B10" s="113" t="s">
        <v>258</v>
      </c>
      <c r="C10" s="114" t="s">
        <v>259</v>
      </c>
      <c r="D10" s="115">
        <v>9</v>
      </c>
      <c r="E10" s="109" t="s">
        <v>106</v>
      </c>
      <c r="F10" s="358">
        <f>J10+L10+H10</f>
        <v>1032674</v>
      </c>
      <c r="G10" s="358">
        <f t="shared" si="0"/>
        <v>9294066</v>
      </c>
      <c r="H10" s="358">
        <f>IF($AJ$6=0,FALSE,'굴삭기0.6'!D22)</f>
        <v>182960</v>
      </c>
      <c r="I10" s="358">
        <f>ROUNDDOWN(H10*D10,0)</f>
        <v>1646640</v>
      </c>
      <c r="J10" s="358">
        <f>IF($AJ$6=0,FALSE,'굴삭기0.6'!E22)</f>
        <v>644898</v>
      </c>
      <c r="K10" s="358">
        <f>ROUNDDOWN(J10*D10,0)</f>
        <v>5804082</v>
      </c>
      <c r="L10" s="358">
        <f>IF($AJ$6=0,FALSE,'굴삭기0.6'!F22)</f>
        <v>204816</v>
      </c>
      <c r="M10" s="358">
        <f>ROUNDDOWN(L10*D10,0)</f>
        <v>1843344</v>
      </c>
      <c r="N10" s="109"/>
      <c r="O10" s="207"/>
      <c r="P10" s="111"/>
      <c r="Q10" s="111"/>
    </row>
    <row r="11" spans="1:37" s="110" customFormat="1" ht="28.5" customHeight="1">
      <c r="A11" s="146">
        <f>A5+1</f>
        <v>2</v>
      </c>
      <c r="B11" s="146" t="s">
        <v>132</v>
      </c>
      <c r="C11" s="151" t="s">
        <v>136</v>
      </c>
      <c r="D11" s="152"/>
      <c r="E11" s="148"/>
      <c r="F11" s="357"/>
      <c r="G11" s="357">
        <f t="shared" si="0"/>
        <v>72943531</v>
      </c>
      <c r="H11" s="357"/>
      <c r="I11" s="357">
        <f>SUM(I12:I16)</f>
        <v>13926864</v>
      </c>
      <c r="J11" s="357"/>
      <c r="K11" s="357">
        <f>SUM(K12:K16)</f>
        <v>49901355</v>
      </c>
      <c r="L11" s="357"/>
      <c r="M11" s="357">
        <f>SUM(M12:M16)</f>
        <v>9115312</v>
      </c>
      <c r="N11" s="148"/>
      <c r="P11" s="111"/>
      <c r="Q11" s="111"/>
    </row>
    <row r="12" spans="1:37" s="110" customFormat="1" ht="28.5" customHeight="1">
      <c r="A12" s="112">
        <f>A11+0.01</f>
        <v>2.0099999999999998</v>
      </c>
      <c r="B12" s="113" t="s">
        <v>134</v>
      </c>
      <c r="C12" s="114" t="s">
        <v>190</v>
      </c>
      <c r="D12" s="115">
        <f>요약서!G11</f>
        <v>11</v>
      </c>
      <c r="E12" s="109" t="s">
        <v>135</v>
      </c>
      <c r="F12" s="358">
        <f>J12+L12+H12</f>
        <v>1385903</v>
      </c>
      <c r="G12" s="358">
        <f t="shared" si="0"/>
        <v>15244933</v>
      </c>
      <c r="H12" s="358">
        <f>INT('15t 덤프'!D37)</f>
        <v>279096</v>
      </c>
      <c r="I12" s="358">
        <f>ROUNDDOWN(H12*D12,0)</f>
        <v>3070056</v>
      </c>
      <c r="J12" s="358">
        <f>INT('15t 덤프'!E37)</f>
        <v>941535</v>
      </c>
      <c r="K12" s="358">
        <f>ROUNDDOWN(J12*D12,0)</f>
        <v>10356885</v>
      </c>
      <c r="L12" s="358">
        <f>INT('15t 덤프'!F37)</f>
        <v>165272</v>
      </c>
      <c r="M12" s="358">
        <f>ROUNDDOWN(L12*D12,0)</f>
        <v>1817992</v>
      </c>
      <c r="N12" s="109"/>
      <c r="P12" s="111"/>
      <c r="Q12" s="111"/>
    </row>
    <row r="13" spans="1:37" s="110" customFormat="1" ht="28.5" customHeight="1">
      <c r="A13" s="112">
        <f>A12+0.01</f>
        <v>2.0199999999999996</v>
      </c>
      <c r="B13" s="113" t="s">
        <v>134</v>
      </c>
      <c r="C13" s="114" t="s">
        <v>190</v>
      </c>
      <c r="D13" s="115">
        <f>D12</f>
        <v>11</v>
      </c>
      <c r="E13" s="109" t="s">
        <v>135</v>
      </c>
      <c r="F13" s="358">
        <f>J13+L13+H13</f>
        <v>1385903</v>
      </c>
      <c r="G13" s="358">
        <f t="shared" si="0"/>
        <v>15244933</v>
      </c>
      <c r="H13" s="358">
        <f>IF($AJ$5&gt;=2,H$12,FALSE)</f>
        <v>279096</v>
      </c>
      <c r="I13" s="358">
        <f>ROUNDDOWN(H13*D13,0)</f>
        <v>3070056</v>
      </c>
      <c r="J13" s="358">
        <f>IF($AJ$5&gt;=2,J$12,FALSE)</f>
        <v>941535</v>
      </c>
      <c r="K13" s="358">
        <f>ROUNDDOWN(J13*D13,0)</f>
        <v>10356885</v>
      </c>
      <c r="L13" s="358">
        <f>IF($AJ$5&gt;=2,L$12,FALSE)</f>
        <v>165272</v>
      </c>
      <c r="M13" s="358">
        <f>ROUNDDOWN(L13*D13,0)</f>
        <v>1817992</v>
      </c>
      <c r="N13" s="109"/>
      <c r="P13" s="111"/>
      <c r="Q13" s="111"/>
    </row>
    <row r="14" spans="1:37" s="110" customFormat="1" ht="28.5" customHeight="1">
      <c r="A14" s="112">
        <f>A13+0.01</f>
        <v>2.0299999999999994</v>
      </c>
      <c r="B14" s="113" t="s">
        <v>134</v>
      </c>
      <c r="C14" s="114" t="s">
        <v>190</v>
      </c>
      <c r="D14" s="115">
        <f>D12</f>
        <v>11</v>
      </c>
      <c r="E14" s="109" t="s">
        <v>106</v>
      </c>
      <c r="F14" s="358">
        <f>J14+L14+H14</f>
        <v>1385903</v>
      </c>
      <c r="G14" s="358">
        <f t="shared" si="0"/>
        <v>15244933</v>
      </c>
      <c r="H14" s="358">
        <f>IF($AJ$5&gt;=3,H$12,FALSE)</f>
        <v>279096</v>
      </c>
      <c r="I14" s="358">
        <f>ROUNDDOWN(H14*D14,0)</f>
        <v>3070056</v>
      </c>
      <c r="J14" s="358">
        <f>IF($AJ$5&gt;=3,J$12,FALSE)</f>
        <v>941535</v>
      </c>
      <c r="K14" s="358">
        <f>ROUNDDOWN(J14*D14,0)</f>
        <v>10356885</v>
      </c>
      <c r="L14" s="358">
        <f>IF($AJ$5&gt;=3,L$12,FALSE)</f>
        <v>165272</v>
      </c>
      <c r="M14" s="358">
        <f>ROUNDDOWN(L14*D14,0)</f>
        <v>1817992</v>
      </c>
      <c r="N14" s="109"/>
      <c r="P14" s="111"/>
      <c r="Q14" s="111"/>
    </row>
    <row r="15" spans="1:37" s="110" customFormat="1" ht="28.5" customHeight="1">
      <c r="A15" s="112">
        <f>A14+0.01</f>
        <v>2.0399999999999991</v>
      </c>
      <c r="B15" s="113" t="s">
        <v>134</v>
      </c>
      <c r="C15" s="114" t="s">
        <v>190</v>
      </c>
      <c r="D15" s="115">
        <f>D13</f>
        <v>11</v>
      </c>
      <c r="E15" s="109" t="s">
        <v>106</v>
      </c>
      <c r="F15" s="358">
        <f>J15+L15+H15</f>
        <v>1385903</v>
      </c>
      <c r="G15" s="358">
        <f t="shared" ref="G15" si="2">K15+M15+I15</f>
        <v>15244933</v>
      </c>
      <c r="H15" s="358">
        <f>IF($AJ$5&gt;=3,H$12,FALSE)</f>
        <v>279096</v>
      </c>
      <c r="I15" s="358">
        <f>ROUNDDOWN(H15*D15,0)</f>
        <v>3070056</v>
      </c>
      <c r="J15" s="358">
        <f>IF($AJ$5&gt;=3,J$12,FALSE)</f>
        <v>941535</v>
      </c>
      <c r="K15" s="358">
        <f>ROUNDDOWN(J15*D15,0)</f>
        <v>10356885</v>
      </c>
      <c r="L15" s="358">
        <f>IF($AJ$5&gt;=3,L$12,FALSE)</f>
        <v>165272</v>
      </c>
      <c r="M15" s="358">
        <f>ROUNDDOWN(L15*D15,0)</f>
        <v>1817992</v>
      </c>
      <c r="N15" s="109"/>
      <c r="P15" s="111"/>
      <c r="Q15" s="111"/>
    </row>
    <row r="16" spans="1:37" s="110" customFormat="1" ht="28.5" customHeight="1">
      <c r="A16" s="112">
        <f>A15+0.01</f>
        <v>2.0499999999999989</v>
      </c>
      <c r="B16" s="113" t="s">
        <v>258</v>
      </c>
      <c r="C16" s="114" t="s">
        <v>259</v>
      </c>
      <c r="D16" s="115">
        <v>9</v>
      </c>
      <c r="E16" s="109" t="s">
        <v>106</v>
      </c>
      <c r="F16" s="358">
        <f>J16+L16+H16</f>
        <v>1329311</v>
      </c>
      <c r="G16" s="358">
        <f t="shared" si="0"/>
        <v>11963799</v>
      </c>
      <c r="H16" s="358">
        <f>IF($AJ$6=0,FALSE,'굴삭기0.6'!D36)</f>
        <v>182960</v>
      </c>
      <c r="I16" s="358">
        <f>ROUNDDOWN(H16*D16,0)</f>
        <v>1646640</v>
      </c>
      <c r="J16" s="358">
        <f>IF($AJ$6=0,FALSE,'굴삭기0.6'!E36)</f>
        <v>941535</v>
      </c>
      <c r="K16" s="358">
        <f>ROUNDDOWN(J16*D16,0)</f>
        <v>8473815</v>
      </c>
      <c r="L16" s="358">
        <f>IF($AJ$6=0,FALSE,'굴삭기0.6'!F36)</f>
        <v>204816</v>
      </c>
      <c r="M16" s="358">
        <f>ROUNDDOWN(L16*D16,0)</f>
        <v>1843344</v>
      </c>
      <c r="N16" s="109"/>
      <c r="O16" s="207"/>
      <c r="P16" s="111"/>
      <c r="Q16" s="111"/>
    </row>
    <row r="17" spans="1:17" s="110" customFormat="1" ht="28.5" customHeight="1">
      <c r="A17" s="146">
        <f>A11+1</f>
        <v>3</v>
      </c>
      <c r="B17" s="146" t="s">
        <v>266</v>
      </c>
      <c r="C17" s="146" t="s">
        <v>42</v>
      </c>
      <c r="D17" s="149" t="s">
        <v>42</v>
      </c>
      <c r="E17" s="148" t="s">
        <v>42</v>
      </c>
      <c r="F17" s="357"/>
      <c r="G17" s="357">
        <f t="shared" si="0"/>
        <v>148388544</v>
      </c>
      <c r="H17" s="357"/>
      <c r="I17" s="357">
        <f>SUM(I18:I22)</f>
        <v>0</v>
      </c>
      <c r="J17" s="357"/>
      <c r="K17" s="357">
        <f>SUM(K18:K22)</f>
        <v>114744600</v>
      </c>
      <c r="L17" s="357"/>
      <c r="M17" s="357">
        <f>SUM(M18:M22)</f>
        <v>33643944</v>
      </c>
      <c r="N17" s="148"/>
      <c r="P17" s="111" t="s">
        <v>57</v>
      </c>
      <c r="Q17" s="111" t="s">
        <v>55</v>
      </c>
    </row>
    <row r="18" spans="1:17" s="110" customFormat="1" ht="28.5" customHeight="1">
      <c r="A18" s="112">
        <f>A17+0.01</f>
        <v>3.01</v>
      </c>
      <c r="B18" s="113" t="s">
        <v>134</v>
      </c>
      <c r="C18" s="121" t="s">
        <v>167</v>
      </c>
      <c r="D18" s="116">
        <f>121-D6-D12</f>
        <v>99</v>
      </c>
      <c r="E18" s="109" t="s">
        <v>106</v>
      </c>
      <c r="F18" s="358">
        <f>J18+L18+H18</f>
        <v>365952</v>
      </c>
      <c r="G18" s="358">
        <f t="shared" si="0"/>
        <v>36229248</v>
      </c>
      <c r="H18" s="358">
        <f>INT('15t 덤프'!D9)</f>
        <v>0</v>
      </c>
      <c r="I18" s="358">
        <f>ROUNDDOWN(H18*D18,0)</f>
        <v>0</v>
      </c>
      <c r="J18" s="358">
        <f>INT('15t 덤프'!C6)</f>
        <v>283320</v>
      </c>
      <c r="K18" s="358">
        <f>ROUNDDOWN(J18*D18,0)</f>
        <v>28048680</v>
      </c>
      <c r="L18" s="358">
        <f>INT('15t 덤프'!F9)</f>
        <v>82632</v>
      </c>
      <c r="M18" s="358">
        <f>ROUNDDOWN(L18*D18,0)</f>
        <v>8180568</v>
      </c>
      <c r="N18" s="109"/>
      <c r="P18" s="111"/>
      <c r="Q18" s="111"/>
    </row>
    <row r="19" spans="1:17" s="110" customFormat="1" ht="28.5" customHeight="1">
      <c r="A19" s="112">
        <f>A18+0.01</f>
        <v>3.0199999999999996</v>
      </c>
      <c r="B19" s="113" t="s">
        <v>134</v>
      </c>
      <c r="C19" s="121" t="s">
        <v>167</v>
      </c>
      <c r="D19" s="116">
        <f>D18</f>
        <v>99</v>
      </c>
      <c r="E19" s="109" t="s">
        <v>106</v>
      </c>
      <c r="F19" s="358">
        <f>J19+L19+H19</f>
        <v>365952</v>
      </c>
      <c r="G19" s="358">
        <f t="shared" si="0"/>
        <v>36229248</v>
      </c>
      <c r="H19" s="358">
        <f>IF($AJ$5&gt;=2,H$18,FALSE)</f>
        <v>0</v>
      </c>
      <c r="I19" s="358">
        <f>ROUNDDOWN(H19*D19,0)</f>
        <v>0</v>
      </c>
      <c r="J19" s="358">
        <f>IF($AJ$5&gt;=2,J$18,FALSE)</f>
        <v>283320</v>
      </c>
      <c r="K19" s="358">
        <f>ROUNDDOWN(J19*D19,0)</f>
        <v>28048680</v>
      </c>
      <c r="L19" s="358">
        <f>IF($AJ$5&gt;=2,L$18,FALSE)</f>
        <v>82632</v>
      </c>
      <c r="M19" s="358">
        <f>ROUNDDOWN(L19*D19,0)</f>
        <v>8180568</v>
      </c>
      <c r="N19" s="109"/>
      <c r="P19" s="111"/>
      <c r="Q19" s="111"/>
    </row>
    <row r="20" spans="1:17" s="110" customFormat="1" ht="28.5" customHeight="1">
      <c r="A20" s="112">
        <f>A19+0.01</f>
        <v>3.0299999999999994</v>
      </c>
      <c r="B20" s="113" t="s">
        <v>134</v>
      </c>
      <c r="C20" s="121" t="s">
        <v>167</v>
      </c>
      <c r="D20" s="116">
        <f>D18</f>
        <v>99</v>
      </c>
      <c r="E20" s="109" t="s">
        <v>106</v>
      </c>
      <c r="F20" s="358">
        <f>J20+L20+H20</f>
        <v>365952</v>
      </c>
      <c r="G20" s="358">
        <f t="shared" si="0"/>
        <v>36229248</v>
      </c>
      <c r="H20" s="358">
        <f>IF($AJ$5&gt;=3,H$18,FALSE)</f>
        <v>0</v>
      </c>
      <c r="I20" s="358">
        <f>ROUNDDOWN(H20*D20,0)</f>
        <v>0</v>
      </c>
      <c r="J20" s="358">
        <f>IF($AJ$5&gt;=3,J$18,FALSE)</f>
        <v>283320</v>
      </c>
      <c r="K20" s="358">
        <f>ROUNDDOWN(J20*D20,0)</f>
        <v>28048680</v>
      </c>
      <c r="L20" s="358">
        <f>IF($AJ$5&gt;=3,L$18,FALSE)</f>
        <v>82632</v>
      </c>
      <c r="M20" s="358">
        <f>ROUNDDOWN(L20*D20,0)</f>
        <v>8180568</v>
      </c>
      <c r="N20" s="109"/>
      <c r="P20" s="111"/>
      <c r="Q20" s="111"/>
    </row>
    <row r="21" spans="1:17" s="110" customFormat="1" ht="28.5" customHeight="1">
      <c r="A21" s="112">
        <f>A20+0.01</f>
        <v>3.0399999999999991</v>
      </c>
      <c r="B21" s="113" t="s">
        <v>134</v>
      </c>
      <c r="C21" s="121" t="s">
        <v>167</v>
      </c>
      <c r="D21" s="116">
        <f>D19</f>
        <v>99</v>
      </c>
      <c r="E21" s="109" t="s">
        <v>106</v>
      </c>
      <c r="F21" s="358">
        <f>J21+L21+H21</f>
        <v>365952</v>
      </c>
      <c r="G21" s="358">
        <f t="shared" ref="G21" si="3">K21+M21+I21</f>
        <v>36229248</v>
      </c>
      <c r="H21" s="358">
        <f>IF($AJ$5&gt;=3,H$18,FALSE)</f>
        <v>0</v>
      </c>
      <c r="I21" s="358">
        <f>ROUNDDOWN(H21*D21,0)</f>
        <v>0</v>
      </c>
      <c r="J21" s="358">
        <f>IF($AJ$5&gt;=3,J$18,FALSE)</f>
        <v>283320</v>
      </c>
      <c r="K21" s="358">
        <f>ROUNDDOWN(J21*D21,0)</f>
        <v>28048680</v>
      </c>
      <c r="L21" s="358">
        <f>IF($AJ$5&gt;=3,L$18,FALSE)</f>
        <v>82632</v>
      </c>
      <c r="M21" s="358">
        <f>ROUNDDOWN(L21*D21,0)</f>
        <v>8180568</v>
      </c>
      <c r="N21" s="109"/>
      <c r="P21" s="111"/>
      <c r="Q21" s="111"/>
    </row>
    <row r="22" spans="1:17" s="110" customFormat="1" ht="28.5" customHeight="1">
      <c r="A22" s="112">
        <f>A21+0.01</f>
        <v>3.0499999999999989</v>
      </c>
      <c r="B22" s="113" t="s">
        <v>258</v>
      </c>
      <c r="C22" s="114" t="s">
        <v>259</v>
      </c>
      <c r="D22" s="115">
        <v>9</v>
      </c>
      <c r="E22" s="109" t="s">
        <v>106</v>
      </c>
      <c r="F22" s="358">
        <f>J22+L22+H22</f>
        <v>385728</v>
      </c>
      <c r="G22" s="358">
        <f t="shared" si="0"/>
        <v>3471552</v>
      </c>
      <c r="H22" s="358">
        <f>IF($AJ$6=0,FALSE,'굴삭기0.6'!D10)</f>
        <v>0</v>
      </c>
      <c r="I22" s="358">
        <f>ROUNDDOWN(H22*D22,0)</f>
        <v>0</v>
      </c>
      <c r="J22" s="358">
        <f>IF($AJ$6=0,FALSE,'굴삭기0.6'!E10)</f>
        <v>283320</v>
      </c>
      <c r="K22" s="358">
        <f>ROUNDDOWN(J22*D22,0)</f>
        <v>2549880</v>
      </c>
      <c r="L22" s="358">
        <f>IF($AJ$6=0,FALSE,'굴삭기0.6'!F10)</f>
        <v>102408</v>
      </c>
      <c r="M22" s="358">
        <f>ROUNDDOWN(L22*D22,0)</f>
        <v>921672</v>
      </c>
      <c r="N22" s="109"/>
      <c r="O22" s="207"/>
      <c r="P22" s="111"/>
      <c r="Q22" s="111"/>
    </row>
    <row r="23" spans="1:17" s="110" customFormat="1" ht="28.5" customHeight="1">
      <c r="A23" s="146">
        <f>A17+1</f>
        <v>4</v>
      </c>
      <c r="B23" s="146" t="s">
        <v>137</v>
      </c>
      <c r="C23" s="146" t="s">
        <v>42</v>
      </c>
      <c r="D23" s="150" t="s">
        <v>42</v>
      </c>
      <c r="E23" s="148" t="s">
        <v>42</v>
      </c>
      <c r="F23" s="357">
        <v>0</v>
      </c>
      <c r="G23" s="357">
        <f t="shared" si="0"/>
        <v>18132480</v>
      </c>
      <c r="H23" s="357">
        <v>0</v>
      </c>
      <c r="I23" s="357">
        <f>SUM(I24:I26)</f>
        <v>0</v>
      </c>
      <c r="J23" s="357">
        <v>0</v>
      </c>
      <c r="K23" s="357">
        <f>SUM(K24:K27)</f>
        <v>18132480</v>
      </c>
      <c r="L23" s="357">
        <v>0</v>
      </c>
      <c r="M23" s="357">
        <f>SUM(M24:M26)</f>
        <v>0</v>
      </c>
      <c r="N23" s="148"/>
      <c r="P23" s="111" t="s">
        <v>57</v>
      </c>
      <c r="Q23" s="111" t="s">
        <v>55</v>
      </c>
    </row>
    <row r="24" spans="1:17" ht="28.5" customHeight="1">
      <c r="A24" s="79">
        <f>A23+0.01</f>
        <v>4.01</v>
      </c>
      <c r="B24" s="117" t="s">
        <v>134</v>
      </c>
      <c r="C24" s="118" t="s">
        <v>138</v>
      </c>
      <c r="D24" s="119">
        <v>4</v>
      </c>
      <c r="E24" s="6" t="s">
        <v>139</v>
      </c>
      <c r="F24" s="356">
        <f>J24+L24+H24</f>
        <v>1133280</v>
      </c>
      <c r="G24" s="356">
        <f t="shared" si="0"/>
        <v>4533120</v>
      </c>
      <c r="H24" s="356">
        <f>점검단가!F7</f>
        <v>0</v>
      </c>
      <c r="I24" s="356">
        <f>ROUNDDOWN(H24*D24,0)</f>
        <v>0</v>
      </c>
      <c r="J24" s="356">
        <f>INT(점검단가!E7)</f>
        <v>1133280</v>
      </c>
      <c r="K24" s="356">
        <f>ROUNDDOWN(J24*D24,0)</f>
        <v>4533120</v>
      </c>
      <c r="L24" s="356">
        <f>점검단가!D7</f>
        <v>0</v>
      </c>
      <c r="M24" s="356">
        <f>ROUNDDOWN(L24*D24,0)</f>
        <v>0</v>
      </c>
      <c r="N24" s="6"/>
      <c r="P24" s="108"/>
      <c r="Q24" s="108"/>
    </row>
    <row r="25" spans="1:17" ht="28.5" customHeight="1">
      <c r="A25" s="79">
        <f>A24+0.01</f>
        <v>4.0199999999999996</v>
      </c>
      <c r="B25" s="117" t="s">
        <v>134</v>
      </c>
      <c r="C25" s="118" t="s">
        <v>138</v>
      </c>
      <c r="D25" s="119">
        <v>4</v>
      </c>
      <c r="E25" s="6" t="s">
        <v>139</v>
      </c>
      <c r="F25" s="356">
        <f>J25+L25+H25</f>
        <v>1133280</v>
      </c>
      <c r="G25" s="356">
        <f t="shared" si="0"/>
        <v>4533120</v>
      </c>
      <c r="H25" s="356">
        <f>IF($AJ$5&gt;=2,H$24,FALSE)</f>
        <v>0</v>
      </c>
      <c r="I25" s="356">
        <f>ROUNDDOWN(H25*D25,0)</f>
        <v>0</v>
      </c>
      <c r="J25" s="356">
        <f>IF($AJ$5&gt;=2,J$24,FALSE)</f>
        <v>1133280</v>
      </c>
      <c r="K25" s="356">
        <f>ROUNDDOWN(J25*D25,0)</f>
        <v>4533120</v>
      </c>
      <c r="L25" s="356">
        <f>IF($AJ$5&gt;=2,L$24,FALSE)</f>
        <v>0</v>
      </c>
      <c r="M25" s="356">
        <f>ROUNDDOWN(L25*D25,0)</f>
        <v>0</v>
      </c>
      <c r="N25" s="6"/>
      <c r="P25" s="108"/>
      <c r="Q25" s="108"/>
    </row>
    <row r="26" spans="1:17" ht="28.5" customHeight="1">
      <c r="A26" s="79">
        <f>A25+0.01</f>
        <v>4.0299999999999994</v>
      </c>
      <c r="B26" s="117" t="s">
        <v>134</v>
      </c>
      <c r="C26" s="118" t="s">
        <v>138</v>
      </c>
      <c r="D26" s="119">
        <v>4</v>
      </c>
      <c r="E26" s="6" t="s">
        <v>139</v>
      </c>
      <c r="F26" s="356">
        <f>J26+L26+H26</f>
        <v>1133280</v>
      </c>
      <c r="G26" s="356">
        <f t="shared" si="0"/>
        <v>4533120</v>
      </c>
      <c r="H26" s="356">
        <f>IF($AJ$5&gt;=3,H$24,FALSE)</f>
        <v>0</v>
      </c>
      <c r="I26" s="356">
        <f>ROUNDDOWN(H26*D26,0)</f>
        <v>0</v>
      </c>
      <c r="J26" s="356">
        <f>IF($AJ$5&gt;=3,J$24,FALSE)</f>
        <v>1133280</v>
      </c>
      <c r="K26" s="356">
        <f>ROUNDDOWN(J26*D26,0)</f>
        <v>4533120</v>
      </c>
      <c r="L26" s="356">
        <f>IF($AJ$5&gt;=3,L$24,FALSE)</f>
        <v>0</v>
      </c>
      <c r="M26" s="356">
        <f>ROUNDDOWN(L26*D26,0)</f>
        <v>0</v>
      </c>
      <c r="N26" s="6"/>
      <c r="P26" s="108"/>
      <c r="Q26" s="108"/>
    </row>
    <row r="27" spans="1:17" ht="28.5" customHeight="1">
      <c r="A27" s="79">
        <f>A26+0.01</f>
        <v>4.0399999999999991</v>
      </c>
      <c r="B27" s="117" t="s">
        <v>134</v>
      </c>
      <c r="C27" s="118" t="s">
        <v>138</v>
      </c>
      <c r="D27" s="119">
        <v>4</v>
      </c>
      <c r="E27" s="6" t="s">
        <v>139</v>
      </c>
      <c r="F27" s="356">
        <f>J27+L27+H27</f>
        <v>1133280</v>
      </c>
      <c r="G27" s="356">
        <f t="shared" ref="G27" si="4">K27+M27+I27</f>
        <v>4533120</v>
      </c>
      <c r="H27" s="356">
        <f>IF($AJ$5&gt;=3,H$24,FALSE)</f>
        <v>0</v>
      </c>
      <c r="I27" s="356">
        <f>ROUNDDOWN(H27*D27,0)</f>
        <v>0</v>
      </c>
      <c r="J27" s="356">
        <f>IF($AJ$5&gt;=3,J$24,FALSE)</f>
        <v>1133280</v>
      </c>
      <c r="K27" s="356">
        <f>ROUNDDOWN(J27*D27,0)</f>
        <v>4533120</v>
      </c>
      <c r="L27" s="356">
        <f>IF($AJ$5&gt;=3,L$24,FALSE)</f>
        <v>0</v>
      </c>
      <c r="M27" s="356">
        <f>ROUNDDOWN(L27*D27,0)</f>
        <v>0</v>
      </c>
      <c r="N27" s="6"/>
      <c r="P27" s="108"/>
      <c r="Q27" s="108"/>
    </row>
    <row r="28" spans="1:17" ht="28.5" customHeight="1">
      <c r="A28" s="146">
        <f>A23+1</f>
        <v>5</v>
      </c>
      <c r="B28" s="146" t="s">
        <v>348</v>
      </c>
      <c r="C28" s="146" t="s">
        <v>42</v>
      </c>
      <c r="D28" s="150" t="s">
        <v>42</v>
      </c>
      <c r="E28" s="148" t="s">
        <v>42</v>
      </c>
      <c r="F28" s="357">
        <v>0</v>
      </c>
      <c r="G28" s="357">
        <f>K28+M28+I28</f>
        <v>916568</v>
      </c>
      <c r="H28" s="357">
        <v>0</v>
      </c>
      <c r="I28" s="357">
        <f>I29</f>
        <v>279096</v>
      </c>
      <c r="J28" s="357">
        <v>0</v>
      </c>
      <c r="K28" s="357">
        <f>K29</f>
        <v>472200</v>
      </c>
      <c r="L28" s="357">
        <v>0</v>
      </c>
      <c r="M28" s="357">
        <f>M29</f>
        <v>165272</v>
      </c>
      <c r="N28" s="148"/>
      <c r="P28" s="108"/>
      <c r="Q28" s="108"/>
    </row>
    <row r="29" spans="1:17" ht="28.5" customHeight="1">
      <c r="A29" s="79">
        <f>A28+0.01</f>
        <v>5.01</v>
      </c>
      <c r="B29" s="117" t="s">
        <v>140</v>
      </c>
      <c r="C29" s="118" t="s">
        <v>141</v>
      </c>
      <c r="D29" s="119">
        <v>1</v>
      </c>
      <c r="E29" s="6" t="s">
        <v>135</v>
      </c>
      <c r="F29" s="356">
        <f>J29+L29+H29</f>
        <v>916568</v>
      </c>
      <c r="G29" s="356">
        <f>K29+M29+I29</f>
        <v>916568</v>
      </c>
      <c r="H29" s="356">
        <f>INT(운반!D10)</f>
        <v>279096</v>
      </c>
      <c r="I29" s="356">
        <f>ROUNDDOWN(H29*D29,0)</f>
        <v>279096</v>
      </c>
      <c r="J29" s="356">
        <f>INT(운반!E10)</f>
        <v>472200</v>
      </c>
      <c r="K29" s="356">
        <f>ROUNDDOWN(J29*D29,0)</f>
        <v>472200</v>
      </c>
      <c r="L29" s="356">
        <f>INT(운반!F10)</f>
        <v>165272</v>
      </c>
      <c r="M29" s="356">
        <f>ROUNDDOWN(L29*D29,0)</f>
        <v>165272</v>
      </c>
      <c r="N29" s="6"/>
    </row>
    <row r="30" spans="1:17" s="189" customFormat="1" ht="28.5" customHeight="1">
      <c r="A30" s="146">
        <f>A28+1</f>
        <v>6</v>
      </c>
      <c r="B30" s="146" t="s">
        <v>255</v>
      </c>
      <c r="C30" s="146" t="s">
        <v>42</v>
      </c>
      <c r="D30" s="150" t="s">
        <v>42</v>
      </c>
      <c r="E30" s="148" t="s">
        <v>42</v>
      </c>
      <c r="F30" s="357">
        <v>0</v>
      </c>
      <c r="G30" s="357">
        <f>K30+M30+I30</f>
        <v>35577295</v>
      </c>
      <c r="H30" s="357">
        <v>0</v>
      </c>
      <c r="I30" s="357">
        <f>I31</f>
        <v>1889811</v>
      </c>
      <c r="J30" s="357">
        <v>0</v>
      </c>
      <c r="K30" s="357">
        <f>K31</f>
        <v>31895683</v>
      </c>
      <c r="L30" s="357">
        <v>0</v>
      </c>
      <c r="M30" s="357">
        <f>M31</f>
        <v>1791801</v>
      </c>
      <c r="N30" s="148"/>
    </row>
    <row r="31" spans="1:17" ht="28.5" customHeight="1">
      <c r="A31" s="79">
        <f>A30+0.01</f>
        <v>6.01</v>
      </c>
      <c r="B31" s="117" t="s">
        <v>255</v>
      </c>
      <c r="C31" s="118" t="s">
        <v>276</v>
      </c>
      <c r="D31" s="119">
        <f>TRUNC((121-D6-D12)*3,0)</f>
        <v>297</v>
      </c>
      <c r="E31" s="253" t="s">
        <v>257</v>
      </c>
      <c r="F31" s="356">
        <f>J31+L31+H31</f>
        <v>119788.875</v>
      </c>
      <c r="G31" s="356">
        <f>K31+M31+I31</f>
        <v>35577295</v>
      </c>
      <c r="H31" s="356">
        <f>순찰!D15</f>
        <v>6363</v>
      </c>
      <c r="I31" s="356">
        <f>ROUNDDOWN(H31*D31,0)</f>
        <v>1889811</v>
      </c>
      <c r="J31" s="356">
        <f>순찰!E15</f>
        <v>107392.875</v>
      </c>
      <c r="K31" s="356">
        <f>ROUNDDOWN(J31*D31,0)</f>
        <v>31895683</v>
      </c>
      <c r="L31" s="356">
        <f>순찰!F15</f>
        <v>6033</v>
      </c>
      <c r="M31" s="356">
        <f>ROUNDDOWN(L31*D31,0)</f>
        <v>1791801</v>
      </c>
      <c r="N31" s="6"/>
    </row>
    <row r="38" spans="5:5" ht="12.75">
      <c r="E38" s="155"/>
    </row>
  </sheetData>
  <mergeCells count="6">
    <mergeCell ref="AH5:AH7"/>
    <mergeCell ref="A2:B3"/>
    <mergeCell ref="N2:N3"/>
    <mergeCell ref="E2:E3"/>
    <mergeCell ref="D2:D3"/>
    <mergeCell ref="C2:C3"/>
  </mergeCells>
  <phoneticPr fontId="24" type="noConversion"/>
  <pageMargins left="1.1000000000000001" right="0.49" top="0.41" bottom="0.39" header="0.17" footer="0.16"/>
  <pageSetup paperSize="9" scale="77" fitToHeight="0" orientation="landscape" horizontalDpi="4294967292" verticalDpi="300" r:id="rId1"/>
  <headerFooter alignWithMargins="0"/>
  <rowBreaks count="1" manualBreakCount="1">
    <brk id="22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F34"/>
  <sheetViews>
    <sheetView tabSelected="1" view="pageBreakPreview" zoomScaleNormal="100" zoomScaleSheetLayoutView="100" workbookViewId="0">
      <selection activeCell="D4" sqref="D4"/>
    </sheetView>
  </sheetViews>
  <sheetFormatPr defaultColWidth="15.140625" defaultRowHeight="18.75" customHeight="1"/>
  <cols>
    <col min="1" max="1" width="22.7109375" customWidth="1"/>
    <col min="2" max="3" width="19.28515625" customWidth="1"/>
    <col min="4" max="4" width="18.85546875" customWidth="1"/>
    <col min="5" max="5" width="35.7109375" customWidth="1"/>
    <col min="6" max="6" width="82.7109375" customWidth="1"/>
  </cols>
  <sheetData>
    <row r="1" spans="1:6" ht="45" customHeight="1">
      <c r="A1" s="552" t="s">
        <v>146</v>
      </c>
      <c r="B1" s="552"/>
      <c r="C1" s="552"/>
      <c r="D1" s="552"/>
      <c r="E1" s="552"/>
      <c r="F1" s="552"/>
    </row>
    <row r="3" spans="1:6" s="163" customFormat="1" ht="24" customHeight="1">
      <c r="A3" s="161" t="s">
        <v>94</v>
      </c>
      <c r="B3" s="556" t="s">
        <v>162</v>
      </c>
      <c r="C3" s="557"/>
      <c r="D3" s="557"/>
      <c r="E3" s="558"/>
      <c r="F3" s="162" t="s">
        <v>95</v>
      </c>
    </row>
    <row r="4" spans="1:6" s="163" customFormat="1" ht="24" customHeight="1">
      <c r="A4" s="164" t="str">
        <f>요약서!G3&amp;"권역"</f>
        <v>계룡-세종권역</v>
      </c>
      <c r="B4" s="165" t="str">
        <f>"1. 제설기간 : "&amp;LEFT(요약서!B9,FIND(CHAR(10),요약서!B9)-1)</f>
        <v>1. 제설기간 : 2026.11.15. ~ 2027.03.25. (131일간) (전체)</v>
      </c>
      <c r="C4" s="165"/>
      <c r="D4" s="165"/>
      <c r="E4" s="166"/>
      <c r="F4" s="167"/>
    </row>
    <row r="5" spans="1:6" s="163" customFormat="1" ht="24" customHeight="1">
      <c r="A5" s="164"/>
      <c r="B5" s="553"/>
      <c r="C5" s="554"/>
      <c r="D5" s="554"/>
      <c r="E5" s="555"/>
      <c r="F5" s="167"/>
    </row>
    <row r="6" spans="1:6" s="163" customFormat="1" ht="12.75" customHeight="1">
      <c r="A6" s="164"/>
      <c r="B6" s="165"/>
      <c r="C6" s="165"/>
      <c r="D6" s="165"/>
      <c r="E6" s="166"/>
      <c r="F6" s="167"/>
    </row>
    <row r="7" spans="1:6" s="163" customFormat="1" ht="24" customHeight="1">
      <c r="A7" s="164"/>
      <c r="B7" s="165" t="s">
        <v>197</v>
      </c>
      <c r="C7" s="165"/>
      <c r="D7" s="165"/>
      <c r="E7" s="166"/>
      <c r="F7" s="167"/>
    </row>
    <row r="8" spans="1:6" s="163" customFormat="1" ht="24" customHeight="1">
      <c r="A8" s="164"/>
      <c r="B8" s="165"/>
      <c r="C8" s="165"/>
      <c r="D8" s="165"/>
      <c r="E8" s="166"/>
      <c r="F8" s="167"/>
    </row>
    <row r="9" spans="1:6" s="163" customFormat="1" ht="24" customHeight="1">
      <c r="A9" s="164"/>
      <c r="B9" s="165" t="s">
        <v>96</v>
      </c>
      <c r="C9" s="165"/>
      <c r="D9" s="165"/>
      <c r="E9" s="166"/>
      <c r="F9" s="167"/>
    </row>
    <row r="10" spans="1:6" s="163" customFormat="1" ht="24" customHeight="1">
      <c r="A10" s="164"/>
      <c r="B10" s="165" t="str">
        <f>"  제설삽날(15톤용, 상,하,좌,우 조작가능 한것) : "&amp;요약서!G6&amp;"대 (관 지원 : "&amp;요약서!G6&amp;"대)"</f>
        <v xml:space="preserve">  제설삽날(15톤용, 상,하,좌,우 조작가능 한것) : 4대 (관 지원 : 4대)</v>
      </c>
      <c r="C10" s="165"/>
      <c r="D10" s="165"/>
      <c r="E10" s="166"/>
      <c r="F10" s="472" t="s">
        <v>366</v>
      </c>
    </row>
    <row r="11" spans="1:6" s="163" customFormat="1" ht="24" customHeight="1">
      <c r="A11" s="164"/>
      <c r="B11" s="165" t="str">
        <f>"  살포기 : "&amp;요약서!G6&amp;"대 (관 지원 : "&amp;요약서!G6&amp;"대)"</f>
        <v xml:space="preserve">  살포기 : 4대 (관 지원 : 4대)</v>
      </c>
      <c r="C11" s="165"/>
      <c r="D11" s="165"/>
      <c r="E11" s="166"/>
      <c r="F11" s="472" t="s">
        <v>367</v>
      </c>
    </row>
    <row r="12" spans="1:6" s="163" customFormat="1" ht="24" customHeight="1">
      <c r="A12" s="164"/>
      <c r="B12" s="165" t="str">
        <f>"  15톤 덤프(제설, 운반) : "&amp;요약서!G6&amp;"대 "</f>
        <v xml:space="preserve">  15톤 덤프(제설, 운반) : 4대 </v>
      </c>
      <c r="C12" s="165"/>
      <c r="D12" s="165"/>
      <c r="E12" s="166"/>
      <c r="F12" s="472" t="s">
        <v>368</v>
      </c>
    </row>
    <row r="13" spans="1:6" s="163" customFormat="1" ht="24" customHeight="1">
      <c r="A13" s="164"/>
      <c r="B13" s="165" t="str">
        <f>IF(요약서!G7=0,"","  굴삭기(0.6 m3) : "&amp;요약서!G7&amp;" 대")</f>
        <v xml:space="preserve">  굴삭기(0.6 m3) : 1 대</v>
      </c>
      <c r="C13" s="165"/>
      <c r="D13" s="165"/>
      <c r="E13" s="166"/>
      <c r="F13" s="472" t="s">
        <v>354</v>
      </c>
    </row>
    <row r="14" spans="1:6" s="163" customFormat="1" ht="24" customHeight="1">
      <c r="A14" s="164"/>
      <c r="B14" s="165" t="str">
        <f>"  제설인부 : "&amp;(요약서!G6+요약서!G7)*2&amp;"명(작업원 "&amp;(요약서!G6+요약서!G7)&amp;"명, 조종원 "&amp;(요약서!G6+요약서!G7)&amp;"명)"</f>
        <v xml:space="preserve">  제설인부 : 10명(작업원 5명, 조종원 5명)</v>
      </c>
      <c r="C14" s="165"/>
      <c r="D14" s="165"/>
      <c r="E14" s="166"/>
      <c r="F14" s="472" t="s">
        <v>355</v>
      </c>
    </row>
    <row r="15" spans="1:6" s="163" customFormat="1" ht="24" customHeight="1">
      <c r="A15" s="164"/>
      <c r="B15" s="165" t="str">
        <f>IF(요약서!G6=0,"","  2.5톤 덤프 : "&amp;요약서!G8&amp;" 대")</f>
        <v xml:space="preserve">  2.5톤 덤프 : 1 대</v>
      </c>
      <c r="C15" s="165"/>
      <c r="D15" s="165"/>
      <c r="E15" s="166"/>
      <c r="F15" s="472" t="s">
        <v>361</v>
      </c>
    </row>
    <row r="16" spans="1:6" s="163" customFormat="1" ht="24" customHeight="1">
      <c r="A16" s="164"/>
      <c r="B16" s="165" t="str">
        <f>"  순찰인부 : "&amp;요약서!G8*2&amp;"명(작업원 "&amp;요약서!G8&amp;"명, 조종원 "&amp;요약서!G8&amp;"명)"</f>
        <v xml:space="preserve">  순찰인부 : 2명(작업원 1명, 조종원 1명)</v>
      </c>
      <c r="C16" s="165"/>
      <c r="D16" s="165"/>
      <c r="E16" s="166"/>
      <c r="F16" s="473" t="s">
        <v>356</v>
      </c>
    </row>
    <row r="17" spans="1:6" s="163" customFormat="1" ht="24" customHeight="1">
      <c r="A17" s="164"/>
      <c r="B17" s="165"/>
      <c r="C17" s="165"/>
      <c r="D17" s="165"/>
      <c r="E17" s="166"/>
      <c r="F17" s="167"/>
    </row>
    <row r="18" spans="1:6" s="163" customFormat="1" ht="24" customHeight="1">
      <c r="A18" s="164"/>
      <c r="B18" s="165" t="s">
        <v>97</v>
      </c>
      <c r="C18" s="165"/>
      <c r="D18" s="165"/>
      <c r="E18" s="166"/>
      <c r="F18" s="167"/>
    </row>
    <row r="19" spans="1:6" s="163" customFormat="1" ht="24" customHeight="1">
      <c r="A19" s="168"/>
      <c r="B19" s="169" t="s">
        <v>98</v>
      </c>
      <c r="C19" s="169"/>
      <c r="D19" s="169"/>
      <c r="E19" s="170"/>
      <c r="F19" s="171"/>
    </row>
    <row r="20" spans="1:6" ht="18.75" customHeight="1">
      <c r="A20" s="157"/>
      <c r="B20" s="158"/>
      <c r="C20" s="158"/>
      <c r="D20" s="158"/>
      <c r="E20" s="158"/>
      <c r="F20" s="157"/>
    </row>
    <row r="21" spans="1:6" ht="18.75" customHeight="1">
      <c r="A21" s="7"/>
      <c r="B21" s="156"/>
      <c r="C21" s="156"/>
      <c r="D21" s="156"/>
      <c r="E21" s="156"/>
      <c r="F21" s="7"/>
    </row>
    <row r="22" spans="1:6" ht="18.75" customHeight="1">
      <c r="A22" s="154"/>
      <c r="B22" s="26"/>
      <c r="C22" s="26"/>
      <c r="D22" s="26"/>
      <c r="E22" s="26"/>
      <c r="F22" s="154"/>
    </row>
    <row r="23" spans="1:6" ht="18.75" customHeight="1">
      <c r="A23" s="154"/>
      <c r="B23" s="26"/>
      <c r="C23" s="26"/>
      <c r="D23" s="26"/>
      <c r="E23" s="26"/>
      <c r="F23" s="154"/>
    </row>
    <row r="24" spans="1:6" ht="18.75" customHeight="1">
      <c r="A24" s="159"/>
      <c r="B24" s="159"/>
      <c r="C24" s="159"/>
      <c r="D24" s="159"/>
      <c r="E24" s="159"/>
      <c r="F24" s="159"/>
    </row>
    <row r="25" spans="1:6" ht="18.75" customHeight="1">
      <c r="A25" s="159"/>
      <c r="B25" s="159"/>
      <c r="C25" s="159"/>
      <c r="D25" s="159"/>
      <c r="E25" s="159"/>
      <c r="F25" s="159"/>
    </row>
    <row r="26" spans="1:6" ht="18.75" customHeight="1">
      <c r="A26" s="159"/>
      <c r="B26" s="159"/>
      <c r="C26" s="159"/>
      <c r="D26" s="159"/>
      <c r="E26" s="159"/>
      <c r="F26" s="159"/>
    </row>
    <row r="27" spans="1:6" ht="18.75" customHeight="1">
      <c r="A27" s="159"/>
      <c r="B27" s="159"/>
      <c r="C27" s="159"/>
      <c r="D27" s="159"/>
      <c r="E27" s="159"/>
      <c r="F27" s="159"/>
    </row>
    <row r="28" spans="1:6" ht="18.75" customHeight="1">
      <c r="A28" s="159"/>
      <c r="B28" s="159"/>
      <c r="C28" s="159"/>
      <c r="D28" s="159"/>
      <c r="E28" s="159"/>
      <c r="F28" s="159"/>
    </row>
    <row r="29" spans="1:6" ht="18.75" customHeight="1">
      <c r="A29" s="160"/>
      <c r="B29" s="159"/>
      <c r="C29" s="159"/>
      <c r="D29" s="159"/>
      <c r="E29" s="159"/>
      <c r="F29" s="159"/>
    </row>
    <row r="30" spans="1:6" ht="18.75" customHeight="1">
      <c r="A30" s="160"/>
      <c r="B30" s="159"/>
      <c r="C30" s="159"/>
      <c r="D30" s="159"/>
      <c r="E30" s="159"/>
      <c r="F30" s="159"/>
    </row>
    <row r="31" spans="1:6" ht="18.75" customHeight="1">
      <c r="A31" s="160"/>
      <c r="B31" s="159"/>
      <c r="C31" s="159"/>
      <c r="D31" s="159"/>
      <c r="E31" s="159"/>
      <c r="F31" s="159"/>
    </row>
    <row r="32" spans="1:6" ht="18.75" customHeight="1">
      <c r="A32" s="160"/>
      <c r="B32" s="159"/>
      <c r="C32" s="159"/>
      <c r="D32" s="159"/>
      <c r="E32" s="159"/>
      <c r="F32" s="159"/>
    </row>
    <row r="33" spans="1:6" ht="18.75" customHeight="1">
      <c r="A33" s="159"/>
      <c r="B33" s="159"/>
      <c r="C33" s="159"/>
      <c r="D33" s="159"/>
      <c r="E33" s="159"/>
      <c r="F33" s="159"/>
    </row>
    <row r="34" spans="1:6" ht="18.75" customHeight="1">
      <c r="A34" s="159"/>
      <c r="B34" s="159"/>
      <c r="C34" s="159"/>
      <c r="D34" s="159"/>
      <c r="E34" s="159"/>
      <c r="F34" s="159"/>
    </row>
  </sheetData>
  <mergeCells count="3">
    <mergeCell ref="A1:F1"/>
    <mergeCell ref="B5:E5"/>
    <mergeCell ref="B3:E3"/>
  </mergeCells>
  <phoneticPr fontId="2" type="noConversion"/>
  <printOptions horizontalCentered="1"/>
  <pageMargins left="0.74803149606299213" right="0.39370078740157483" top="0.62" bottom="0.56999999999999995" header="0.51181102362204722" footer="0.51181102362204722"/>
  <pageSetup paperSize="9" scale="74" orientation="landscape" horizontalDpi="4294967293" r:id="rId1"/>
  <headerFooter alignWithMargins="0"/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theme="9" tint="0.39997558519241921"/>
  </sheetPr>
  <dimension ref="A1:K40"/>
  <sheetViews>
    <sheetView workbookViewId="0">
      <selection activeCell="C29" sqref="C29"/>
    </sheetView>
  </sheetViews>
  <sheetFormatPr defaultColWidth="10.28515625" defaultRowHeight="18" customHeight="1"/>
  <cols>
    <col min="1" max="1" width="11.28515625" style="55" customWidth="1"/>
    <col min="2" max="2" width="38.5703125" style="51" customWidth="1"/>
    <col min="3" max="3" width="14.5703125" style="272" bestFit="1" customWidth="1"/>
    <col min="4" max="6" width="13.42578125" style="282" customWidth="1"/>
    <col min="7" max="10" width="10.28515625" style="51"/>
    <col min="11" max="11" width="12.28515625" style="51" bestFit="1" customWidth="1"/>
    <col min="12" max="16384" width="10.28515625" style="51"/>
  </cols>
  <sheetData>
    <row r="1" spans="1:11" s="49" customFormat="1" ht="18" customHeight="1" thickBot="1">
      <c r="A1" s="47" t="s">
        <v>2</v>
      </c>
      <c r="B1" s="48" t="s">
        <v>3</v>
      </c>
      <c r="C1" s="263"/>
      <c r="D1" s="339" t="s">
        <v>239</v>
      </c>
      <c r="E1" s="339" t="s">
        <v>186</v>
      </c>
      <c r="F1" s="333" t="s">
        <v>278</v>
      </c>
    </row>
    <row r="2" spans="1:11" ht="16.5" customHeight="1">
      <c r="A2" s="50"/>
      <c r="B2" s="40"/>
      <c r="C2" s="264"/>
      <c r="D2" s="331"/>
      <c r="E2" s="331"/>
      <c r="F2" s="289"/>
    </row>
    <row r="3" spans="1:11" ht="16.5" customHeight="1" thickBot="1">
      <c r="A3" s="52" t="s">
        <v>13</v>
      </c>
      <c r="B3" s="53" t="s">
        <v>174</v>
      </c>
      <c r="C3" s="264"/>
      <c r="D3" s="331"/>
      <c r="E3" s="331"/>
      <c r="F3" s="289"/>
    </row>
    <row r="4" spans="1:11" ht="16.5" customHeight="1">
      <c r="A4" s="52" t="s">
        <v>8</v>
      </c>
      <c r="B4" s="40" t="s">
        <v>201</v>
      </c>
      <c r="C4" s="264"/>
      <c r="D4" s="331"/>
      <c r="E4" s="331"/>
      <c r="F4" s="289"/>
      <c r="K4" s="450" t="s">
        <v>323</v>
      </c>
    </row>
    <row r="5" spans="1:11" ht="16.5" customHeight="1" thickBot="1">
      <c r="A5" s="126" t="s">
        <v>11</v>
      </c>
      <c r="B5" s="127" t="str">
        <f>"    재료비 "&amp;REPT(" ",7-LEN(I5))&amp;I5&amp;" * 8시간 * 1.00="</f>
        <v xml:space="preserve">    재료비       0 * 8시간 * 1.00=</v>
      </c>
      <c r="C5" s="265">
        <f>기계경비!N14*8</f>
        <v>0</v>
      </c>
      <c r="D5" s="340">
        <f>C5</f>
        <v>0</v>
      </c>
      <c r="E5" s="340"/>
      <c r="F5" s="334"/>
      <c r="G5" s="51" t="s">
        <v>237</v>
      </c>
      <c r="H5" s="51">
        <f>기계경비!N14</f>
        <v>0</v>
      </c>
      <c r="I5" s="435" t="str">
        <f>TEXT(H5,"###,###,##0")</f>
        <v>0</v>
      </c>
      <c r="K5" s="449">
        <f>노임단가!C4</f>
        <v>172698</v>
      </c>
    </row>
    <row r="6" spans="1:11" ht="16.5" customHeight="1">
      <c r="A6" s="126"/>
      <c r="B6" s="127" t="str">
        <f>"    노무비 "&amp;REPT(" ",7-LEN(I6))&amp;I6&amp;" * 8시간 * 1.00="</f>
        <v xml:space="preserve">    노무비  35,415 * 8시간 * 1.00=</v>
      </c>
      <c r="C6" s="264">
        <f>기계경비!O14*8</f>
        <v>283320</v>
      </c>
      <c r="D6" s="340"/>
      <c r="E6" s="340">
        <f>C6*설계내역서!AG6</f>
        <v>283320</v>
      </c>
      <c r="F6" s="334"/>
      <c r="G6" s="51" t="s">
        <v>186</v>
      </c>
      <c r="H6" s="51">
        <f>기계경비!O14</f>
        <v>35415</v>
      </c>
      <c r="I6" s="435" t="str">
        <f>TEXT(H6,"###,###,##0")</f>
        <v>35,415</v>
      </c>
    </row>
    <row r="7" spans="1:11" ht="16.5" customHeight="1">
      <c r="A7" s="126"/>
      <c r="B7" s="127" t="str">
        <f>"    경  비 "&amp;REPT(" ",7-LEN(I7))&amp;I7&amp;" * 8시간 * 1.00="</f>
        <v xml:space="preserve">    경  비  10,329 * 8시간 * 1.00=</v>
      </c>
      <c r="C7" s="265">
        <f>기계경비!P14*8</f>
        <v>82632</v>
      </c>
      <c r="D7" s="340"/>
      <c r="E7" s="340"/>
      <c r="F7" s="334">
        <f>C7</f>
        <v>82632</v>
      </c>
      <c r="G7" s="51" t="s">
        <v>238</v>
      </c>
      <c r="H7" s="51">
        <f>기계경비!P14</f>
        <v>10329</v>
      </c>
      <c r="I7" s="435" t="str">
        <f>TEXT(H7,"###,###,##0")</f>
        <v>10,329</v>
      </c>
    </row>
    <row r="8" spans="1:11" ht="16.5" customHeight="1">
      <c r="A8" s="50"/>
      <c r="B8" s="127"/>
      <c r="C8" s="266"/>
      <c r="D8" s="341"/>
      <c r="E8" s="341"/>
      <c r="F8" s="335"/>
    </row>
    <row r="9" spans="1:11" ht="12" customHeight="1">
      <c r="A9" s="50"/>
      <c r="B9" s="53" t="s">
        <v>18</v>
      </c>
      <c r="C9" s="268">
        <f>SUM(D9:F9)</f>
        <v>365952</v>
      </c>
      <c r="D9" s="278">
        <f>SUM(D5:D8)</f>
        <v>0</v>
      </c>
      <c r="E9" s="278">
        <f>SUM(E5:E8)</f>
        <v>283320</v>
      </c>
      <c r="F9" s="336">
        <f>SUM(F5:F8)</f>
        <v>82632</v>
      </c>
    </row>
    <row r="10" spans="1:11" ht="12" customHeight="1">
      <c r="A10" s="50"/>
      <c r="B10" s="53"/>
      <c r="C10" s="268"/>
      <c r="D10" s="342"/>
      <c r="E10" s="342"/>
      <c r="F10" s="336"/>
    </row>
    <row r="11" spans="1:11" ht="16.5" customHeight="1">
      <c r="A11" s="50"/>
      <c r="B11" s="53"/>
      <c r="C11" s="268"/>
      <c r="D11" s="342"/>
      <c r="E11" s="342"/>
      <c r="F11" s="336"/>
    </row>
    <row r="12" spans="1:11" ht="16.5" customHeight="1">
      <c r="A12" s="52" t="s">
        <v>13</v>
      </c>
      <c r="B12" s="53" t="str">
        <f>B3</f>
        <v xml:space="preserve"> 15톤덤프 제설작업용(제설기, 살포기 지원)</v>
      </c>
      <c r="C12" s="268"/>
      <c r="D12" s="342"/>
      <c r="E12" s="342"/>
      <c r="F12" s="336"/>
    </row>
    <row r="13" spans="1:11" ht="16.5" customHeight="1">
      <c r="A13" s="52" t="s">
        <v>10</v>
      </c>
      <c r="B13" s="40" t="s">
        <v>14</v>
      </c>
      <c r="C13" s="264"/>
      <c r="D13" s="340"/>
      <c r="E13" s="340"/>
      <c r="F13" s="334"/>
    </row>
    <row r="14" spans="1:11" ht="16.5" customHeight="1">
      <c r="A14" s="52" t="s">
        <v>11</v>
      </c>
      <c r="B14" s="127" t="str">
        <f>"    재료비 "&amp;REPT(" ",7-LEN(I14))&amp;I14&amp;" * 8시간 * 1.00="</f>
        <v xml:space="preserve">    재료비  34,887 * 8시간 * 1.00=</v>
      </c>
      <c r="C14" s="267">
        <f>기계경비!N19*8</f>
        <v>279096</v>
      </c>
      <c r="D14" s="340">
        <f>C14</f>
        <v>279096</v>
      </c>
      <c r="E14" s="340"/>
      <c r="F14" s="334"/>
      <c r="G14" s="51" t="s">
        <v>237</v>
      </c>
      <c r="H14" s="51">
        <f>기계경비!N19</f>
        <v>34887</v>
      </c>
      <c r="I14" s="435" t="str">
        <f>TEXT(H14,"###,###,##0")</f>
        <v>34,887</v>
      </c>
    </row>
    <row r="15" spans="1:11" ht="16.5" customHeight="1">
      <c r="A15" s="52" t="s">
        <v>74</v>
      </c>
      <c r="B15" s="127" t="str">
        <f>"    노무비 "&amp;REPT(" ",7-LEN(I15))&amp;I15&amp;" * 8시간 * 1.00="</f>
        <v xml:space="preserve">    노무비  59,025 * 8시간 * 1.00=</v>
      </c>
      <c r="C15" s="264">
        <f>기계경비!O19*8</f>
        <v>472200</v>
      </c>
      <c r="D15" s="340"/>
      <c r="E15" s="340">
        <f>C15</f>
        <v>472200</v>
      </c>
      <c r="F15" s="334"/>
      <c r="G15" s="51" t="s">
        <v>186</v>
      </c>
      <c r="H15" s="51">
        <f>기계경비!O19</f>
        <v>59025</v>
      </c>
      <c r="I15" s="435" t="str">
        <f>TEXT(H15,"###,###,##0")</f>
        <v>59,025</v>
      </c>
    </row>
    <row r="16" spans="1:11" ht="16.5" customHeight="1">
      <c r="A16" s="52"/>
      <c r="B16" s="127" t="str">
        <f>"    경  비 "&amp;REPT(" ",7-LEN(I16))&amp;I16&amp;" * 8시간 * 1.00="</f>
        <v xml:space="preserve">    경  비  20,659 * 8시간 * 1.00=</v>
      </c>
      <c r="C16" s="267">
        <f>기계경비!P19*8</f>
        <v>165272</v>
      </c>
      <c r="D16" s="340"/>
      <c r="E16" s="340"/>
      <c r="F16" s="334">
        <f>C16</f>
        <v>165272</v>
      </c>
      <c r="G16" s="51" t="s">
        <v>238</v>
      </c>
      <c r="H16" s="51">
        <f>기계경비!P19</f>
        <v>20659</v>
      </c>
      <c r="I16" s="435" t="str">
        <f>TEXT(H16,"###,###,##0")</f>
        <v>20,659</v>
      </c>
    </row>
    <row r="17" spans="1:6" ht="16.5" customHeight="1">
      <c r="A17" s="52"/>
      <c r="B17" s="54"/>
      <c r="C17" s="269"/>
      <c r="D17" s="342"/>
      <c r="E17" s="342"/>
      <c r="F17" s="336"/>
    </row>
    <row r="18" spans="1:6" ht="16.5" customHeight="1">
      <c r="A18" s="52"/>
      <c r="B18" s="40" t="s">
        <v>187</v>
      </c>
      <c r="C18" s="264"/>
      <c r="D18" s="340"/>
      <c r="E18" s="340"/>
      <c r="F18" s="334"/>
    </row>
    <row r="19" spans="1:6" ht="16.5" customHeight="1">
      <c r="A19" s="50"/>
      <c r="B19" s="40" t="s">
        <v>188</v>
      </c>
      <c r="C19" s="264"/>
      <c r="D19" s="340"/>
      <c r="E19" s="340"/>
      <c r="F19" s="334"/>
    </row>
    <row r="20" spans="1:6" ht="16.5" customHeight="1">
      <c r="A20" s="50"/>
      <c r="B20" s="40" t="s">
        <v>189</v>
      </c>
      <c r="C20" s="264"/>
      <c r="D20" s="340"/>
      <c r="E20" s="340"/>
      <c r="F20" s="334"/>
    </row>
    <row r="21" spans="1:6" ht="16.5" customHeight="1">
      <c r="A21" s="50"/>
      <c r="B21" s="127" t="str">
        <f>"   "&amp;TEXT(K5,"###,###,##0")&amp;" * 1(인) * 1.00 = "</f>
        <v xml:space="preserve">   172,698 * 1(인) * 1.00 = </v>
      </c>
      <c r="C21" s="267">
        <f>K5*1*1</f>
        <v>172698</v>
      </c>
      <c r="D21" s="340"/>
      <c r="E21" s="340">
        <f>C21</f>
        <v>172698</v>
      </c>
      <c r="F21" s="334"/>
    </row>
    <row r="22" spans="1:6" ht="16.5" customHeight="1">
      <c r="A22" s="50"/>
      <c r="B22" s="40"/>
      <c r="C22" s="264"/>
      <c r="D22" s="340"/>
      <c r="E22" s="340"/>
      <c r="F22" s="334"/>
    </row>
    <row r="23" spans="1:6" ht="16.5" customHeight="1">
      <c r="A23" s="50"/>
      <c r="B23" s="53" t="s">
        <v>19</v>
      </c>
      <c r="C23" s="268">
        <f>SUM(D23:F23)</f>
        <v>1089266</v>
      </c>
      <c r="D23" s="342">
        <f>SUM(D14:D22)</f>
        <v>279096</v>
      </c>
      <c r="E23" s="342">
        <f>SUM(E14:E22)</f>
        <v>644898</v>
      </c>
      <c r="F23" s="336">
        <f>SUM(F14:F22)</f>
        <v>165272</v>
      </c>
    </row>
    <row r="24" spans="1:6" ht="16.5" customHeight="1">
      <c r="A24" s="50"/>
      <c r="B24" s="54"/>
      <c r="C24" s="268"/>
      <c r="D24" s="342"/>
      <c r="E24" s="342"/>
      <c r="F24" s="336"/>
    </row>
    <row r="25" spans="1:6" ht="16.5" customHeight="1">
      <c r="A25" s="52" t="s">
        <v>13</v>
      </c>
      <c r="B25" s="53" t="str">
        <f>B12</f>
        <v xml:space="preserve"> 15톤덤프 제설작업용(제설기, 살포기 지원)</v>
      </c>
      <c r="C25" s="268"/>
      <c r="D25" s="342"/>
      <c r="E25" s="342"/>
      <c r="F25" s="336"/>
    </row>
    <row r="26" spans="1:6" ht="18.75" customHeight="1">
      <c r="A26" s="52" t="s">
        <v>10</v>
      </c>
      <c r="B26" s="40" t="s">
        <v>362</v>
      </c>
      <c r="C26" s="264"/>
      <c r="D26" s="340"/>
      <c r="E26" s="340"/>
      <c r="F26" s="334"/>
    </row>
    <row r="27" spans="1:6" s="37" customFormat="1" ht="18" customHeight="1">
      <c r="A27" s="52" t="s">
        <v>11</v>
      </c>
      <c r="B27" s="127" t="str">
        <f>"    재료비 "&amp;REPT(" ",7-LEN(I14))&amp;I14&amp;" * 8시간 * 1.00="</f>
        <v xml:space="preserve">    재료비  34,887 * 8시간 * 1.00=</v>
      </c>
      <c r="C27" s="267">
        <f>기계경비!N19*8*1</f>
        <v>279096</v>
      </c>
      <c r="D27" s="340">
        <f>C27</f>
        <v>279096</v>
      </c>
      <c r="E27" s="340"/>
      <c r="F27" s="334"/>
    </row>
    <row r="28" spans="1:6" s="37" customFormat="1" ht="18" customHeight="1">
      <c r="A28" s="126" t="s">
        <v>75</v>
      </c>
      <c r="B28" s="127" t="str">
        <f>"    노무비 "&amp;REPT(" ",7-LEN(I15))&amp;I15&amp;" * 8시간 * 1.00*1.5="</f>
        <v xml:space="preserve">    노무비  59,025 * 8시간 * 1.00*1.5=</v>
      </c>
      <c r="C28" s="264">
        <v>682488</v>
      </c>
      <c r="D28" s="340"/>
      <c r="E28" s="340">
        <f>C28</f>
        <v>682488</v>
      </c>
      <c r="F28" s="334"/>
    </row>
    <row r="29" spans="1:6" s="37" customFormat="1" ht="18" customHeight="1">
      <c r="A29" s="52"/>
      <c r="B29" s="127" t="str">
        <f>"    경  비 "&amp;REPT(" ",7-LEN(I16))&amp;I16&amp;" * 8시간 * 1.00="</f>
        <v xml:space="preserve">    경  비  20,659 * 8시간 * 1.00=</v>
      </c>
      <c r="C29" s="267">
        <f>기계경비!P19*8</f>
        <v>165272</v>
      </c>
      <c r="D29" s="340"/>
      <c r="E29" s="340"/>
      <c r="F29" s="334">
        <f>C29</f>
        <v>165272</v>
      </c>
    </row>
    <row r="30" spans="1:6" s="37" customFormat="1" ht="18" customHeight="1">
      <c r="A30" s="126"/>
      <c r="B30" s="53"/>
      <c r="C30" s="268"/>
      <c r="D30" s="342"/>
      <c r="E30" s="342"/>
      <c r="F30" s="336"/>
    </row>
    <row r="31" spans="1:6" s="37" customFormat="1" ht="18" customHeight="1">
      <c r="A31" s="35"/>
      <c r="B31" s="40" t="s">
        <v>192</v>
      </c>
      <c r="C31" s="264"/>
      <c r="D31" s="280"/>
      <c r="E31" s="280"/>
      <c r="F31" s="337"/>
    </row>
    <row r="32" spans="1:6" s="37" customFormat="1" ht="18" customHeight="1">
      <c r="A32" s="35"/>
      <c r="B32" s="40" t="s">
        <v>15</v>
      </c>
      <c r="C32" s="264"/>
      <c r="D32" s="280"/>
      <c r="E32" s="280"/>
      <c r="F32" s="337"/>
    </row>
    <row r="33" spans="1:6" s="37" customFormat="1" ht="18" customHeight="1">
      <c r="A33" s="35"/>
      <c r="B33" s="40" t="s">
        <v>188</v>
      </c>
      <c r="C33" s="264"/>
      <c r="D33" s="280"/>
      <c r="E33" s="280"/>
      <c r="F33" s="337"/>
    </row>
    <row r="34" spans="1:6" s="37" customFormat="1" ht="18" customHeight="1">
      <c r="A34" s="35"/>
      <c r="B34" s="40" t="s">
        <v>189</v>
      </c>
      <c r="C34" s="264"/>
      <c r="D34" s="280"/>
      <c r="E34" s="280"/>
      <c r="F34" s="337"/>
    </row>
    <row r="35" spans="1:6" s="37" customFormat="1" ht="18" customHeight="1">
      <c r="A35" s="35"/>
      <c r="B35" s="127" t="str">
        <f>"   "&amp;TEXT(K5,"###,###,##0")&amp;" * 1(인) * 1.50 = "</f>
        <v xml:space="preserve">   172,698 * 1(인) * 1.50 = </v>
      </c>
      <c r="C35" s="267">
        <f>K5*1*1.5</f>
        <v>259047</v>
      </c>
      <c r="D35" s="280"/>
      <c r="E35" s="280">
        <f>C35</f>
        <v>259047</v>
      </c>
      <c r="F35" s="337"/>
    </row>
    <row r="36" spans="1:6" s="37" customFormat="1" ht="18" customHeight="1">
      <c r="A36" s="35"/>
      <c r="B36" s="54"/>
      <c r="C36" s="268"/>
      <c r="D36" s="280"/>
      <c r="E36" s="280"/>
      <c r="F36" s="337"/>
    </row>
    <row r="37" spans="1:6" s="37" customFormat="1" ht="18" customHeight="1">
      <c r="A37" s="35"/>
      <c r="B37" s="53" t="s">
        <v>19</v>
      </c>
      <c r="C37" s="268">
        <f>SUM(D37:F37)</f>
        <v>1385903</v>
      </c>
      <c r="D37" s="342">
        <f>SUM(D27:D36)</f>
        <v>279096</v>
      </c>
      <c r="E37" s="342">
        <f>SUM(E27:E36)</f>
        <v>941535</v>
      </c>
      <c r="F37" s="336">
        <f>SUM(F27:F36)</f>
        <v>165272</v>
      </c>
    </row>
    <row r="38" spans="1:6" ht="18" customHeight="1">
      <c r="A38" s="35"/>
      <c r="B38" s="36"/>
      <c r="C38" s="270"/>
      <c r="D38" s="280"/>
      <c r="E38" s="280"/>
      <c r="F38" s="337"/>
    </row>
    <row r="39" spans="1:6" ht="18" customHeight="1">
      <c r="A39" s="35"/>
      <c r="B39" s="36"/>
      <c r="C39" s="270"/>
      <c r="D39" s="280"/>
      <c r="E39" s="280"/>
      <c r="F39" s="337"/>
    </row>
    <row r="40" spans="1:6" ht="9" customHeight="1" thickBot="1">
      <c r="A40" s="41"/>
      <c r="B40" s="46"/>
      <c r="C40" s="271"/>
      <c r="D40" s="281"/>
      <c r="E40" s="281"/>
      <c r="F40" s="338"/>
    </row>
  </sheetData>
  <phoneticPr fontId="10" type="noConversion"/>
  <printOptions horizontalCentered="1" gridLinesSet="0"/>
  <pageMargins left="0.39" right="0.34" top="0.98425196850393704" bottom="0.52" header="0.51181102362204722" footer="0.27"/>
  <pageSetup paperSize="9" scale="88" orientation="portrait" horizontalDpi="4294967292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theme="9" tint="0.39997558519241921"/>
  </sheetPr>
  <dimension ref="A1:K40"/>
  <sheetViews>
    <sheetView topLeftCell="A10" workbookViewId="0">
      <selection activeCell="B29" sqref="B29"/>
    </sheetView>
  </sheetViews>
  <sheetFormatPr defaultColWidth="9.140625" defaultRowHeight="18" customHeight="1"/>
  <cols>
    <col min="1" max="1" width="11" style="42" customWidth="1"/>
    <col min="2" max="2" width="38.28515625" style="37" customWidth="1"/>
    <col min="3" max="3" width="14.140625" style="292" bestFit="1" customWidth="1"/>
    <col min="4" max="5" width="12.28515625" style="293" bestFit="1" customWidth="1"/>
    <col min="6" max="6" width="14.140625" style="293" bestFit="1" customWidth="1"/>
    <col min="7" max="7" width="9.140625" style="37"/>
    <col min="8" max="8" width="9.7109375" style="37" bestFit="1" customWidth="1"/>
    <col min="9" max="10" width="9.140625" style="37"/>
    <col min="11" max="11" width="12.28515625" style="37" bestFit="1" customWidth="1"/>
    <col min="12" max="16384" width="9.140625" style="37"/>
  </cols>
  <sheetData>
    <row r="1" spans="1:11" s="34" customFormat="1" ht="18" customHeight="1" thickBot="1">
      <c r="A1" s="47" t="s">
        <v>2</v>
      </c>
      <c r="B1" s="48" t="s">
        <v>3</v>
      </c>
      <c r="C1" s="263"/>
      <c r="D1" s="273" t="s">
        <v>256</v>
      </c>
      <c r="E1" s="273" t="s">
        <v>280</v>
      </c>
      <c r="F1" s="333" t="s">
        <v>279</v>
      </c>
    </row>
    <row r="2" spans="1:11" ht="18" customHeight="1">
      <c r="A2" s="50"/>
      <c r="B2" s="40"/>
      <c r="C2" s="264"/>
      <c r="D2" s="274"/>
      <c r="E2" s="274"/>
      <c r="F2" s="289"/>
    </row>
    <row r="3" spans="1:11" ht="18" customHeight="1" thickBot="1">
      <c r="A3" s="52" t="s">
        <v>7</v>
      </c>
      <c r="B3" s="53" t="s">
        <v>71</v>
      </c>
      <c r="C3" s="264"/>
      <c r="D3" s="274"/>
      <c r="E3" s="274"/>
      <c r="F3" s="289"/>
    </row>
    <row r="4" spans="1:11" ht="18" customHeight="1">
      <c r="A4" s="52" t="s">
        <v>8</v>
      </c>
      <c r="B4" s="40" t="s">
        <v>72</v>
      </c>
      <c r="C4" s="264"/>
      <c r="D4" s="274"/>
      <c r="E4" s="274"/>
      <c r="F4" s="289"/>
      <c r="K4" s="450" t="s">
        <v>323</v>
      </c>
    </row>
    <row r="5" spans="1:11" ht="18" customHeight="1" thickBot="1">
      <c r="A5" s="52" t="s">
        <v>9</v>
      </c>
      <c r="B5" s="127" t="str">
        <f>"    재료비 "&amp;REPT(" ",7-LEN(I5))&amp;I5&amp;" * 8시간 * 1.00="</f>
        <v xml:space="preserve">    재료비       0 * 8시간 * 1.00=</v>
      </c>
      <c r="C5" s="264">
        <f>기계경비!N4*8*1</f>
        <v>0</v>
      </c>
      <c r="D5" s="274">
        <f>C5</f>
        <v>0</v>
      </c>
      <c r="E5" s="274"/>
      <c r="F5" s="289"/>
      <c r="G5" s="202" t="s">
        <v>240</v>
      </c>
      <c r="H5" s="37">
        <f>기계경비!N4</f>
        <v>0</v>
      </c>
      <c r="I5" s="435" t="str">
        <f>TEXT(H5,"###,###,##0")</f>
        <v>0</v>
      </c>
      <c r="K5" s="449">
        <f>노임단가!C4</f>
        <v>172698</v>
      </c>
    </row>
    <row r="6" spans="1:11" ht="18" customHeight="1">
      <c r="A6" s="50"/>
      <c r="B6" s="127" t="str">
        <f>"    노무비 "&amp;REPT(" ",7-LEN(I6))&amp;I6&amp;" * 8시간 * 1.00="</f>
        <v xml:space="preserve">    노무비  35,415 * 8시간 * 1.00=</v>
      </c>
      <c r="C6" s="264">
        <f>기계경비!O4*8</f>
        <v>283320</v>
      </c>
      <c r="D6" s="274"/>
      <c r="E6" s="274">
        <f>C6*설계내역서!AG6</f>
        <v>283320</v>
      </c>
      <c r="F6" s="289"/>
      <c r="G6" s="202" t="s">
        <v>180</v>
      </c>
      <c r="H6" s="37">
        <f>기계경비!O4</f>
        <v>35415</v>
      </c>
      <c r="I6" s="435" t="str">
        <f>TEXT(H6,"###,###,##0")</f>
        <v>35,415</v>
      </c>
    </row>
    <row r="7" spans="1:11" ht="18" customHeight="1">
      <c r="A7" s="52"/>
      <c r="B7" s="127" t="str">
        <f>"    경  비 "&amp;REPT(" ",7-LEN(I7))&amp;I7&amp;" * 8시간 * 1.00="</f>
        <v xml:space="preserve">    경  비  12,801 * 8시간 * 1.00=</v>
      </c>
      <c r="C7" s="264">
        <f>H7*8*1</f>
        <v>102408</v>
      </c>
      <c r="D7" s="274"/>
      <c r="E7" s="274"/>
      <c r="F7" s="289">
        <f>C7</f>
        <v>102408</v>
      </c>
      <c r="G7" s="202" t="s">
        <v>241</v>
      </c>
      <c r="H7" s="37">
        <f>기계경비!P4</f>
        <v>12801</v>
      </c>
      <c r="I7" s="435" t="str">
        <f>TEXT(H7,"###,###,##0")</f>
        <v>12,801</v>
      </c>
    </row>
    <row r="8" spans="1:11" ht="18" customHeight="1">
      <c r="A8" s="50"/>
      <c r="B8" s="40"/>
      <c r="C8" s="264"/>
      <c r="D8" s="274"/>
      <c r="E8" s="274"/>
      <c r="F8" s="289"/>
      <c r="G8" s="202"/>
    </row>
    <row r="9" spans="1:11" s="51" customFormat="1" ht="12" customHeight="1">
      <c r="A9" s="50"/>
      <c r="B9" s="53"/>
      <c r="C9" s="268"/>
      <c r="D9" s="278"/>
      <c r="E9" s="278"/>
      <c r="F9" s="336"/>
    </row>
    <row r="10" spans="1:11" ht="18" customHeight="1">
      <c r="A10" s="50"/>
      <c r="B10" s="53" t="s">
        <v>67</v>
      </c>
      <c r="C10" s="268">
        <f>SUM(D10:F10)</f>
        <v>385728</v>
      </c>
      <c r="D10" s="343">
        <f>SUM(D5:D9)</f>
        <v>0</v>
      </c>
      <c r="E10" s="343">
        <f>SUM(E5:E9)</f>
        <v>283320</v>
      </c>
      <c r="F10" s="344">
        <f>SUM(F5:F9)</f>
        <v>102408</v>
      </c>
    </row>
    <row r="11" spans="1:11" ht="18" customHeight="1">
      <c r="A11" s="52"/>
      <c r="B11" s="53"/>
      <c r="C11" s="264"/>
      <c r="D11" s="274"/>
      <c r="E11" s="274"/>
      <c r="F11" s="289"/>
    </row>
    <row r="12" spans="1:11" ht="18" customHeight="1">
      <c r="A12" s="52" t="s">
        <v>7</v>
      </c>
      <c r="B12" s="53" t="s">
        <v>71</v>
      </c>
      <c r="C12" s="264"/>
      <c r="D12" s="274"/>
      <c r="E12" s="274"/>
      <c r="F12" s="289"/>
    </row>
    <row r="13" spans="1:11" ht="18" customHeight="1">
      <c r="A13" s="52" t="s">
        <v>10</v>
      </c>
      <c r="B13" s="40" t="s">
        <v>73</v>
      </c>
      <c r="C13" s="264"/>
      <c r="D13" s="274"/>
      <c r="E13" s="274"/>
      <c r="F13" s="275"/>
    </row>
    <row r="14" spans="1:11" ht="18" customHeight="1">
      <c r="A14" s="52" t="s">
        <v>11</v>
      </c>
      <c r="B14" s="127" t="str">
        <f>"    재료비 "&amp;REPT(" ",7-LEN(I14))&amp;I14&amp;" * 8시간 * 1.00="</f>
        <v xml:space="preserve">    재료비  22,870 * 8시간 * 1.00=</v>
      </c>
      <c r="C14" s="264">
        <f>기계경비!N9*8*1</f>
        <v>182960</v>
      </c>
      <c r="D14" s="274">
        <f>C14</f>
        <v>182960</v>
      </c>
      <c r="E14" s="274"/>
      <c r="F14" s="275"/>
      <c r="G14" s="202" t="s">
        <v>240</v>
      </c>
      <c r="H14" s="37">
        <f>기계경비!N9</f>
        <v>22870</v>
      </c>
      <c r="I14" s="435" t="str">
        <f>TEXT(H14,"###,###,##0")</f>
        <v>22,870</v>
      </c>
    </row>
    <row r="15" spans="1:11" ht="18" customHeight="1">
      <c r="A15" s="52" t="s">
        <v>143</v>
      </c>
      <c r="B15" s="127" t="str">
        <f>"    노무비 "&amp;REPT(" ",7-LEN(I15))&amp;I15&amp;" * 8시간 * 1.00="</f>
        <v xml:space="preserve">    노무비  59,025 * 8시간 * 1.00=</v>
      </c>
      <c r="C15" s="264">
        <f>기계경비!O9*8</f>
        <v>472200</v>
      </c>
      <c r="D15" s="274"/>
      <c r="E15" s="274">
        <f>C15</f>
        <v>472200</v>
      </c>
      <c r="F15" s="275"/>
      <c r="G15" s="202" t="s">
        <v>180</v>
      </c>
      <c r="H15" s="37">
        <f>기계경비!O9</f>
        <v>59025</v>
      </c>
      <c r="I15" s="435" t="str">
        <f>TEXT(H15,"###,###,##0")</f>
        <v>59,025</v>
      </c>
    </row>
    <row r="16" spans="1:11" ht="18" customHeight="1">
      <c r="A16" s="52"/>
      <c r="B16" s="127" t="str">
        <f>"    경  비 "&amp;REPT(" ",7-LEN(I16))&amp;I16&amp;" * 8시간 * 1.00="</f>
        <v xml:space="preserve">    경  비  25,602 * 8시간 * 1.00=</v>
      </c>
      <c r="C16" s="264">
        <f>기계경비!P9*8</f>
        <v>204816</v>
      </c>
      <c r="D16" s="274"/>
      <c r="E16" s="274"/>
      <c r="F16" s="275">
        <f>C16</f>
        <v>204816</v>
      </c>
      <c r="G16" s="202" t="s">
        <v>241</v>
      </c>
      <c r="H16" s="37">
        <f>기계경비!P9</f>
        <v>25602</v>
      </c>
      <c r="I16" s="435" t="str">
        <f>TEXT(H16,"###,###,##0")</f>
        <v>25,602</v>
      </c>
    </row>
    <row r="17" spans="1:8" ht="18" customHeight="1">
      <c r="A17" s="50"/>
      <c r="B17" s="53"/>
      <c r="C17" s="268"/>
      <c r="D17" s="345"/>
      <c r="E17" s="345"/>
      <c r="F17" s="344"/>
    </row>
    <row r="18" spans="1:8" s="203" customFormat="1" ht="18" customHeight="1">
      <c r="A18" s="52"/>
      <c r="B18" s="40" t="s">
        <v>181</v>
      </c>
      <c r="C18" s="264"/>
      <c r="D18" s="276"/>
      <c r="E18" s="276"/>
      <c r="F18" s="277"/>
      <c r="G18" s="51"/>
      <c r="H18" s="51"/>
    </row>
    <row r="19" spans="1:8" s="203" customFormat="1" ht="18" customHeight="1">
      <c r="A19" s="50"/>
      <c r="B19" s="40" t="s">
        <v>182</v>
      </c>
      <c r="C19" s="264"/>
      <c r="D19" s="276"/>
      <c r="E19" s="276"/>
      <c r="F19" s="277"/>
      <c r="G19" s="51"/>
      <c r="H19" s="51"/>
    </row>
    <row r="20" spans="1:8" s="203" customFormat="1" ht="18" customHeight="1">
      <c r="A20" s="50"/>
      <c r="B20" s="40" t="s">
        <v>183</v>
      </c>
      <c r="C20" s="264"/>
      <c r="D20" s="276"/>
      <c r="E20" s="276"/>
      <c r="F20" s="277"/>
      <c r="G20" s="51"/>
      <c r="H20" s="51"/>
    </row>
    <row r="21" spans="1:8" s="203" customFormat="1" ht="18" customHeight="1">
      <c r="A21" s="50"/>
      <c r="B21" s="127" t="str">
        <f>"    "&amp;TEXT(K5,"###,###,##0")&amp;" * 1(인) * 1.00 = "</f>
        <v xml:space="preserve">    172,698 * 1(인) * 1.00 = </v>
      </c>
      <c r="C21" s="267">
        <f>ROUNDDOWN(K5*1*1,0)</f>
        <v>172698</v>
      </c>
      <c r="D21" s="276"/>
      <c r="E21" s="276">
        <f>C21</f>
        <v>172698</v>
      </c>
      <c r="F21" s="277"/>
    </row>
    <row r="22" spans="1:8" ht="18" customHeight="1">
      <c r="A22" s="50"/>
      <c r="B22" s="53" t="s">
        <v>67</v>
      </c>
      <c r="C22" s="268">
        <f>SUM(D22:F22)</f>
        <v>1032674</v>
      </c>
      <c r="D22" s="345">
        <f>SUM(D14:D21)</f>
        <v>182960</v>
      </c>
      <c r="E22" s="345">
        <f>SUM(E14:E21)</f>
        <v>644898</v>
      </c>
      <c r="F22" s="344">
        <f>SUM(F14:F21)</f>
        <v>204816</v>
      </c>
    </row>
    <row r="23" spans="1:8" ht="18" customHeight="1">
      <c r="A23" s="50"/>
      <c r="B23" s="53"/>
      <c r="C23" s="268"/>
      <c r="D23" s="345"/>
      <c r="E23" s="345"/>
      <c r="F23" s="344"/>
    </row>
    <row r="24" spans="1:8" ht="18" customHeight="1">
      <c r="A24" s="50"/>
      <c r="B24" s="123"/>
      <c r="C24" s="264"/>
      <c r="D24" s="274"/>
      <c r="E24" s="274"/>
      <c r="F24" s="275"/>
    </row>
    <row r="25" spans="1:8" ht="18" customHeight="1">
      <c r="A25" s="52" t="s">
        <v>7</v>
      </c>
      <c r="B25" s="53" t="s">
        <v>71</v>
      </c>
      <c r="C25" s="264"/>
      <c r="D25" s="274"/>
      <c r="E25" s="274"/>
      <c r="F25" s="289"/>
    </row>
    <row r="26" spans="1:8" ht="18" customHeight="1">
      <c r="A26" s="52" t="s">
        <v>10</v>
      </c>
      <c r="B26" s="40" t="s">
        <v>363</v>
      </c>
      <c r="C26" s="264"/>
      <c r="D26" s="274"/>
      <c r="E26" s="274"/>
      <c r="F26" s="275"/>
    </row>
    <row r="27" spans="1:8" ht="18" customHeight="1">
      <c r="A27" s="52" t="s">
        <v>11</v>
      </c>
      <c r="B27" s="127" t="str">
        <f>"    재료비 "&amp;REPT(" ",7-LEN(I14))&amp;I14&amp;" * 8시간 * 1.00="</f>
        <v xml:space="preserve">    재료비  22,870 * 8시간 * 1.00=</v>
      </c>
      <c r="C27" s="264">
        <f>기계경비!N9*8*1*1</f>
        <v>182960</v>
      </c>
      <c r="D27" s="274">
        <f>C27</f>
        <v>182960</v>
      </c>
      <c r="E27" s="274"/>
      <c r="F27" s="275"/>
    </row>
    <row r="28" spans="1:8" ht="18" customHeight="1">
      <c r="A28" s="52" t="s">
        <v>144</v>
      </c>
      <c r="B28" s="127" t="str">
        <f>"    노무비 "&amp;REPT(" ",7-LEN(I15))&amp;I15&amp;" * 8시간 * 1.00*1.5="</f>
        <v xml:space="preserve">    노무비  59,025 * 8시간 * 1.00*1.5=</v>
      </c>
      <c r="C28" s="264">
        <v>682488</v>
      </c>
      <c r="D28" s="274"/>
      <c r="E28" s="274">
        <f>C28</f>
        <v>682488</v>
      </c>
      <c r="F28" s="275"/>
    </row>
    <row r="29" spans="1:8" ht="18" customHeight="1">
      <c r="A29" s="52"/>
      <c r="B29" s="127" t="str">
        <f>"    경  비 "&amp;REPT(" ",7-LEN(I16))&amp;I16&amp;" * 8시간 * 1.00="</f>
        <v xml:space="preserve">    경  비  25,602 * 8시간 * 1.00=</v>
      </c>
      <c r="C29" s="264">
        <f>기계경비!P9*8*1</f>
        <v>204816</v>
      </c>
      <c r="D29" s="274"/>
      <c r="E29" s="274"/>
      <c r="F29" s="275">
        <f>C29</f>
        <v>204816</v>
      </c>
    </row>
    <row r="30" spans="1:8" ht="18" customHeight="1">
      <c r="A30" s="50"/>
      <c r="B30" s="40"/>
      <c r="C30" s="264"/>
      <c r="D30" s="274"/>
      <c r="E30" s="274"/>
      <c r="F30" s="289"/>
    </row>
    <row r="31" spans="1:8" ht="18" customHeight="1">
      <c r="A31" s="50"/>
      <c r="B31" s="40" t="s">
        <v>184</v>
      </c>
      <c r="C31" s="264"/>
      <c r="D31" s="276"/>
      <c r="E31" s="276"/>
      <c r="F31" s="346"/>
    </row>
    <row r="32" spans="1:8" ht="18" customHeight="1">
      <c r="A32" s="50"/>
      <c r="B32" s="40" t="s">
        <v>185</v>
      </c>
      <c r="C32" s="264"/>
      <c r="D32" s="276"/>
      <c r="E32" s="276"/>
      <c r="F32" s="346"/>
    </row>
    <row r="33" spans="1:6" ht="18" customHeight="1">
      <c r="A33" s="50"/>
      <c r="B33" s="40" t="s">
        <v>182</v>
      </c>
      <c r="C33" s="264"/>
      <c r="D33" s="276"/>
      <c r="E33" s="276"/>
      <c r="F33" s="346"/>
    </row>
    <row r="34" spans="1:6" ht="18" customHeight="1">
      <c r="A34" s="50"/>
      <c r="B34" s="40" t="s">
        <v>183</v>
      </c>
      <c r="C34" s="264"/>
      <c r="D34" s="276"/>
      <c r="E34" s="276"/>
      <c r="F34" s="346"/>
    </row>
    <row r="35" spans="1:6" ht="18" customHeight="1">
      <c r="A35" s="50"/>
      <c r="B35" s="127" t="str">
        <f>"    "&amp;TEXT(K5,"###,###,##0")&amp;" * 1(인) * 1.50 = "</f>
        <v xml:space="preserve">    172,698 * 1(인) * 1.50 = </v>
      </c>
      <c r="C35" s="267">
        <f>ROUNDDOWN(K5*1*1.5,)</f>
        <v>259047</v>
      </c>
      <c r="D35" s="276"/>
      <c r="E35" s="276">
        <f>INT(C35)</f>
        <v>259047</v>
      </c>
      <c r="F35" s="346"/>
    </row>
    <row r="36" spans="1:6" ht="18" customHeight="1">
      <c r="A36" s="50"/>
      <c r="B36" s="53" t="s">
        <v>67</v>
      </c>
      <c r="C36" s="268">
        <f>SUM(D36:F36)</f>
        <v>1329311</v>
      </c>
      <c r="D36" s="345">
        <f>SUM(D27:D35)</f>
        <v>182960</v>
      </c>
      <c r="E36" s="345">
        <f>SUM(E27:E35)</f>
        <v>941535</v>
      </c>
      <c r="F36" s="344">
        <f>SUM(F27:F35)</f>
        <v>204816</v>
      </c>
    </row>
    <row r="37" spans="1:6" ht="18" customHeight="1">
      <c r="A37" s="50"/>
      <c r="B37" s="40"/>
      <c r="C37" s="349"/>
      <c r="D37" s="331"/>
      <c r="E37" s="331"/>
      <c r="F37" s="275"/>
    </row>
    <row r="38" spans="1:6" ht="18" customHeight="1">
      <c r="A38" s="50"/>
      <c r="B38" s="40"/>
      <c r="C38" s="349"/>
      <c r="D38" s="331"/>
      <c r="E38" s="331"/>
      <c r="F38" s="275"/>
    </row>
    <row r="39" spans="1:6" ht="18" customHeight="1">
      <c r="A39" s="50"/>
      <c r="B39" s="40"/>
      <c r="C39" s="349"/>
      <c r="D39" s="331"/>
      <c r="E39" s="331"/>
      <c r="F39" s="275"/>
    </row>
    <row r="40" spans="1:6" ht="18" customHeight="1" thickBot="1">
      <c r="A40" s="124"/>
      <c r="B40" s="125"/>
      <c r="C40" s="350"/>
      <c r="D40" s="347"/>
      <c r="E40" s="347"/>
      <c r="F40" s="348"/>
    </row>
  </sheetData>
  <phoneticPr fontId="10" type="noConversion"/>
  <pageMargins left="0.69" right="0.75" top="1" bottom="0.61" header="0.5" footer="0.5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9" tint="0.39997558519241921"/>
  </sheetPr>
  <dimension ref="A1:G43"/>
  <sheetViews>
    <sheetView workbookViewId="0">
      <selection activeCell="B5" sqref="B5"/>
    </sheetView>
  </sheetViews>
  <sheetFormatPr defaultColWidth="10.28515625" defaultRowHeight="18" customHeight="1"/>
  <cols>
    <col min="1" max="1" width="11.28515625" style="401" customWidth="1"/>
    <col min="2" max="2" width="38.5703125" style="384" customWidth="1"/>
    <col min="3" max="3" width="14.5703125" style="402" bestFit="1" customWidth="1"/>
    <col min="4" max="6" width="13.42578125" style="403" customWidth="1"/>
    <col min="7" max="16384" width="10.28515625" style="384"/>
  </cols>
  <sheetData>
    <row r="1" spans="1:7" s="379" customFormat="1" ht="18" customHeight="1" thickBot="1">
      <c r="A1" s="374" t="s">
        <v>2</v>
      </c>
      <c r="B1" s="375" t="s">
        <v>3</v>
      </c>
      <c r="C1" s="376"/>
      <c r="D1" s="377" t="s">
        <v>4</v>
      </c>
      <c r="E1" s="377" t="s">
        <v>5</v>
      </c>
      <c r="F1" s="378" t="s">
        <v>6</v>
      </c>
    </row>
    <row r="2" spans="1:7" ht="18" customHeight="1">
      <c r="A2" s="380"/>
      <c r="B2" s="381"/>
      <c r="C2" s="382"/>
      <c r="D2" s="383"/>
      <c r="E2" s="383"/>
      <c r="F2" s="337"/>
    </row>
    <row r="3" spans="1:7" ht="18" customHeight="1">
      <c r="A3" s="385" t="s">
        <v>13</v>
      </c>
      <c r="B3" s="386" t="s">
        <v>63</v>
      </c>
      <c r="C3" s="382"/>
      <c r="D3" s="383"/>
      <c r="E3" s="383"/>
      <c r="F3" s="279"/>
    </row>
    <row r="4" spans="1:7" ht="18" customHeight="1">
      <c r="A4" s="385" t="s">
        <v>64</v>
      </c>
      <c r="B4" s="386" t="s">
        <v>65</v>
      </c>
      <c r="C4" s="382"/>
      <c r="D4" s="383"/>
      <c r="E4" s="383"/>
      <c r="F4" s="279"/>
    </row>
    <row r="5" spans="1:7" ht="18" customHeight="1">
      <c r="A5" s="385" t="s">
        <v>66</v>
      </c>
      <c r="B5" s="387" t="str">
        <f>"    노무비 "&amp;TEXT(G5,"###,###,##0")&amp;" * 8시간 * 4회 ="</f>
        <v xml:space="preserve">    노무비 35,415 * 8시간 * 4회 =</v>
      </c>
      <c r="C5" s="382">
        <f>기계경비!O14*8*4</f>
        <v>1133280</v>
      </c>
      <c r="D5" s="383"/>
      <c r="E5" s="383">
        <f>C5</f>
        <v>1133280</v>
      </c>
      <c r="F5" s="337"/>
      <c r="G5" s="402">
        <f>기계경비!O14</f>
        <v>35415</v>
      </c>
    </row>
    <row r="6" spans="1:7" ht="18" customHeight="1">
      <c r="A6" s="380"/>
      <c r="B6" s="381"/>
      <c r="C6" s="382"/>
      <c r="D6" s="383"/>
      <c r="E6" s="383"/>
      <c r="F6" s="279"/>
    </row>
    <row r="7" spans="1:7" ht="18" customHeight="1">
      <c r="A7" s="380"/>
      <c r="B7" s="388" t="s">
        <v>18</v>
      </c>
      <c r="C7" s="389">
        <f>SUM(D7:F7)</f>
        <v>1133280</v>
      </c>
      <c r="D7" s="391">
        <f>D5</f>
        <v>0</v>
      </c>
      <c r="E7" s="391">
        <f>E5</f>
        <v>1133280</v>
      </c>
      <c r="F7" s="392">
        <f>F5</f>
        <v>0</v>
      </c>
    </row>
    <row r="8" spans="1:7" ht="18" customHeight="1">
      <c r="A8" s="380"/>
      <c r="B8" s="381"/>
      <c r="C8" s="382"/>
      <c r="D8" s="383"/>
      <c r="E8" s="383"/>
      <c r="F8" s="279"/>
    </row>
    <row r="9" spans="1:7" ht="18" customHeight="1">
      <c r="A9" s="380"/>
      <c r="B9" s="381"/>
      <c r="C9" s="382"/>
      <c r="D9" s="383"/>
      <c r="E9" s="383"/>
      <c r="F9" s="279"/>
    </row>
    <row r="10" spans="1:7" ht="18" customHeight="1">
      <c r="A10" s="385"/>
      <c r="B10" s="386"/>
      <c r="C10" s="382"/>
      <c r="D10" s="383"/>
      <c r="E10" s="383"/>
      <c r="F10" s="337"/>
    </row>
    <row r="11" spans="1:7" ht="18" customHeight="1">
      <c r="A11" s="385"/>
      <c r="B11" s="386"/>
      <c r="C11" s="382"/>
      <c r="D11" s="383"/>
      <c r="E11" s="383"/>
      <c r="F11" s="337"/>
    </row>
    <row r="12" spans="1:7" ht="18" customHeight="1">
      <c r="A12" s="385"/>
      <c r="B12" s="381"/>
      <c r="C12" s="382"/>
      <c r="D12" s="383"/>
      <c r="E12" s="383"/>
      <c r="F12" s="337"/>
    </row>
    <row r="13" spans="1:7" ht="18" customHeight="1">
      <c r="A13" s="380"/>
      <c r="C13" s="382"/>
      <c r="D13" s="383"/>
      <c r="E13" s="383"/>
      <c r="F13" s="279"/>
    </row>
    <row r="14" spans="1:7" ht="18" customHeight="1">
      <c r="A14" s="380"/>
      <c r="B14" s="388"/>
      <c r="C14" s="389"/>
      <c r="D14" s="391"/>
      <c r="E14" s="391"/>
      <c r="F14" s="392"/>
    </row>
    <row r="15" spans="1:7" ht="18" customHeight="1">
      <c r="A15" s="380"/>
      <c r="B15" s="388"/>
      <c r="C15" s="393"/>
      <c r="D15" s="390"/>
      <c r="E15" s="390"/>
      <c r="F15" s="394"/>
    </row>
    <row r="16" spans="1:7" ht="18" customHeight="1">
      <c r="A16" s="380"/>
      <c r="B16" s="388"/>
      <c r="C16" s="393"/>
      <c r="D16" s="383"/>
      <c r="E16" s="383"/>
      <c r="F16" s="337"/>
    </row>
    <row r="17" spans="1:6" ht="18" customHeight="1">
      <c r="A17" s="380"/>
      <c r="B17" s="395"/>
      <c r="C17" s="382"/>
      <c r="D17" s="383"/>
      <c r="E17" s="383"/>
      <c r="F17" s="337"/>
    </row>
    <row r="18" spans="1:6" ht="18" customHeight="1">
      <c r="A18" s="380"/>
      <c r="B18" s="386"/>
      <c r="C18" s="382"/>
      <c r="D18" s="383"/>
      <c r="E18" s="383"/>
      <c r="F18" s="337"/>
    </row>
    <row r="19" spans="1:6" ht="18" customHeight="1">
      <c r="A19" s="380"/>
      <c r="B19" s="381"/>
      <c r="C19" s="382"/>
      <c r="D19" s="383"/>
      <c r="E19" s="383"/>
      <c r="F19" s="337"/>
    </row>
    <row r="20" spans="1:6" ht="18" customHeight="1">
      <c r="A20" s="380"/>
      <c r="C20" s="382"/>
      <c r="D20" s="383"/>
      <c r="E20" s="383"/>
      <c r="F20" s="279"/>
    </row>
    <row r="21" spans="1:6" ht="18" customHeight="1">
      <c r="A21" s="380"/>
      <c r="B21" s="388"/>
      <c r="C21" s="393"/>
      <c r="D21" s="391"/>
      <c r="E21" s="391"/>
      <c r="F21" s="392"/>
    </row>
    <row r="22" spans="1:6" ht="18" customHeight="1">
      <c r="A22" s="380"/>
      <c r="B22" s="381"/>
      <c r="C22" s="382"/>
      <c r="D22" s="383"/>
      <c r="E22" s="383"/>
      <c r="F22" s="279"/>
    </row>
    <row r="23" spans="1:6" ht="18" customHeight="1">
      <c r="A23" s="380"/>
      <c r="B23" s="381"/>
      <c r="C23" s="382"/>
      <c r="D23" s="383"/>
      <c r="E23" s="383"/>
      <c r="F23" s="337"/>
    </row>
    <row r="24" spans="1:6" ht="18" customHeight="1">
      <c r="A24" s="380"/>
      <c r="B24" s="381"/>
      <c r="C24" s="382"/>
      <c r="D24" s="383"/>
      <c r="E24" s="383"/>
      <c r="F24" s="337"/>
    </row>
    <row r="25" spans="1:6" ht="18" customHeight="1">
      <c r="A25" s="380"/>
      <c r="B25" s="396"/>
      <c r="C25" s="382"/>
      <c r="D25" s="383"/>
      <c r="E25" s="383"/>
      <c r="F25" s="279"/>
    </row>
    <row r="26" spans="1:6" ht="18" customHeight="1">
      <c r="A26" s="380"/>
      <c r="B26" s="381"/>
      <c r="C26" s="382"/>
      <c r="D26" s="383"/>
      <c r="E26" s="383"/>
      <c r="F26" s="279"/>
    </row>
    <row r="27" spans="1:6" ht="18" customHeight="1">
      <c r="A27" s="380"/>
      <c r="B27" s="381"/>
      <c r="C27" s="382"/>
      <c r="D27" s="383"/>
      <c r="E27" s="383"/>
      <c r="F27" s="279"/>
    </row>
    <row r="28" spans="1:6" ht="18" customHeight="1">
      <c r="A28" s="380"/>
      <c r="B28" s="381"/>
      <c r="C28" s="382"/>
      <c r="D28" s="383"/>
      <c r="E28" s="383"/>
      <c r="F28" s="279"/>
    </row>
    <row r="29" spans="1:6" ht="18" customHeight="1">
      <c r="A29" s="380"/>
      <c r="B29" s="388"/>
      <c r="C29" s="389"/>
      <c r="D29" s="391"/>
      <c r="E29" s="391"/>
      <c r="F29" s="392"/>
    </row>
    <row r="30" spans="1:6" ht="18" customHeight="1">
      <c r="A30" s="380"/>
      <c r="B30" s="381"/>
      <c r="C30" s="382"/>
      <c r="D30" s="383"/>
      <c r="E30" s="383"/>
      <c r="F30" s="279"/>
    </row>
    <row r="31" spans="1:6" ht="18" customHeight="1">
      <c r="A31" s="385"/>
      <c r="B31" s="386"/>
      <c r="C31" s="382"/>
      <c r="D31" s="383"/>
      <c r="E31" s="383"/>
      <c r="F31" s="337"/>
    </row>
    <row r="32" spans="1:6" ht="18" customHeight="1">
      <c r="A32" s="385"/>
      <c r="B32" s="386"/>
      <c r="C32" s="389"/>
      <c r="D32" s="383"/>
      <c r="E32" s="383"/>
      <c r="F32" s="337"/>
    </row>
    <row r="33" spans="1:6" ht="18" customHeight="1">
      <c r="A33" s="385"/>
      <c r="B33" s="381"/>
      <c r="C33" s="382"/>
      <c r="D33" s="383"/>
      <c r="E33" s="383"/>
      <c r="F33" s="337"/>
    </row>
    <row r="34" spans="1:6" ht="18" customHeight="1">
      <c r="A34" s="380"/>
      <c r="B34" s="381"/>
      <c r="C34" s="382"/>
      <c r="D34" s="383"/>
      <c r="E34" s="383"/>
      <c r="F34" s="337"/>
    </row>
    <row r="35" spans="1:6" ht="18" customHeight="1">
      <c r="A35" s="380"/>
      <c r="B35" s="381"/>
      <c r="C35" s="382"/>
      <c r="D35" s="383"/>
      <c r="E35" s="383"/>
      <c r="F35" s="337"/>
    </row>
    <row r="36" spans="1:6" ht="18" customHeight="1">
      <c r="A36" s="380"/>
      <c r="B36" s="388"/>
      <c r="C36" s="393"/>
      <c r="D36" s="390"/>
      <c r="E36" s="390"/>
      <c r="F36" s="394"/>
    </row>
    <row r="37" spans="1:6" ht="18" customHeight="1">
      <c r="A37" s="380"/>
      <c r="B37" s="388"/>
      <c r="C37" s="393"/>
      <c r="D37" s="383"/>
      <c r="E37" s="383"/>
      <c r="F37" s="337"/>
    </row>
    <row r="38" spans="1:6" ht="18" customHeight="1">
      <c r="A38" s="380"/>
      <c r="B38" s="395"/>
      <c r="C38" s="382"/>
      <c r="D38" s="383"/>
      <c r="E38" s="383"/>
      <c r="F38" s="337"/>
    </row>
    <row r="39" spans="1:6" ht="18" customHeight="1">
      <c r="A39" s="380"/>
      <c r="B39" s="381"/>
      <c r="C39" s="382"/>
      <c r="D39" s="383"/>
      <c r="E39" s="383"/>
      <c r="F39" s="279"/>
    </row>
    <row r="40" spans="1:6" ht="18" customHeight="1">
      <c r="A40" s="380"/>
      <c r="B40" s="381"/>
      <c r="C40" s="382"/>
      <c r="D40" s="383"/>
      <c r="E40" s="383"/>
      <c r="F40" s="337"/>
    </row>
    <row r="41" spans="1:6" ht="18" customHeight="1">
      <c r="A41" s="380"/>
      <c r="B41" s="381"/>
      <c r="C41" s="382"/>
      <c r="D41" s="383"/>
      <c r="E41" s="383"/>
      <c r="F41" s="337"/>
    </row>
    <row r="42" spans="1:6" ht="18" customHeight="1">
      <c r="A42" s="380"/>
      <c r="B42" s="386"/>
      <c r="C42" s="389"/>
      <c r="D42" s="383"/>
      <c r="E42" s="383"/>
      <c r="F42" s="337"/>
    </row>
    <row r="43" spans="1:6" ht="18" customHeight="1" thickBot="1">
      <c r="A43" s="397"/>
      <c r="B43" s="398"/>
      <c r="C43" s="399"/>
      <c r="D43" s="400"/>
      <c r="E43" s="400"/>
      <c r="F43" s="338"/>
    </row>
  </sheetData>
  <phoneticPr fontId="10" type="noConversion"/>
  <printOptions horizontalCentered="1" gridLinesSet="0"/>
  <pageMargins left="0.39" right="0.34" top="0.91" bottom="0.66" header="0.51181102362204722" footer="0.27"/>
  <pageSetup paperSize="9" scale="88" orientation="portrait" horizontalDpi="4294967292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6">
    <tabColor theme="9" tint="0.39997558519241921"/>
  </sheetPr>
  <dimension ref="A1:K29"/>
  <sheetViews>
    <sheetView workbookViewId="0">
      <selection activeCell="D15" sqref="D15:E15"/>
    </sheetView>
  </sheetViews>
  <sheetFormatPr defaultRowHeight="12"/>
  <cols>
    <col min="1" max="1" width="15.140625" bestFit="1" customWidth="1"/>
    <col min="2" max="2" width="39.85546875" customWidth="1"/>
    <col min="3" max="3" width="11.28515625" bestFit="1" customWidth="1"/>
    <col min="4" max="6" width="11.7109375" customWidth="1"/>
    <col min="8" max="8" width="13.5703125" style="323" bestFit="1" customWidth="1"/>
    <col min="11" max="11" width="12.28515625" bestFit="1" customWidth="1"/>
  </cols>
  <sheetData>
    <row r="1" spans="1:11" ht="18" customHeight="1" thickBot="1">
      <c r="A1" s="294" t="s">
        <v>2</v>
      </c>
      <c r="B1" s="295" t="s">
        <v>3</v>
      </c>
      <c r="C1" s="296"/>
      <c r="D1" s="297" t="s">
        <v>4</v>
      </c>
      <c r="E1" s="297" t="s">
        <v>5</v>
      </c>
      <c r="F1" s="298" t="s">
        <v>6</v>
      </c>
    </row>
    <row r="2" spans="1:11" ht="18" customHeight="1">
      <c r="A2" s="299"/>
      <c r="B2" s="300"/>
      <c r="C2" s="301"/>
      <c r="D2" s="302"/>
      <c r="E2" s="302"/>
      <c r="F2" s="303"/>
    </row>
    <row r="3" spans="1:11" ht="18" customHeight="1" thickBot="1">
      <c r="A3" s="304" t="s">
        <v>251</v>
      </c>
      <c r="B3" s="39" t="s">
        <v>251</v>
      </c>
      <c r="C3" s="301"/>
      <c r="D3" s="302"/>
      <c r="E3" s="302"/>
      <c r="F3" s="303"/>
    </row>
    <row r="4" spans="1:11" ht="18" customHeight="1">
      <c r="A4" s="305" t="s">
        <v>253</v>
      </c>
      <c r="B4" s="559" t="s">
        <v>351</v>
      </c>
      <c r="C4" s="560"/>
      <c r="D4" s="307"/>
      <c r="E4" s="307"/>
      <c r="F4" s="308"/>
      <c r="K4" s="450" t="s">
        <v>323</v>
      </c>
    </row>
    <row r="5" spans="1:11" ht="18" customHeight="1" thickBot="1">
      <c r="A5" s="305"/>
      <c r="B5" s="306" t="s">
        <v>254</v>
      </c>
      <c r="C5" s="314"/>
      <c r="D5" s="307"/>
      <c r="E5" s="307"/>
      <c r="F5" s="308"/>
      <c r="K5" s="449">
        <f>노임단가!C4</f>
        <v>172698</v>
      </c>
    </row>
    <row r="6" spans="1:11" ht="18" customHeight="1">
      <c r="A6" s="305"/>
      <c r="B6" s="127" t="str">
        <f>"    재료비 "&amp;REPT(" ",7-LEN(I6))&amp;I6&amp;" * 8시간 * 1.00="</f>
        <v xml:space="preserve">    재료비   6,363 * 8시간 * 1.00=</v>
      </c>
      <c r="C6" s="314">
        <f>H6*1*1</f>
        <v>6363</v>
      </c>
      <c r="D6" s="307">
        <f>C6</f>
        <v>6363</v>
      </c>
      <c r="E6" s="307"/>
      <c r="F6" s="308"/>
      <c r="G6" t="s">
        <v>234</v>
      </c>
      <c r="H6" s="323">
        <f>기계경비!N29</f>
        <v>6363</v>
      </c>
      <c r="I6" s="435" t="str">
        <f>TEXT(H6,"###,###,##0")</f>
        <v>6,363</v>
      </c>
    </row>
    <row r="7" spans="1:11" ht="18" customHeight="1">
      <c r="A7" s="315"/>
      <c r="B7" s="127" t="str">
        <f>"    노무비 "&amp;REPT(" ",7-LEN(I7))&amp;I7&amp;" * 8시간 * 1.50="</f>
        <v xml:space="preserve">    노무비  50,008 * 8시간 * 1.50=</v>
      </c>
      <c r="C7" s="314">
        <f>H7*1*1.5</f>
        <v>75012</v>
      </c>
      <c r="D7" s="307"/>
      <c r="E7" s="307">
        <f>C7</f>
        <v>75012</v>
      </c>
      <c r="F7" s="308"/>
      <c r="G7" t="s">
        <v>282</v>
      </c>
      <c r="H7" s="323">
        <f>기계경비!O29</f>
        <v>50008</v>
      </c>
      <c r="I7" s="435" t="str">
        <f>TEXT(H7,"###,###,##0")</f>
        <v>50,008</v>
      </c>
    </row>
    <row r="8" spans="1:11" ht="18" customHeight="1">
      <c r="A8" s="315"/>
      <c r="B8" s="127" t="str">
        <f>"    경  비 "&amp;REPT(" ",7-LEN(I8))&amp;I8&amp;" * 8시간 * 1.00="</f>
        <v xml:space="preserve">    경  비   6,033 * 8시간 * 1.00=</v>
      </c>
      <c r="C8" s="314">
        <f>H8*1*1</f>
        <v>6033</v>
      </c>
      <c r="D8" s="307"/>
      <c r="E8" s="307"/>
      <c r="F8" s="308">
        <f>C8</f>
        <v>6033</v>
      </c>
      <c r="G8" t="s">
        <v>283</v>
      </c>
      <c r="H8" s="323">
        <f>기계경비!P29</f>
        <v>6033</v>
      </c>
      <c r="I8" s="435" t="str">
        <f>TEXT(H8,"###,###,##0")</f>
        <v>6,033</v>
      </c>
    </row>
    <row r="9" spans="1:11" ht="18" customHeight="1">
      <c r="A9" s="315"/>
      <c r="B9" s="26"/>
      <c r="C9" s="314"/>
      <c r="D9" s="307"/>
      <c r="E9" s="307"/>
      <c r="F9" s="405"/>
    </row>
    <row r="10" spans="1:11" s="51" customFormat="1" ht="16.5" customHeight="1">
      <c r="A10" s="52"/>
      <c r="B10" s="40" t="s">
        <v>274</v>
      </c>
      <c r="C10" s="264"/>
      <c r="D10" s="340"/>
      <c r="E10" s="340"/>
      <c r="F10" s="334"/>
    </row>
    <row r="11" spans="1:11" s="51" customFormat="1" ht="16.5" customHeight="1">
      <c r="A11" s="50"/>
      <c r="B11" s="40" t="s">
        <v>275</v>
      </c>
      <c r="C11" s="264"/>
      <c r="D11" s="340"/>
      <c r="E11" s="340"/>
      <c r="F11" s="334"/>
    </row>
    <row r="12" spans="1:11" s="51" customFormat="1" ht="16.5" customHeight="1">
      <c r="A12" s="50"/>
      <c r="B12" s="40" t="s">
        <v>262</v>
      </c>
      <c r="C12" s="264"/>
      <c r="D12" s="340"/>
      <c r="E12" s="340"/>
      <c r="F12" s="334"/>
    </row>
    <row r="13" spans="1:11" s="51" customFormat="1" ht="16.5" customHeight="1">
      <c r="A13" s="50"/>
      <c r="B13" s="127" t="str">
        <f>"   "&amp;TEXT(K5,"###,###,##0")&amp;" * 1(인) / 8시간 *  1.50="</f>
        <v xml:space="preserve">   172,698 * 1(인) / 8시간 *  1.50=</v>
      </c>
      <c r="C13" s="267">
        <f>K5*1/8*1.5</f>
        <v>32380.875</v>
      </c>
      <c r="D13" s="340"/>
      <c r="E13" s="340">
        <f>C13</f>
        <v>32380.875</v>
      </c>
      <c r="F13" s="404"/>
    </row>
    <row r="14" spans="1:11" s="51" customFormat="1" ht="16.5" customHeight="1">
      <c r="A14" s="50"/>
      <c r="B14" s="127"/>
      <c r="C14" s="267"/>
      <c r="D14" s="340"/>
      <c r="E14" s="340"/>
      <c r="F14" s="334"/>
      <c r="G14" s="211"/>
    </row>
    <row r="15" spans="1:11" ht="18" customHeight="1">
      <c r="A15" s="315"/>
      <c r="B15" s="309" t="s">
        <v>252</v>
      </c>
      <c r="C15" s="310">
        <f>SUM(D15:F15)</f>
        <v>119788.875</v>
      </c>
      <c r="D15" s="311">
        <f>SUM(D6:D14)</f>
        <v>6363</v>
      </c>
      <c r="E15" s="311">
        <f>SUM(E6:E14)</f>
        <v>107392.875</v>
      </c>
      <c r="F15" s="312">
        <f>SUM(F6:F14)</f>
        <v>6033</v>
      </c>
    </row>
    <row r="16" spans="1:11" ht="18" customHeight="1">
      <c r="A16" s="315"/>
      <c r="B16" s="313"/>
      <c r="C16" s="310"/>
      <c r="D16" s="311"/>
      <c r="E16" s="311"/>
      <c r="F16" s="312"/>
    </row>
    <row r="17" spans="1:9" ht="18" customHeight="1">
      <c r="A17" s="304"/>
      <c r="B17" s="39"/>
      <c r="C17" s="301"/>
      <c r="D17" s="302"/>
      <c r="E17" s="302"/>
      <c r="F17" s="303"/>
    </row>
    <row r="18" spans="1:9" ht="18" customHeight="1">
      <c r="A18" s="305"/>
      <c r="B18" s="306"/>
      <c r="C18" s="314"/>
      <c r="D18" s="307"/>
      <c r="E18" s="307"/>
      <c r="F18" s="308"/>
    </row>
    <row r="19" spans="1:9" ht="18" customHeight="1">
      <c r="A19" s="305"/>
      <c r="B19" s="127"/>
      <c r="C19" s="314"/>
      <c r="D19" s="307"/>
      <c r="E19" s="307"/>
      <c r="F19" s="308"/>
      <c r="I19" s="435"/>
    </row>
    <row r="20" spans="1:9" ht="18" customHeight="1">
      <c r="A20" s="315"/>
      <c r="B20" s="127"/>
      <c r="C20" s="314"/>
      <c r="D20" s="307"/>
      <c r="E20" s="307"/>
      <c r="F20" s="308"/>
      <c r="I20" s="435"/>
    </row>
    <row r="21" spans="1:9" ht="18" customHeight="1">
      <c r="A21" s="315"/>
      <c r="B21" s="127"/>
      <c r="C21" s="314"/>
      <c r="D21" s="307"/>
      <c r="E21" s="307"/>
      <c r="F21" s="308"/>
      <c r="I21" s="435"/>
    </row>
    <row r="22" spans="1:9" ht="18" customHeight="1">
      <c r="A22" s="315"/>
      <c r="B22" s="26"/>
      <c r="C22" s="314"/>
      <c r="D22" s="307"/>
      <c r="E22" s="307"/>
      <c r="F22" s="405"/>
    </row>
    <row r="23" spans="1:9" ht="18" customHeight="1">
      <c r="A23" s="315"/>
      <c r="B23" s="309"/>
      <c r="C23" s="310"/>
      <c r="D23" s="311"/>
      <c r="E23" s="311"/>
      <c r="F23" s="312"/>
    </row>
    <row r="24" spans="1:9" ht="18" customHeight="1">
      <c r="A24" s="299"/>
      <c r="B24" s="300"/>
      <c r="C24" s="301"/>
      <c r="D24" s="302"/>
      <c r="E24" s="302"/>
      <c r="F24" s="303"/>
    </row>
    <row r="25" spans="1:9" ht="18" customHeight="1">
      <c r="A25" s="299"/>
      <c r="B25" s="316"/>
      <c r="C25" s="301"/>
      <c r="D25" s="302"/>
      <c r="E25" s="302"/>
      <c r="F25" s="303"/>
    </row>
    <row r="26" spans="1:9" ht="18" customHeight="1">
      <c r="A26" s="299"/>
      <c r="B26" s="39"/>
      <c r="C26" s="317"/>
      <c r="D26" s="302"/>
      <c r="E26" s="302"/>
      <c r="F26" s="303"/>
    </row>
    <row r="27" spans="1:9" ht="18" customHeight="1">
      <c r="A27" s="299"/>
      <c r="B27" s="39"/>
      <c r="C27" s="317"/>
      <c r="D27" s="302"/>
      <c r="E27" s="302"/>
      <c r="F27" s="303"/>
    </row>
    <row r="28" spans="1:9" ht="18" customHeight="1">
      <c r="A28" s="299"/>
      <c r="B28" s="39"/>
      <c r="C28" s="317"/>
      <c r="D28" s="302"/>
      <c r="E28" s="302"/>
      <c r="F28" s="303"/>
    </row>
    <row r="29" spans="1:9" ht="18" customHeight="1" thickBot="1">
      <c r="A29" s="318"/>
      <c r="B29" s="319"/>
      <c r="C29" s="320"/>
      <c r="D29" s="321"/>
      <c r="E29" s="321"/>
      <c r="F29" s="322"/>
    </row>
  </sheetData>
  <mergeCells count="1">
    <mergeCell ref="B4:C4"/>
  </mergeCells>
  <phoneticPr fontId="10" type="noConversion"/>
  <pageMargins left="0.7" right="0.7" top="0.75" bottom="0.75" header="0.3" footer="0.3"/>
  <pageSetup paperSize="9" scale="96" orientation="portrait" r:id="rId1"/>
  <colBreaks count="1" manualBreakCount="1">
    <brk id="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2">
    <tabColor theme="9" tint="0.39997558519241921"/>
  </sheetPr>
  <dimension ref="A1:I38"/>
  <sheetViews>
    <sheetView workbookViewId="0">
      <selection activeCell="B4" sqref="B4"/>
    </sheetView>
  </sheetViews>
  <sheetFormatPr defaultColWidth="9.140625" defaultRowHeight="18" customHeight="1"/>
  <cols>
    <col min="1" max="1" width="11.28515625" style="42" customWidth="1"/>
    <col min="2" max="2" width="42.140625" style="37" customWidth="1"/>
    <col min="3" max="3" width="14.28515625" style="292" bestFit="1" customWidth="1"/>
    <col min="4" max="6" width="13.28515625" style="293" customWidth="1"/>
    <col min="7" max="7" width="9.140625" style="37"/>
    <col min="8" max="8" width="9.7109375" style="37" bestFit="1" customWidth="1"/>
    <col min="9" max="16384" width="9.140625" style="37"/>
  </cols>
  <sheetData>
    <row r="1" spans="1:9" s="34" customFormat="1" ht="18" customHeight="1" thickBot="1">
      <c r="A1" s="32" t="s">
        <v>2</v>
      </c>
      <c r="B1" s="33" t="s">
        <v>3</v>
      </c>
      <c r="C1" s="283"/>
      <c r="D1" s="328" t="s">
        <v>236</v>
      </c>
      <c r="E1" s="328" t="s">
        <v>280</v>
      </c>
      <c r="F1" s="284" t="s">
        <v>281</v>
      </c>
    </row>
    <row r="2" spans="1:9" ht="18" customHeight="1">
      <c r="A2" s="35"/>
      <c r="B2" s="36"/>
      <c r="C2" s="285"/>
      <c r="D2" s="329"/>
      <c r="E2" s="329"/>
      <c r="F2" s="286"/>
    </row>
    <row r="3" spans="1:9" ht="18" customHeight="1">
      <c r="A3" s="38" t="s">
        <v>13</v>
      </c>
      <c r="B3" s="39" t="s">
        <v>16</v>
      </c>
      <c r="C3" s="285"/>
      <c r="D3" s="329"/>
      <c r="E3" s="329"/>
      <c r="F3" s="286"/>
    </row>
    <row r="4" spans="1:9" ht="18" customHeight="1">
      <c r="A4" s="38" t="s">
        <v>17</v>
      </c>
      <c r="B4" s="36" t="s">
        <v>14</v>
      </c>
      <c r="C4" s="285"/>
      <c r="D4" s="329"/>
      <c r="E4" s="329"/>
      <c r="F4" s="286"/>
    </row>
    <row r="5" spans="1:9" ht="18" customHeight="1">
      <c r="A5" s="35"/>
      <c r="B5" s="127" t="str">
        <f>"    재료비 "&amp;REPT(" ",7-LEN(I5))&amp;I5&amp;" * 8시간 * 1.00="</f>
        <v xml:space="preserve">    재료비  34,887 * 8시간 * 1.00=</v>
      </c>
      <c r="C5" s="285">
        <f>H5*8</f>
        <v>279096</v>
      </c>
      <c r="D5" s="329">
        <f>C5</f>
        <v>279096</v>
      </c>
      <c r="E5" s="329"/>
      <c r="F5" s="286"/>
      <c r="G5" s="202" t="s">
        <v>236</v>
      </c>
      <c r="H5" s="37">
        <f>기계경비!N24</f>
        <v>34887</v>
      </c>
      <c r="I5" s="435" t="str">
        <f>TEXT(H5,"###,###,##0")</f>
        <v>34,887</v>
      </c>
    </row>
    <row r="6" spans="1:9" ht="18" customHeight="1">
      <c r="A6" s="38"/>
      <c r="B6" s="127" t="str">
        <f>"    노무비 "&amp;REPT(" ",7-LEN(I6))&amp;I6&amp;" * 8시간 * 1.00="</f>
        <v xml:space="preserve">    노무비  59,025 * 8시간 * 1.00=</v>
      </c>
      <c r="C6" s="285">
        <f>H6*8</f>
        <v>472200</v>
      </c>
      <c r="D6" s="329"/>
      <c r="E6" s="329">
        <f>C6</f>
        <v>472200</v>
      </c>
      <c r="F6" s="286"/>
      <c r="G6" s="202" t="s">
        <v>179</v>
      </c>
      <c r="H6" s="37">
        <f>기계경비!O24</f>
        <v>59025</v>
      </c>
      <c r="I6" s="435" t="str">
        <f>TEXT(H6,"###,###,##0")</f>
        <v>59,025</v>
      </c>
    </row>
    <row r="7" spans="1:9" ht="18" customHeight="1">
      <c r="A7" s="35"/>
      <c r="B7" s="127" t="str">
        <f>"    경  비 "&amp;REPT(" ",7-LEN(I7))&amp;I7&amp;" * 8시간 * 1.00="</f>
        <v xml:space="preserve">    경  비  20,659 * 8시간 * 1.00=</v>
      </c>
      <c r="C7" s="285">
        <f>H7*8</f>
        <v>165272</v>
      </c>
      <c r="D7" s="329"/>
      <c r="E7" s="329"/>
      <c r="F7" s="286">
        <f>C7</f>
        <v>165272</v>
      </c>
      <c r="G7" s="202" t="s">
        <v>232</v>
      </c>
      <c r="H7" s="37">
        <f>기계경비!P24</f>
        <v>20659</v>
      </c>
      <c r="I7" s="435" t="str">
        <f>TEXT(H7,"###,###,##0")</f>
        <v>20,659</v>
      </c>
    </row>
    <row r="8" spans="1:9" ht="18" customHeight="1">
      <c r="A8" s="35"/>
      <c r="B8" s="36"/>
      <c r="C8" s="285"/>
      <c r="D8" s="329"/>
      <c r="E8" s="329"/>
      <c r="F8" s="286"/>
    </row>
    <row r="9" spans="1:9" ht="18" customHeight="1">
      <c r="A9" s="35"/>
      <c r="B9" s="36"/>
      <c r="C9" s="285"/>
      <c r="D9" s="329"/>
      <c r="E9" s="329"/>
      <c r="F9" s="286"/>
    </row>
    <row r="10" spans="1:9" ht="18" customHeight="1">
      <c r="A10" s="35"/>
      <c r="B10" s="39" t="s">
        <v>68</v>
      </c>
      <c r="C10" s="287">
        <f>SUM(D10:F10)</f>
        <v>916568</v>
      </c>
      <c r="D10" s="330">
        <f>SUM(D5:D8)</f>
        <v>279096</v>
      </c>
      <c r="E10" s="330">
        <f>SUM(E5:E8)</f>
        <v>472200</v>
      </c>
      <c r="F10" s="327">
        <f>SUM(F5:F8)</f>
        <v>165272</v>
      </c>
    </row>
    <row r="11" spans="1:9" ht="18" customHeight="1">
      <c r="A11" s="35"/>
      <c r="B11" s="120"/>
      <c r="C11" s="288"/>
      <c r="D11" s="329"/>
      <c r="E11" s="329"/>
      <c r="F11" s="286"/>
    </row>
    <row r="12" spans="1:9" ht="18" customHeight="1">
      <c r="A12" s="38"/>
      <c r="B12" s="39"/>
      <c r="C12" s="285"/>
      <c r="D12" s="329"/>
      <c r="E12" s="329"/>
      <c r="F12" s="286"/>
    </row>
    <row r="13" spans="1:9" ht="18" customHeight="1">
      <c r="A13" s="38"/>
      <c r="B13" s="411"/>
      <c r="C13" s="285"/>
      <c r="D13" s="329"/>
      <c r="E13" s="329"/>
      <c r="F13" s="286"/>
    </row>
    <row r="14" spans="1:9" ht="18" customHeight="1">
      <c r="A14" s="35"/>
      <c r="B14" s="411"/>
      <c r="C14" s="285"/>
      <c r="D14" s="329"/>
      <c r="E14" s="329"/>
      <c r="F14" s="286"/>
      <c r="G14" s="412"/>
    </row>
    <row r="15" spans="1:9" ht="18" customHeight="1">
      <c r="A15" s="35"/>
      <c r="B15" s="411"/>
      <c r="C15" s="285"/>
      <c r="D15" s="329"/>
      <c r="E15" s="329"/>
      <c r="F15" s="286"/>
    </row>
    <row r="16" spans="1:9" ht="18" customHeight="1">
      <c r="A16" s="35"/>
      <c r="B16" s="387"/>
      <c r="C16" s="285"/>
      <c r="D16" s="329"/>
      <c r="E16" s="329"/>
      <c r="F16" s="286"/>
    </row>
    <row r="17" spans="1:6" ht="18" customHeight="1">
      <c r="A17" s="35"/>
      <c r="B17" s="387"/>
      <c r="C17" s="285"/>
      <c r="D17" s="329"/>
      <c r="E17" s="329"/>
      <c r="F17" s="286"/>
    </row>
    <row r="18" spans="1:6" ht="18" customHeight="1">
      <c r="A18" s="35"/>
      <c r="B18" s="36"/>
      <c r="C18" s="285"/>
      <c r="D18" s="330"/>
      <c r="E18" s="330"/>
      <c r="F18" s="327"/>
    </row>
    <row r="19" spans="1:6" ht="18" customHeight="1">
      <c r="A19" s="35"/>
      <c r="B19" s="39"/>
      <c r="C19" s="287"/>
      <c r="D19" s="330"/>
      <c r="E19" s="330"/>
      <c r="F19" s="327"/>
    </row>
    <row r="20" spans="1:6" ht="18" customHeight="1">
      <c r="A20" s="35"/>
      <c r="B20" s="39"/>
      <c r="C20" s="287"/>
      <c r="D20" s="330"/>
      <c r="E20" s="330"/>
      <c r="F20" s="327"/>
    </row>
    <row r="21" spans="1:6" ht="18" customHeight="1">
      <c r="A21" s="35"/>
      <c r="B21" s="36"/>
      <c r="C21" s="287"/>
      <c r="D21" s="329"/>
      <c r="E21" s="329"/>
      <c r="F21" s="286"/>
    </row>
    <row r="22" spans="1:6" ht="18" customHeight="1">
      <c r="A22" s="35"/>
      <c r="B22" s="36"/>
      <c r="C22" s="287"/>
      <c r="D22" s="329"/>
      <c r="E22" s="329"/>
      <c r="F22" s="286"/>
    </row>
    <row r="23" spans="1:6" ht="18" customHeight="1">
      <c r="A23" s="35"/>
      <c r="B23" s="36"/>
      <c r="C23" s="285"/>
      <c r="D23" s="329"/>
      <c r="E23" s="329"/>
      <c r="F23" s="286"/>
    </row>
    <row r="24" spans="1:6" ht="18" customHeight="1">
      <c r="A24" s="35"/>
      <c r="B24" s="36"/>
      <c r="C24" s="285"/>
      <c r="D24" s="329"/>
      <c r="E24" s="329"/>
      <c r="F24" s="286"/>
    </row>
    <row r="25" spans="1:6" ht="18" customHeight="1">
      <c r="A25" s="35"/>
      <c r="B25" s="36"/>
      <c r="C25" s="285"/>
      <c r="D25" s="329"/>
      <c r="E25" s="329"/>
      <c r="F25" s="286"/>
    </row>
    <row r="26" spans="1:6" ht="18" customHeight="1">
      <c r="A26" s="35"/>
      <c r="B26" s="36"/>
      <c r="C26" s="285"/>
      <c r="D26" s="329"/>
      <c r="E26" s="329"/>
      <c r="F26" s="286"/>
    </row>
    <row r="27" spans="1:6" ht="18" customHeight="1">
      <c r="A27" s="35"/>
      <c r="B27" s="36"/>
      <c r="C27" s="285"/>
      <c r="D27" s="329"/>
      <c r="E27" s="329"/>
      <c r="F27" s="286"/>
    </row>
    <row r="28" spans="1:6" ht="18" customHeight="1">
      <c r="A28" s="35"/>
      <c r="B28" s="36"/>
      <c r="C28" s="285"/>
      <c r="D28" s="329"/>
      <c r="E28" s="329"/>
      <c r="F28" s="286"/>
    </row>
    <row r="29" spans="1:6" s="51" customFormat="1" ht="18" customHeight="1">
      <c r="A29" s="50"/>
      <c r="B29" s="40"/>
      <c r="C29" s="285"/>
      <c r="D29" s="331"/>
      <c r="E29" s="331"/>
      <c r="F29" s="289"/>
    </row>
    <row r="30" spans="1:6" ht="18" customHeight="1">
      <c r="A30" s="35"/>
      <c r="B30" s="36"/>
      <c r="C30" s="285"/>
      <c r="D30" s="329"/>
      <c r="E30" s="329"/>
      <c r="F30" s="286"/>
    </row>
    <row r="31" spans="1:6" ht="18" customHeight="1">
      <c r="A31" s="35"/>
      <c r="B31" s="36"/>
      <c r="C31" s="285"/>
      <c r="D31" s="329"/>
      <c r="E31" s="329"/>
      <c r="F31" s="286"/>
    </row>
    <row r="32" spans="1:6" ht="18" customHeight="1">
      <c r="A32" s="35"/>
      <c r="B32" s="36"/>
      <c r="C32" s="285"/>
      <c r="D32" s="329"/>
      <c r="E32" s="329"/>
      <c r="F32" s="286"/>
    </row>
    <row r="33" spans="1:6" ht="18" customHeight="1">
      <c r="A33" s="35"/>
      <c r="B33" s="36"/>
      <c r="C33" s="285"/>
      <c r="D33" s="329"/>
      <c r="E33" s="329"/>
      <c r="F33" s="286"/>
    </row>
    <row r="34" spans="1:6" ht="18" customHeight="1">
      <c r="A34" s="35"/>
      <c r="B34" s="36"/>
      <c r="C34" s="285"/>
      <c r="D34" s="329"/>
      <c r="E34" s="329"/>
      <c r="F34" s="286"/>
    </row>
    <row r="35" spans="1:6" ht="18" customHeight="1">
      <c r="A35" s="35"/>
      <c r="B35" s="39"/>
      <c r="C35" s="287"/>
      <c r="D35" s="329"/>
      <c r="E35" s="329"/>
      <c r="F35" s="286"/>
    </row>
    <row r="36" spans="1:6" ht="18" customHeight="1">
      <c r="A36" s="35"/>
      <c r="B36" s="39"/>
      <c r="C36" s="287"/>
      <c r="D36" s="329"/>
      <c r="E36" s="329"/>
      <c r="F36" s="286"/>
    </row>
    <row r="37" spans="1:6" ht="18" customHeight="1">
      <c r="A37" s="35"/>
      <c r="B37" s="39"/>
      <c r="C37" s="287"/>
      <c r="D37" s="329"/>
      <c r="E37" s="329"/>
      <c r="F37" s="286"/>
    </row>
    <row r="38" spans="1:6" ht="18" customHeight="1" thickBot="1">
      <c r="A38" s="41"/>
      <c r="B38" s="46"/>
      <c r="C38" s="290"/>
      <c r="D38" s="332"/>
      <c r="E38" s="332"/>
      <c r="F38" s="291"/>
    </row>
  </sheetData>
  <phoneticPr fontId="24" type="noConversion"/>
  <pageMargins left="0.75" right="0.31" top="1" bottom="0.78" header="0.5" footer="0.5"/>
  <pageSetup paperSize="9" scale="94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3"/>
  <dimension ref="A1:U33"/>
  <sheetViews>
    <sheetView zoomScaleNormal="100" workbookViewId="0">
      <selection activeCell="M8" sqref="M8"/>
    </sheetView>
  </sheetViews>
  <sheetFormatPr defaultRowHeight="12"/>
  <cols>
    <col min="2" max="2" width="12.7109375" customWidth="1"/>
    <col min="3" max="3" width="5.85546875" customWidth="1"/>
    <col min="4" max="4" width="8" customWidth="1"/>
    <col min="5" max="5" width="6" customWidth="1"/>
    <col min="6" max="6" width="10.85546875" bestFit="1" customWidth="1"/>
    <col min="7" max="7" width="3.85546875" customWidth="1"/>
    <col min="8" max="8" width="4.85546875" customWidth="1"/>
    <col min="9" max="9" width="7.5703125" customWidth="1"/>
    <col min="10" max="12" width="1.42578125" customWidth="1"/>
    <col min="13" max="13" width="12.85546875" customWidth="1"/>
    <col min="14" max="16" width="12.85546875" style="262" customWidth="1"/>
    <col min="19" max="19" width="7.7109375" bestFit="1" customWidth="1"/>
    <col min="21" max="21" width="52.42578125" bestFit="1" customWidth="1"/>
  </cols>
  <sheetData>
    <row r="1" spans="1:21" ht="30.75" customHeight="1">
      <c r="A1" s="324" t="s">
        <v>93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6"/>
      <c r="N1" s="326"/>
      <c r="O1" s="326"/>
      <c r="P1" s="326"/>
      <c r="Q1" s="326"/>
    </row>
    <row r="2" spans="1:21" ht="26.25">
      <c r="A2" s="128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30"/>
      <c r="N2" s="257"/>
      <c r="O2" s="257"/>
      <c r="P2" s="257"/>
      <c r="Q2" s="130"/>
    </row>
    <row r="3" spans="1:21" ht="30.75" customHeight="1" thickBot="1">
      <c r="A3" s="561" t="s">
        <v>76</v>
      </c>
      <c r="B3" s="562"/>
      <c r="C3" s="563"/>
      <c r="D3" s="563"/>
      <c r="E3" s="563"/>
      <c r="F3" s="563"/>
      <c r="G3" s="563"/>
      <c r="H3" s="564"/>
      <c r="I3" s="564"/>
      <c r="J3" s="564"/>
      <c r="K3" s="564"/>
      <c r="L3" s="565"/>
      <c r="M3" s="432" t="s">
        <v>77</v>
      </c>
      <c r="N3" s="433" t="s">
        <v>234</v>
      </c>
      <c r="O3" s="433" t="s">
        <v>5</v>
      </c>
      <c r="P3" s="433" t="s">
        <v>233</v>
      </c>
      <c r="Q3" s="434" t="s">
        <v>78</v>
      </c>
    </row>
    <row r="4" spans="1:21" ht="30.75" customHeight="1">
      <c r="A4" s="566" t="s">
        <v>235</v>
      </c>
      <c r="B4" s="567"/>
      <c r="C4" s="568"/>
      <c r="D4" s="568"/>
      <c r="E4" s="568"/>
      <c r="F4" s="568"/>
      <c r="G4" s="568"/>
      <c r="H4" s="568"/>
      <c r="I4" s="568"/>
      <c r="J4" s="568"/>
      <c r="K4" s="568"/>
      <c r="L4" s="131"/>
      <c r="M4" s="132">
        <f>SUM(N4:P4)</f>
        <v>48216</v>
      </c>
      <c r="N4" s="258">
        <f>SUM(N5:N8)</f>
        <v>0</v>
      </c>
      <c r="O4" s="258">
        <f>SUM(O5:O8)</f>
        <v>35415</v>
      </c>
      <c r="P4" s="258">
        <f>SUM(P5:P8)</f>
        <v>12801</v>
      </c>
      <c r="Q4" s="216"/>
      <c r="R4" t="s">
        <v>198</v>
      </c>
      <c r="S4" t="s">
        <v>199</v>
      </c>
      <c r="T4" t="s">
        <v>200</v>
      </c>
    </row>
    <row r="5" spans="1:21" ht="30.75" customHeight="1">
      <c r="A5" s="133" t="s">
        <v>79</v>
      </c>
      <c r="B5" s="208">
        <f>전체입력표!C10</f>
        <v>112342000</v>
      </c>
      <c r="C5" s="134" t="s">
        <v>80</v>
      </c>
      <c r="D5" s="135">
        <f>S6+T6+R6</f>
        <v>2279</v>
      </c>
      <c r="E5" s="134" t="s">
        <v>81</v>
      </c>
      <c r="F5" s="134">
        <f>POWER(10,-7)</f>
        <v>9.9999999999999995E-8</v>
      </c>
      <c r="G5" s="134" t="s">
        <v>346</v>
      </c>
      <c r="H5" s="134">
        <v>0.5</v>
      </c>
      <c r="I5" s="134"/>
      <c r="J5" s="134"/>
      <c r="K5" s="134"/>
      <c r="L5" s="134"/>
      <c r="M5" s="136">
        <f>SUM(N5:P5)</f>
        <v>12801</v>
      </c>
      <c r="N5" s="260"/>
      <c r="O5" s="259"/>
      <c r="P5" s="259">
        <f>INT(B5*D5*F5*H5)</f>
        <v>12801</v>
      </c>
      <c r="Q5" s="218" t="s">
        <v>347</v>
      </c>
      <c r="R5">
        <v>900</v>
      </c>
      <c r="S5">
        <v>700</v>
      </c>
      <c r="T5">
        <v>679</v>
      </c>
      <c r="U5" t="s">
        <v>350</v>
      </c>
    </row>
    <row r="6" spans="1:21" ht="30.75" customHeight="1">
      <c r="A6" s="133" t="s">
        <v>82</v>
      </c>
      <c r="B6" s="133" t="s">
        <v>83</v>
      </c>
      <c r="C6" s="134"/>
      <c r="D6" s="137">
        <v>0</v>
      </c>
      <c r="E6" s="134" t="s">
        <v>84</v>
      </c>
      <c r="F6" s="209">
        <f>자재단가!R5</f>
        <v>1590</v>
      </c>
      <c r="G6" s="134"/>
      <c r="H6" s="134"/>
      <c r="I6" s="134"/>
      <c r="J6" s="134"/>
      <c r="K6" s="134"/>
      <c r="L6" s="134"/>
      <c r="M6" s="136">
        <f>SUM(N6:P6)</f>
        <v>0</v>
      </c>
      <c r="N6" s="259">
        <f>D6*F6*0</f>
        <v>0</v>
      </c>
      <c r="O6" s="259"/>
      <c r="P6" s="260"/>
      <c r="Q6" s="217"/>
      <c r="R6">
        <v>900</v>
      </c>
      <c r="S6">
        <v>700</v>
      </c>
      <c r="T6">
        <v>679</v>
      </c>
      <c r="U6" t="s">
        <v>292</v>
      </c>
    </row>
    <row r="7" spans="1:21" ht="30.75" customHeight="1">
      <c r="A7" s="133" t="s">
        <v>85</v>
      </c>
      <c r="B7" s="133" t="s">
        <v>86</v>
      </c>
      <c r="C7" s="134"/>
      <c r="D7" s="135">
        <v>24</v>
      </c>
      <c r="E7" s="134" t="s">
        <v>87</v>
      </c>
      <c r="F7" s="138">
        <f>N6</f>
        <v>0</v>
      </c>
      <c r="G7" s="134"/>
      <c r="H7" s="134"/>
      <c r="I7" s="134"/>
      <c r="J7" s="134"/>
      <c r="K7" s="134"/>
      <c r="L7" s="134"/>
      <c r="M7" s="136">
        <f>SUM(N7:P7)</f>
        <v>0</v>
      </c>
      <c r="N7" s="259">
        <f>INT(D7*0.01*F7)</f>
        <v>0</v>
      </c>
      <c r="O7" s="259"/>
      <c r="P7" s="260"/>
      <c r="Q7" s="217"/>
    </row>
    <row r="8" spans="1:21" ht="30.75" customHeight="1">
      <c r="A8" s="133" t="s">
        <v>88</v>
      </c>
      <c r="B8" s="133"/>
      <c r="C8" s="134"/>
      <c r="D8" s="135">
        <v>1</v>
      </c>
      <c r="E8" s="134" t="s">
        <v>89</v>
      </c>
      <c r="F8" s="209">
        <f>노임단가!C5</f>
        <v>283323</v>
      </c>
      <c r="G8" s="134"/>
      <c r="H8" s="134"/>
      <c r="I8" s="134"/>
      <c r="J8" s="134"/>
      <c r="K8" s="134"/>
      <c r="L8" s="134"/>
      <c r="M8" s="136">
        <f>SUM(N8:P8)</f>
        <v>35415</v>
      </c>
      <c r="N8" s="259"/>
      <c r="O8" s="260">
        <f>INT((F8/8))</f>
        <v>35415</v>
      </c>
      <c r="P8" s="259"/>
      <c r="Q8" s="217" t="s">
        <v>175</v>
      </c>
    </row>
    <row r="9" spans="1:21" ht="30.75" customHeight="1">
      <c r="A9" s="566" t="s">
        <v>157</v>
      </c>
      <c r="B9" s="567"/>
      <c r="C9" s="568"/>
      <c r="D9" s="568"/>
      <c r="E9" s="568"/>
      <c r="F9" s="568"/>
      <c r="G9" s="568"/>
      <c r="H9" s="568"/>
      <c r="I9" s="568"/>
      <c r="J9" s="568"/>
      <c r="K9" s="568"/>
      <c r="L9" s="131"/>
      <c r="M9" s="132">
        <f>O9+P9+N9</f>
        <v>107497</v>
      </c>
      <c r="N9" s="258">
        <f>SUM(N10:N13)</f>
        <v>22870</v>
      </c>
      <c r="O9" s="258">
        <f>SUM(O10:O13)</f>
        <v>59025</v>
      </c>
      <c r="P9" s="258">
        <f>SUM(P10:P13)</f>
        <v>25602</v>
      </c>
      <c r="Q9" s="216"/>
    </row>
    <row r="10" spans="1:21" ht="30.75" customHeight="1">
      <c r="A10" s="133" t="s">
        <v>79</v>
      </c>
      <c r="B10" s="208">
        <f>B5</f>
        <v>112342000</v>
      </c>
      <c r="C10" s="134" t="s">
        <v>80</v>
      </c>
      <c r="D10" s="135">
        <f>R6+S6+T6</f>
        <v>2279</v>
      </c>
      <c r="E10" s="134" t="s">
        <v>81</v>
      </c>
      <c r="F10" s="134">
        <f>POWER(10,-7)</f>
        <v>9.9999999999999995E-8</v>
      </c>
      <c r="G10" s="134"/>
      <c r="H10" s="134"/>
      <c r="I10" s="134"/>
      <c r="J10" s="134"/>
      <c r="K10" s="134"/>
      <c r="L10" s="134"/>
      <c r="M10" s="136">
        <f>SUM(N10:P10)</f>
        <v>25602</v>
      </c>
      <c r="N10" s="260"/>
      <c r="O10" s="259"/>
      <c r="P10" s="259">
        <f>INT(B10*D10*F10)</f>
        <v>25602</v>
      </c>
      <c r="Q10" s="218" t="s">
        <v>347</v>
      </c>
    </row>
    <row r="11" spans="1:21" ht="30.75" customHeight="1">
      <c r="A11" s="133" t="s">
        <v>82</v>
      </c>
      <c r="B11" s="133" t="s">
        <v>83</v>
      </c>
      <c r="C11" s="134"/>
      <c r="D11" s="137">
        <v>11.6</v>
      </c>
      <c r="E11" s="134" t="s">
        <v>84</v>
      </c>
      <c r="F11" s="209">
        <f>F6</f>
        <v>1590</v>
      </c>
      <c r="G11" s="134"/>
      <c r="H11" s="134"/>
      <c r="I11" s="134"/>
      <c r="J11" s="134"/>
      <c r="K11" s="134"/>
      <c r="L11" s="134"/>
      <c r="M11" s="136">
        <f>SUM(N11:P11)</f>
        <v>18444</v>
      </c>
      <c r="N11" s="259">
        <f>INT(D11*F11)</f>
        <v>18444</v>
      </c>
      <c r="O11" s="259"/>
      <c r="P11" s="260"/>
      <c r="Q11" s="217"/>
    </row>
    <row r="12" spans="1:21" ht="30.75" customHeight="1">
      <c r="A12" s="133" t="s">
        <v>85</v>
      </c>
      <c r="B12" s="133" t="s">
        <v>86</v>
      </c>
      <c r="C12" s="134"/>
      <c r="D12" s="135">
        <v>24</v>
      </c>
      <c r="E12" s="134" t="s">
        <v>87</v>
      </c>
      <c r="F12" s="138">
        <f>N11</f>
        <v>18444</v>
      </c>
      <c r="G12" s="134"/>
      <c r="H12" s="134"/>
      <c r="I12" s="134"/>
      <c r="J12" s="134"/>
      <c r="K12" s="134"/>
      <c r="L12" s="134"/>
      <c r="M12" s="136">
        <f>SUM(N12:P12)</f>
        <v>4426</v>
      </c>
      <c r="N12" s="259">
        <f>INT(D12*0.01*F12)</f>
        <v>4426</v>
      </c>
      <c r="O12" s="259"/>
      <c r="P12" s="260"/>
      <c r="Q12" s="217"/>
    </row>
    <row r="13" spans="1:21" ht="30.75" customHeight="1" thickBot="1">
      <c r="A13" s="413" t="s">
        <v>88</v>
      </c>
      <c r="B13" s="413"/>
      <c r="C13" s="414"/>
      <c r="D13" s="415">
        <v>1</v>
      </c>
      <c r="E13" s="414" t="s">
        <v>89</v>
      </c>
      <c r="F13" s="416">
        <f>F8</f>
        <v>283323</v>
      </c>
      <c r="G13" s="414" t="s">
        <v>90</v>
      </c>
      <c r="H13" s="414"/>
      <c r="I13" s="414"/>
      <c r="J13" s="414"/>
      <c r="K13" s="414"/>
      <c r="L13" s="414"/>
      <c r="M13" s="417">
        <f>SUM(N13:P13)</f>
        <v>59025</v>
      </c>
      <c r="N13" s="418"/>
      <c r="O13" s="419">
        <f>INT(F13/8*16/12*25/20)</f>
        <v>59025</v>
      </c>
      <c r="P13" s="420"/>
      <c r="Q13" s="421" t="s">
        <v>175</v>
      </c>
    </row>
    <row r="14" spans="1:21" ht="30.75" customHeight="1">
      <c r="A14" s="569" t="s">
        <v>155</v>
      </c>
      <c r="B14" s="574"/>
      <c r="C14" s="575"/>
      <c r="D14" s="575"/>
      <c r="E14" s="575"/>
      <c r="F14" s="575"/>
      <c r="G14" s="575"/>
      <c r="H14" s="575"/>
      <c r="I14" s="575"/>
      <c r="J14" s="575"/>
      <c r="K14" s="575"/>
      <c r="L14" s="422"/>
      <c r="M14" s="423">
        <f>O14+P14+N14</f>
        <v>45744</v>
      </c>
      <c r="N14" s="424">
        <f>SUM(N15:N18)</f>
        <v>0</v>
      </c>
      <c r="O14" s="424">
        <f>SUM(O15:O18)</f>
        <v>35415</v>
      </c>
      <c r="P14" s="424">
        <f>SUM(P15:P18)</f>
        <v>10329</v>
      </c>
      <c r="Q14" s="425"/>
    </row>
    <row r="15" spans="1:21" ht="30.75" customHeight="1">
      <c r="A15" s="141" t="s">
        <v>79</v>
      </c>
      <c r="B15" s="208">
        <f>전체입력표!C11</f>
        <v>90653000</v>
      </c>
      <c r="C15" s="142" t="s">
        <v>80</v>
      </c>
      <c r="D15" s="143">
        <f>R5+S5+T5</f>
        <v>2279</v>
      </c>
      <c r="E15" s="142" t="s">
        <v>81</v>
      </c>
      <c r="F15" s="134">
        <f>POWER(10,-7)</f>
        <v>9.9999999999999995E-8</v>
      </c>
      <c r="G15" s="134" t="s">
        <v>346</v>
      </c>
      <c r="H15" s="134">
        <v>0.5</v>
      </c>
      <c r="I15" s="142"/>
      <c r="J15" s="142"/>
      <c r="K15" s="142"/>
      <c r="L15" s="142"/>
      <c r="M15" s="136">
        <f>SUM(N15:P15)</f>
        <v>10329</v>
      </c>
      <c r="N15" s="260"/>
      <c r="O15" s="259"/>
      <c r="P15" s="259">
        <f>INT(B15*D15*F15*H15)</f>
        <v>10329</v>
      </c>
      <c r="Q15" s="218" t="s">
        <v>347</v>
      </c>
    </row>
    <row r="16" spans="1:21" ht="30.75" customHeight="1">
      <c r="A16" s="141" t="s">
        <v>82</v>
      </c>
      <c r="B16" s="141" t="s">
        <v>250</v>
      </c>
      <c r="C16" s="142"/>
      <c r="D16" s="144">
        <v>0</v>
      </c>
      <c r="E16" s="142" t="s">
        <v>84</v>
      </c>
      <c r="F16" s="209">
        <f>F11</f>
        <v>1590</v>
      </c>
      <c r="G16" s="142"/>
      <c r="H16" s="142"/>
      <c r="I16" s="142"/>
      <c r="J16" s="142"/>
      <c r="K16" s="142"/>
      <c r="L16" s="142"/>
      <c r="M16" s="136">
        <f>SUM(N16:P16)</f>
        <v>0</v>
      </c>
      <c r="N16" s="259">
        <f>D16*F16*0</f>
        <v>0</v>
      </c>
      <c r="O16" s="259"/>
      <c r="P16" s="260"/>
      <c r="Q16" s="215"/>
    </row>
    <row r="17" spans="1:21" ht="30.75" customHeight="1">
      <c r="A17" s="141" t="s">
        <v>85</v>
      </c>
      <c r="B17" s="141" t="s">
        <v>86</v>
      </c>
      <c r="C17" s="142"/>
      <c r="D17" s="143">
        <v>38</v>
      </c>
      <c r="E17" s="142" t="s">
        <v>87</v>
      </c>
      <c r="F17" s="145">
        <v>0</v>
      </c>
      <c r="G17" s="142"/>
      <c r="H17" s="142"/>
      <c r="I17" s="142"/>
      <c r="J17" s="142"/>
      <c r="K17" s="142"/>
      <c r="L17" s="142"/>
      <c r="M17" s="136">
        <f>SUM(N17:P17)</f>
        <v>0</v>
      </c>
      <c r="N17" s="259">
        <f>INT(D17*0.01*F17)</f>
        <v>0</v>
      </c>
      <c r="O17" s="259"/>
      <c r="P17" s="260"/>
      <c r="Q17" s="215"/>
    </row>
    <row r="18" spans="1:21" ht="30.75" customHeight="1">
      <c r="A18" s="141" t="s">
        <v>88</v>
      </c>
      <c r="B18" s="141"/>
      <c r="C18" s="142"/>
      <c r="D18" s="143">
        <v>1</v>
      </c>
      <c r="E18" s="142" t="s">
        <v>89</v>
      </c>
      <c r="F18" s="209">
        <f>F13</f>
        <v>283323</v>
      </c>
      <c r="G18" s="142" t="s">
        <v>91</v>
      </c>
      <c r="H18" s="134"/>
      <c r="I18" s="134"/>
      <c r="J18" s="142"/>
      <c r="K18" s="142"/>
      <c r="L18" s="142"/>
      <c r="M18" s="136">
        <f>SUM(N18:P18)</f>
        <v>35415</v>
      </c>
      <c r="N18" s="259"/>
      <c r="O18" s="260">
        <f>INT((F18/8))</f>
        <v>35415</v>
      </c>
      <c r="P18" s="259"/>
      <c r="Q18" s="217" t="s">
        <v>175</v>
      </c>
    </row>
    <row r="19" spans="1:21" ht="30.75" customHeight="1">
      <c r="A19" s="571" t="s">
        <v>156</v>
      </c>
      <c r="B19" s="572"/>
      <c r="C19" s="573"/>
      <c r="D19" s="573"/>
      <c r="E19" s="573"/>
      <c r="F19" s="573"/>
      <c r="G19" s="573"/>
      <c r="H19" s="573"/>
      <c r="I19" s="573"/>
      <c r="J19" s="573"/>
      <c r="K19" s="573"/>
      <c r="L19" s="139"/>
      <c r="M19" s="140">
        <f>O19+P19+N19</f>
        <v>114571</v>
      </c>
      <c r="N19" s="258">
        <f>SUM(N20:N23)</f>
        <v>34887</v>
      </c>
      <c r="O19" s="258">
        <f>SUM(O20:O23)</f>
        <v>59025</v>
      </c>
      <c r="P19" s="258">
        <f>SUM(P20:P23)</f>
        <v>20659</v>
      </c>
      <c r="Q19" s="214"/>
    </row>
    <row r="20" spans="1:21" ht="30.75" customHeight="1">
      <c r="A20" s="141" t="s">
        <v>79</v>
      </c>
      <c r="B20" s="208">
        <f>B15</f>
        <v>90653000</v>
      </c>
      <c r="C20" s="142" t="s">
        <v>80</v>
      </c>
      <c r="D20" s="143">
        <f>R5+S5+T5</f>
        <v>2279</v>
      </c>
      <c r="E20" s="142" t="s">
        <v>81</v>
      </c>
      <c r="F20" s="134">
        <f>POWER(10,-7)</f>
        <v>9.9999999999999995E-8</v>
      </c>
      <c r="G20" s="142"/>
      <c r="H20" s="142"/>
      <c r="I20" s="142"/>
      <c r="J20" s="142"/>
      <c r="K20" s="142"/>
      <c r="L20" s="142"/>
      <c r="M20" s="136">
        <f>SUM(N20:P20)</f>
        <v>20659</v>
      </c>
      <c r="N20" s="260"/>
      <c r="O20" s="259"/>
      <c r="P20" s="259">
        <f>INT(B20*D20*F20)</f>
        <v>20659</v>
      </c>
      <c r="Q20" s="218" t="s">
        <v>347</v>
      </c>
    </row>
    <row r="21" spans="1:21" ht="30.75" customHeight="1">
      <c r="A21" s="141" t="s">
        <v>82</v>
      </c>
      <c r="B21" s="141" t="s">
        <v>83</v>
      </c>
      <c r="C21" s="142"/>
      <c r="D21" s="144">
        <v>15.9</v>
      </c>
      <c r="E21" s="142" t="s">
        <v>84</v>
      </c>
      <c r="F21" s="209">
        <f>F16</f>
        <v>1590</v>
      </c>
      <c r="G21" s="142"/>
      <c r="H21" s="142"/>
      <c r="I21" s="142"/>
      <c r="J21" s="142"/>
      <c r="K21" s="142"/>
      <c r="L21" s="142"/>
      <c r="M21" s="136">
        <f>SUM(N21:P21)</f>
        <v>25281</v>
      </c>
      <c r="N21" s="259">
        <f>INT(D21*F21)</f>
        <v>25281</v>
      </c>
      <c r="O21" s="259"/>
      <c r="P21" s="260"/>
      <c r="Q21" s="215"/>
    </row>
    <row r="22" spans="1:21" ht="30.75" customHeight="1">
      <c r="A22" s="141" t="s">
        <v>85</v>
      </c>
      <c r="B22" s="141" t="s">
        <v>86</v>
      </c>
      <c r="C22" s="142"/>
      <c r="D22" s="143">
        <v>38</v>
      </c>
      <c r="E22" s="142" t="s">
        <v>87</v>
      </c>
      <c r="F22" s="145">
        <f>N21</f>
        <v>25281</v>
      </c>
      <c r="G22" s="142"/>
      <c r="H22" s="142"/>
      <c r="I22" s="142"/>
      <c r="J22" s="142"/>
      <c r="K22" s="142"/>
      <c r="L22" s="142"/>
      <c r="M22" s="136">
        <f>SUM(N22:P22)</f>
        <v>9606</v>
      </c>
      <c r="N22" s="259">
        <f>INT(D22*0.01*F22)</f>
        <v>9606</v>
      </c>
      <c r="O22" s="259"/>
      <c r="P22" s="260"/>
      <c r="Q22" s="215"/>
    </row>
    <row r="23" spans="1:21" ht="30.75" customHeight="1">
      <c r="A23" s="190" t="s">
        <v>88</v>
      </c>
      <c r="B23" s="190"/>
      <c r="C23" s="191"/>
      <c r="D23" s="192">
        <v>1</v>
      </c>
      <c r="E23" s="191" t="s">
        <v>89</v>
      </c>
      <c r="F23" s="210">
        <f>F18</f>
        <v>283323</v>
      </c>
      <c r="G23" s="191" t="s">
        <v>92</v>
      </c>
      <c r="H23" s="191"/>
      <c r="I23" s="191"/>
      <c r="J23" s="191"/>
      <c r="K23" s="191"/>
      <c r="L23" s="191"/>
      <c r="M23" s="136">
        <f>SUM(N23:P23)</f>
        <v>59025</v>
      </c>
      <c r="N23" s="259"/>
      <c r="O23" s="260">
        <f>INT(F23/8*16/12*25/20)</f>
        <v>59025</v>
      </c>
      <c r="P23" s="261"/>
      <c r="Q23" s="217" t="s">
        <v>175</v>
      </c>
    </row>
    <row r="24" spans="1:21" ht="30.75" customHeight="1">
      <c r="A24" s="571" t="s">
        <v>191</v>
      </c>
      <c r="B24" s="572"/>
      <c r="C24" s="573"/>
      <c r="D24" s="573"/>
      <c r="E24" s="573"/>
      <c r="F24" s="573"/>
      <c r="G24" s="573"/>
      <c r="H24" s="573"/>
      <c r="I24" s="573"/>
      <c r="J24" s="573"/>
      <c r="K24" s="573"/>
      <c r="L24" s="139"/>
      <c r="M24" s="140">
        <f>O24+P24+N24</f>
        <v>114571</v>
      </c>
      <c r="N24" s="258">
        <f>SUM(N25:N28)</f>
        <v>34887</v>
      </c>
      <c r="O24" s="258">
        <f>SUM(O25:O28)</f>
        <v>59025</v>
      </c>
      <c r="P24" s="258">
        <f>SUM(P25:P28)</f>
        <v>20659</v>
      </c>
      <c r="Q24" s="214"/>
    </row>
    <row r="25" spans="1:21" ht="30.75" customHeight="1">
      <c r="A25" s="141" t="s">
        <v>79</v>
      </c>
      <c r="B25" s="208">
        <f>B20</f>
        <v>90653000</v>
      </c>
      <c r="C25" s="142" t="s">
        <v>80</v>
      </c>
      <c r="D25" s="143">
        <f>R5+S5+T5</f>
        <v>2279</v>
      </c>
      <c r="E25" s="142" t="s">
        <v>81</v>
      </c>
      <c r="F25" s="134">
        <f>POWER(10,-7)</f>
        <v>9.9999999999999995E-8</v>
      </c>
      <c r="G25" s="142"/>
      <c r="H25" s="142"/>
      <c r="I25" s="142"/>
      <c r="J25" s="142"/>
      <c r="K25" s="142"/>
      <c r="L25" s="142"/>
      <c r="M25" s="136">
        <f>SUM(N25:P25)</f>
        <v>20659</v>
      </c>
      <c r="N25" s="260"/>
      <c r="O25" s="260"/>
      <c r="P25" s="260">
        <f>INT(B25*D25*F25)</f>
        <v>20659</v>
      </c>
      <c r="Q25" s="218" t="s">
        <v>231</v>
      </c>
    </row>
    <row r="26" spans="1:21" ht="30.75" customHeight="1">
      <c r="A26" s="141" t="s">
        <v>82</v>
      </c>
      <c r="B26" s="141" t="s">
        <v>83</v>
      </c>
      <c r="C26" s="142"/>
      <c r="D26" s="144">
        <v>15.9</v>
      </c>
      <c r="E26" s="142" t="s">
        <v>84</v>
      </c>
      <c r="F26" s="209">
        <f>F21</f>
        <v>1590</v>
      </c>
      <c r="G26" s="142"/>
      <c r="H26" s="142"/>
      <c r="I26" s="142"/>
      <c r="J26" s="142"/>
      <c r="K26" s="142"/>
      <c r="L26" s="142"/>
      <c r="M26" s="136">
        <f>SUM(N26:P26)</f>
        <v>25281</v>
      </c>
      <c r="N26" s="260">
        <f>INT(D26*F26)</f>
        <v>25281</v>
      </c>
      <c r="O26" s="260"/>
      <c r="P26" s="260"/>
      <c r="Q26" s="215"/>
    </row>
    <row r="27" spans="1:21" ht="30.75" customHeight="1">
      <c r="A27" s="141" t="s">
        <v>85</v>
      </c>
      <c r="B27" s="141" t="s">
        <v>86</v>
      </c>
      <c r="C27" s="142"/>
      <c r="D27" s="143">
        <v>38</v>
      </c>
      <c r="E27" s="142" t="s">
        <v>87</v>
      </c>
      <c r="F27" s="145">
        <f>N26</f>
        <v>25281</v>
      </c>
      <c r="G27" s="142"/>
      <c r="H27" s="142"/>
      <c r="I27" s="142"/>
      <c r="J27" s="142"/>
      <c r="K27" s="142"/>
      <c r="L27" s="142"/>
      <c r="M27" s="136">
        <f>SUM(N27:P27)</f>
        <v>9606</v>
      </c>
      <c r="N27" s="260">
        <f>INT(D27*0.01*F27)</f>
        <v>9606</v>
      </c>
      <c r="O27" s="260"/>
      <c r="P27" s="260"/>
      <c r="Q27" s="215"/>
    </row>
    <row r="28" spans="1:21" ht="30.75" customHeight="1" thickBot="1">
      <c r="A28" s="426" t="s">
        <v>88</v>
      </c>
      <c r="B28" s="426"/>
      <c r="C28" s="427"/>
      <c r="D28" s="428">
        <v>1</v>
      </c>
      <c r="E28" s="427" t="s">
        <v>89</v>
      </c>
      <c r="F28" s="429">
        <f>F23</f>
        <v>283323</v>
      </c>
      <c r="G28" s="427" t="s">
        <v>92</v>
      </c>
      <c r="H28" s="427"/>
      <c r="I28" s="427"/>
      <c r="J28" s="427"/>
      <c r="K28" s="427"/>
      <c r="L28" s="427"/>
      <c r="M28" s="417">
        <f>SUM(N28:P28)</f>
        <v>59025</v>
      </c>
      <c r="N28" s="430"/>
      <c r="O28" s="430">
        <f>INT(F28/8*16/12*25/20)</f>
        <v>59025</v>
      </c>
      <c r="P28" s="430"/>
      <c r="Q28" s="421" t="s">
        <v>175</v>
      </c>
    </row>
    <row r="29" spans="1:21" ht="30.75" customHeight="1">
      <c r="A29" s="569" t="s">
        <v>349</v>
      </c>
      <c r="B29" s="570"/>
      <c r="C29" s="570"/>
      <c r="D29" s="570"/>
      <c r="E29" s="570"/>
      <c r="F29" s="570"/>
      <c r="G29" s="570"/>
      <c r="H29" s="570"/>
      <c r="I29" s="570"/>
      <c r="J29" s="570"/>
      <c r="K29" s="570"/>
      <c r="L29" s="422"/>
      <c r="M29" s="423">
        <f>O29+P29+N29</f>
        <v>62404</v>
      </c>
      <c r="N29" s="424">
        <f>SUM(N30:N33)</f>
        <v>6363</v>
      </c>
      <c r="O29" s="424">
        <f>SUM(O30:O33)</f>
        <v>50008</v>
      </c>
      <c r="P29" s="424">
        <f>SUM(P30:P33)</f>
        <v>6033</v>
      </c>
      <c r="Q29" s="431"/>
      <c r="R29" t="s">
        <v>198</v>
      </c>
      <c r="S29" t="s">
        <v>199</v>
      </c>
      <c r="T29" t="s">
        <v>200</v>
      </c>
    </row>
    <row r="30" spans="1:21" ht="30.75" customHeight="1">
      <c r="A30" s="141" t="s">
        <v>79</v>
      </c>
      <c r="B30" s="208">
        <v>20334000</v>
      </c>
      <c r="C30" s="142" t="s">
        <v>80</v>
      </c>
      <c r="D30" s="143">
        <f>R30+S30+T30</f>
        <v>2967</v>
      </c>
      <c r="E30" s="142" t="s">
        <v>81</v>
      </c>
      <c r="F30" s="134">
        <f>POWER(10,-7)</f>
        <v>9.9999999999999995E-8</v>
      </c>
      <c r="G30" s="142"/>
      <c r="H30" s="142"/>
      <c r="I30" s="142"/>
      <c r="J30" s="142"/>
      <c r="K30" s="142"/>
      <c r="L30" s="142"/>
      <c r="M30" s="136">
        <f>SUM(N30:P30)</f>
        <v>6033</v>
      </c>
      <c r="N30" s="260"/>
      <c r="O30" s="260"/>
      <c r="P30" s="260">
        <f>INT(B30*D30*F30)</f>
        <v>6033</v>
      </c>
      <c r="Q30" s="218" t="s">
        <v>277</v>
      </c>
      <c r="R30">
        <v>1200</v>
      </c>
      <c r="S30">
        <v>1067</v>
      </c>
      <c r="T30">
        <v>700</v>
      </c>
      <c r="U30" s="407" t="s">
        <v>345</v>
      </c>
    </row>
    <row r="31" spans="1:21" ht="30.75" customHeight="1">
      <c r="A31" s="141" t="s">
        <v>82</v>
      </c>
      <c r="B31" s="141" t="s">
        <v>83</v>
      </c>
      <c r="C31" s="142"/>
      <c r="D31" s="144">
        <v>2.9</v>
      </c>
      <c r="E31" s="142" t="s">
        <v>84</v>
      </c>
      <c r="F31" s="209">
        <f>F21</f>
        <v>1590</v>
      </c>
      <c r="G31" s="142"/>
      <c r="H31" s="142"/>
      <c r="I31" s="142"/>
      <c r="J31" s="142"/>
      <c r="K31" s="142"/>
      <c r="L31" s="142"/>
      <c r="M31" s="136">
        <f>SUM(N31:P31)</f>
        <v>4611</v>
      </c>
      <c r="N31" s="260">
        <f>INT(D31*F31)</f>
        <v>4611</v>
      </c>
      <c r="O31" s="260"/>
      <c r="P31" s="260"/>
      <c r="Q31" s="215"/>
    </row>
    <row r="32" spans="1:21" ht="30.75" customHeight="1">
      <c r="A32" s="141" t="s">
        <v>85</v>
      </c>
      <c r="B32" s="141" t="s">
        <v>86</v>
      </c>
      <c r="C32" s="142"/>
      <c r="D32" s="143">
        <v>38</v>
      </c>
      <c r="E32" s="142" t="s">
        <v>87</v>
      </c>
      <c r="F32" s="145">
        <f>N31</f>
        <v>4611</v>
      </c>
      <c r="G32" s="142"/>
      <c r="H32" s="142"/>
      <c r="I32" s="142"/>
      <c r="J32" s="142"/>
      <c r="K32" s="142"/>
      <c r="L32" s="142"/>
      <c r="M32" s="136">
        <f>SUM(N32:P32)</f>
        <v>1752</v>
      </c>
      <c r="N32" s="260">
        <f>INT(D32*0.01*F32)</f>
        <v>1752</v>
      </c>
      <c r="O32" s="260"/>
      <c r="P32" s="260"/>
      <c r="Q32" s="215"/>
    </row>
    <row r="33" spans="1:17" ht="30.75" customHeight="1" thickBot="1">
      <c r="A33" s="426" t="s">
        <v>260</v>
      </c>
      <c r="B33" s="426" t="s">
        <v>270</v>
      </c>
      <c r="C33" s="427"/>
      <c r="D33" s="428">
        <v>1</v>
      </c>
      <c r="E33" s="427" t="s">
        <v>89</v>
      </c>
      <c r="F33" s="429">
        <f>전체입력표!C5</f>
        <v>240042</v>
      </c>
      <c r="G33" s="427" t="s">
        <v>92</v>
      </c>
      <c r="H33" s="427"/>
      <c r="I33" s="427"/>
      <c r="J33" s="427"/>
      <c r="K33" s="427"/>
      <c r="L33" s="427"/>
      <c r="M33" s="417">
        <f>SUM(N33:P33)</f>
        <v>50008</v>
      </c>
      <c r="N33" s="430"/>
      <c r="O33" s="430">
        <f>INT(F33/8*16/12*25/20)</f>
        <v>50008</v>
      </c>
      <c r="P33" s="430"/>
      <c r="Q33" s="421" t="s">
        <v>175</v>
      </c>
    </row>
  </sheetData>
  <mergeCells count="7">
    <mergeCell ref="A3:L3"/>
    <mergeCell ref="A9:K9"/>
    <mergeCell ref="A29:K29"/>
    <mergeCell ref="A24:K24"/>
    <mergeCell ref="A19:K19"/>
    <mergeCell ref="A4:K4"/>
    <mergeCell ref="A14:K14"/>
  </mergeCells>
  <phoneticPr fontId="24" type="noConversion"/>
  <pageMargins left="0.75" right="0.75" top="1" bottom="1" header="0.5" footer="0.5"/>
  <pageSetup paperSize="9" scale="66" orientation="portrait" horizont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4"/>
  <dimension ref="B1:Z8"/>
  <sheetViews>
    <sheetView workbookViewId="0">
      <selection activeCell="O16" sqref="O16"/>
    </sheetView>
  </sheetViews>
  <sheetFormatPr defaultRowHeight="12"/>
  <cols>
    <col min="1" max="1" width="0.7109375" customWidth="1"/>
    <col min="2" max="2" width="4" customWidth="1"/>
    <col min="3" max="3" width="21.28515625" customWidth="1"/>
    <col min="4" max="4" width="18.85546875" customWidth="1"/>
    <col min="5" max="5" width="4.7109375" customWidth="1"/>
    <col min="6" max="6" width="8.140625" customWidth="1"/>
    <col min="7" max="7" width="7.85546875" customWidth="1"/>
    <col min="8" max="8" width="8.42578125" customWidth="1"/>
    <col min="9" max="11" width="7" customWidth="1"/>
    <col min="12" max="12" width="8.140625" customWidth="1"/>
    <col min="13" max="17" width="7" customWidth="1"/>
    <col min="18" max="18" width="8.42578125" customWidth="1"/>
    <col min="19" max="19" width="7.7109375" customWidth="1"/>
  </cols>
  <sheetData>
    <row r="1" spans="2:26" ht="24.95" customHeight="1">
      <c r="B1" s="576" t="s">
        <v>202</v>
      </c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  <c r="S1" s="576"/>
    </row>
    <row r="2" spans="2:26" ht="9.9499999999999993" customHeight="1"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577"/>
      <c r="P2" s="577"/>
      <c r="Q2" s="577"/>
      <c r="R2" s="577"/>
      <c r="S2" s="577"/>
    </row>
    <row r="3" spans="2:26" ht="15.4" customHeight="1">
      <c r="B3" s="578" t="s">
        <v>203</v>
      </c>
      <c r="C3" s="580" t="s">
        <v>204</v>
      </c>
      <c r="D3" s="580" t="s">
        <v>205</v>
      </c>
      <c r="E3" s="580" t="s">
        <v>36</v>
      </c>
      <c r="F3" s="582" t="s">
        <v>206</v>
      </c>
      <c r="G3" s="583"/>
      <c r="H3" s="582" t="s">
        <v>207</v>
      </c>
      <c r="I3" s="583"/>
      <c r="J3" s="582" t="s">
        <v>208</v>
      </c>
      <c r="K3" s="583"/>
      <c r="L3" s="582" t="s">
        <v>209</v>
      </c>
      <c r="M3" s="583"/>
      <c r="N3" s="582" t="s">
        <v>210</v>
      </c>
      <c r="O3" s="583"/>
      <c r="P3" s="582" t="s">
        <v>211</v>
      </c>
      <c r="Q3" s="583"/>
      <c r="R3" s="580" t="s">
        <v>212</v>
      </c>
      <c r="S3" s="584" t="s">
        <v>213</v>
      </c>
      <c r="W3" t="s">
        <v>214</v>
      </c>
      <c r="X3" t="s">
        <v>215</v>
      </c>
      <c r="Y3" t="s">
        <v>216</v>
      </c>
      <c r="Z3" t="s">
        <v>217</v>
      </c>
    </row>
    <row r="4" spans="2:26" ht="19.7" customHeight="1">
      <c r="B4" s="579"/>
      <c r="C4" s="581"/>
      <c r="D4" s="581"/>
      <c r="E4" s="581"/>
      <c r="F4" s="220" t="s">
        <v>218</v>
      </c>
      <c r="G4" s="219" t="s">
        <v>219</v>
      </c>
      <c r="H4" s="220" t="s">
        <v>218</v>
      </c>
      <c r="I4" s="219" t="s">
        <v>219</v>
      </c>
      <c r="J4" s="220" t="s">
        <v>218</v>
      </c>
      <c r="K4" s="219" t="s">
        <v>219</v>
      </c>
      <c r="L4" s="220" t="s">
        <v>218</v>
      </c>
      <c r="M4" s="219" t="s">
        <v>219</v>
      </c>
      <c r="N4" s="220" t="s">
        <v>218</v>
      </c>
      <c r="O4" s="219" t="s">
        <v>219</v>
      </c>
      <c r="P4" s="220" t="s">
        <v>218</v>
      </c>
      <c r="Q4" s="219" t="s">
        <v>219</v>
      </c>
      <c r="R4" s="581"/>
      <c r="S4" s="585"/>
    </row>
    <row r="5" spans="2:26" ht="19.7" customHeight="1">
      <c r="B5" s="221" t="s">
        <v>220</v>
      </c>
      <c r="C5" s="222" t="s">
        <v>221</v>
      </c>
      <c r="D5" s="222" t="s">
        <v>42</v>
      </c>
      <c r="E5" s="223" t="s">
        <v>222</v>
      </c>
      <c r="F5" s="224"/>
      <c r="G5" s="235"/>
      <c r="H5" s="224"/>
      <c r="I5" s="225" t="s">
        <v>42</v>
      </c>
      <c r="J5" s="224">
        <v>1590</v>
      </c>
      <c r="K5" s="225" t="s">
        <v>379</v>
      </c>
      <c r="L5" s="224"/>
      <c r="M5" s="225" t="s">
        <v>42</v>
      </c>
      <c r="N5" s="224"/>
      <c r="O5" s="225" t="s">
        <v>42</v>
      </c>
      <c r="P5" s="224"/>
      <c r="Q5" s="225" t="s">
        <v>42</v>
      </c>
      <c r="R5" s="226">
        <f>MIN(F5,H5,J5,L5,N5,P5)</f>
        <v>1590</v>
      </c>
      <c r="S5" s="227"/>
      <c r="W5" s="122"/>
    </row>
    <row r="6" spans="2:26" ht="19.7" customHeight="1">
      <c r="B6" s="221" t="s">
        <v>223</v>
      </c>
      <c r="C6" s="222" t="s">
        <v>224</v>
      </c>
      <c r="D6" s="222" t="s">
        <v>42</v>
      </c>
      <c r="E6" s="223" t="s">
        <v>222</v>
      </c>
      <c r="F6" s="224"/>
      <c r="G6" s="235"/>
      <c r="H6" s="224"/>
      <c r="I6" s="225" t="s">
        <v>42</v>
      </c>
      <c r="J6" s="224">
        <f>전체입력표!D17</f>
        <v>0</v>
      </c>
      <c r="K6" s="225" t="s">
        <v>380</v>
      </c>
      <c r="L6" s="224"/>
      <c r="M6" s="225" t="s">
        <v>42</v>
      </c>
      <c r="N6" s="224"/>
      <c r="O6" s="225" t="s">
        <v>42</v>
      </c>
      <c r="P6" s="224"/>
      <c r="Q6" s="225" t="s">
        <v>42</v>
      </c>
      <c r="R6" s="226">
        <f>MIN(F6,H6,J6,L6,N6,P6)</f>
        <v>0</v>
      </c>
      <c r="S6" s="227"/>
      <c r="W6" s="122"/>
    </row>
    <row r="7" spans="2:26" s="202" customFormat="1" ht="22.35" hidden="1" customHeight="1">
      <c r="B7" s="229">
        <v>10</v>
      </c>
      <c r="C7" s="230" t="s">
        <v>225</v>
      </c>
      <c r="D7" s="230" t="s">
        <v>226</v>
      </c>
      <c r="E7" s="231" t="s">
        <v>227</v>
      </c>
      <c r="F7" s="232">
        <v>20500</v>
      </c>
      <c r="G7" s="230" t="s">
        <v>228</v>
      </c>
      <c r="H7" s="232"/>
      <c r="I7" s="230" t="s">
        <v>42</v>
      </c>
      <c r="J7" s="232"/>
      <c r="K7" s="230" t="s">
        <v>42</v>
      </c>
      <c r="L7" s="232"/>
      <c r="M7" s="230" t="s">
        <v>42</v>
      </c>
      <c r="N7" s="232"/>
      <c r="O7" s="230" t="s">
        <v>42</v>
      </c>
      <c r="P7" s="232"/>
      <c r="Q7" s="230" t="s">
        <v>42</v>
      </c>
      <c r="R7" s="233">
        <f>MIN(F7,H7,J7,L7,N7,P7)</f>
        <v>20500</v>
      </c>
      <c r="S7" s="234" t="s">
        <v>42</v>
      </c>
      <c r="W7" s="228"/>
    </row>
    <row r="8" spans="2:26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</row>
  </sheetData>
  <mergeCells count="13">
    <mergeCell ref="B1:S2"/>
    <mergeCell ref="B3:B4"/>
    <mergeCell ref="C3:C4"/>
    <mergeCell ref="D3:D4"/>
    <mergeCell ref="E3:E4"/>
    <mergeCell ref="F3:G3"/>
    <mergeCell ref="H3:I3"/>
    <mergeCell ref="J3:K3"/>
    <mergeCell ref="L3:M3"/>
    <mergeCell ref="N3:O3"/>
    <mergeCell ref="P3:Q3"/>
    <mergeCell ref="R3:R4"/>
    <mergeCell ref="S3:S4"/>
  </mergeCells>
  <phoneticPr fontId="2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5"/>
  <dimension ref="A1:D6"/>
  <sheetViews>
    <sheetView view="pageBreakPreview" zoomScaleNormal="100" zoomScaleSheetLayoutView="100" workbookViewId="0">
      <selection activeCell="C12" sqref="C12"/>
    </sheetView>
  </sheetViews>
  <sheetFormatPr defaultRowHeight="12"/>
  <cols>
    <col min="1" max="1" width="12.7109375" customWidth="1"/>
    <col min="2" max="2" width="19.85546875" customWidth="1"/>
    <col min="3" max="3" width="15.7109375" customWidth="1"/>
  </cols>
  <sheetData>
    <row r="1" spans="1:4" ht="27.75" customHeight="1">
      <c r="A1" s="588" t="s">
        <v>364</v>
      </c>
      <c r="B1" s="588"/>
      <c r="C1" s="588"/>
    </row>
    <row r="2" spans="1:4" s="201" customFormat="1" ht="20.25" customHeight="1">
      <c r="A2" s="589" t="s">
        <v>176</v>
      </c>
      <c r="B2" s="589"/>
      <c r="C2" s="590" t="s">
        <v>365</v>
      </c>
      <c r="D2" s="586" t="s">
        <v>229</v>
      </c>
    </row>
    <row r="3" spans="1:4" s="201" customFormat="1" ht="20.25" customHeight="1">
      <c r="A3" s="205" t="s">
        <v>195</v>
      </c>
      <c r="B3" s="205" t="s">
        <v>196</v>
      </c>
      <c r="C3" s="591"/>
      <c r="D3" s="587"/>
    </row>
    <row r="4" spans="1:4" s="201" customFormat="1" ht="20.25" customHeight="1">
      <c r="A4" s="212">
        <v>1002</v>
      </c>
      <c r="B4" s="213" t="s">
        <v>177</v>
      </c>
      <c r="C4" s="256">
        <f>전체입력표!C4</f>
        <v>172698</v>
      </c>
      <c r="D4" s="236"/>
    </row>
    <row r="5" spans="1:4" s="201" customFormat="1" ht="20.25" customHeight="1">
      <c r="A5" s="212">
        <v>1048</v>
      </c>
      <c r="B5" s="213" t="s">
        <v>178</v>
      </c>
      <c r="C5" s="256">
        <f>전체입력표!C6</f>
        <v>283323</v>
      </c>
      <c r="D5" s="236"/>
    </row>
    <row r="6" spans="1:4" ht="20.25" customHeight="1">
      <c r="A6" s="212">
        <v>1049</v>
      </c>
      <c r="B6" s="213" t="s">
        <v>358</v>
      </c>
      <c r="C6" s="256">
        <f>전체입력표!C5</f>
        <v>240042</v>
      </c>
      <c r="D6" s="236"/>
    </row>
  </sheetData>
  <mergeCells count="4">
    <mergeCell ref="D2:D3"/>
    <mergeCell ref="A1:C1"/>
    <mergeCell ref="A2:B2"/>
    <mergeCell ref="C2:C3"/>
  </mergeCells>
  <phoneticPr fontId="24" type="noConversion"/>
  <printOptions horizontalCentered="1"/>
  <pageMargins left="0.27559055118110237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30</vt:i4>
      </vt:variant>
    </vt:vector>
  </HeadingPairs>
  <TitlesOfParts>
    <vt:vector size="47" baseType="lpstr">
      <vt:lpstr>요약서</vt:lpstr>
      <vt:lpstr>전체입력표</vt:lpstr>
      <vt:lpstr>표지2</vt:lpstr>
      <vt:lpstr>예정동원</vt:lpstr>
      <vt:lpstr>예산갑지</vt:lpstr>
      <vt:lpstr>원가계산서</vt:lpstr>
      <vt:lpstr>내역서</vt:lpstr>
      <vt:lpstr>설계내역서</vt:lpstr>
      <vt:lpstr>수량산출서</vt:lpstr>
      <vt:lpstr>15t 덤프</vt:lpstr>
      <vt:lpstr>굴삭기0.6</vt:lpstr>
      <vt:lpstr>점검단가</vt:lpstr>
      <vt:lpstr>순찰</vt:lpstr>
      <vt:lpstr>운반</vt:lpstr>
      <vt:lpstr>기계경비</vt:lpstr>
      <vt:lpstr>자재단가</vt:lpstr>
      <vt:lpstr>노임단가</vt:lpstr>
      <vt:lpstr>'15t 덤프'!Print_Area</vt:lpstr>
      <vt:lpstr>굴삭기0.6!Print_Area</vt:lpstr>
      <vt:lpstr>기계경비!Print_Area</vt:lpstr>
      <vt:lpstr>내역서!Print_Area</vt:lpstr>
      <vt:lpstr>노임단가!Print_Area</vt:lpstr>
      <vt:lpstr>설계내역서!Print_Area</vt:lpstr>
      <vt:lpstr>수량산출서!Print_Area</vt:lpstr>
      <vt:lpstr>순찰!Print_Area</vt:lpstr>
      <vt:lpstr>예정동원!Print_Area</vt:lpstr>
      <vt:lpstr>요약서!Print_Area</vt:lpstr>
      <vt:lpstr>운반!Print_Area</vt:lpstr>
      <vt:lpstr>원가계산서!Print_Area</vt:lpstr>
      <vt:lpstr>자재단가!Print_Area</vt:lpstr>
      <vt:lpstr>점검단가!Print_Area</vt:lpstr>
      <vt:lpstr>표지2!Print_Area</vt:lpstr>
      <vt:lpstr>'15t 덤프'!Print_Titles</vt:lpstr>
      <vt:lpstr>내역서!Print_Titles</vt:lpstr>
      <vt:lpstr>설계내역서!Print_Titles</vt:lpstr>
      <vt:lpstr>자재단가!Print_Titles</vt:lpstr>
      <vt:lpstr>점검단가!Print_Titles</vt:lpstr>
      <vt:lpstr>원가계산서!간접노무비</vt:lpstr>
      <vt:lpstr>건강보험료</vt:lpstr>
      <vt:lpstr>원가계산서!공급가액</vt:lpstr>
      <vt:lpstr>원가계산서!부가가치세</vt:lpstr>
      <vt:lpstr>원가계산서!순공사원가</vt:lpstr>
      <vt:lpstr>원가계산서!이윤</vt:lpstr>
      <vt:lpstr>원가계산서!일반관리비</vt:lpstr>
      <vt:lpstr>원가계산서!재료비</vt:lpstr>
      <vt:lpstr>원가계산서!직접공사비</vt:lpstr>
      <vt:lpstr>원가계산서!직접노무비</vt:lpstr>
    </vt:vector>
  </TitlesOfParts>
  <Company>건설교통부 충주국도유지건설사무소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김병준</dc:creator>
  <cp:lastModifiedBy>논산국토</cp:lastModifiedBy>
  <cp:lastPrinted>2026-10-12T07:05:30Z</cp:lastPrinted>
  <dcterms:created xsi:type="dcterms:W3CDTF">2002-02-15T07:38:34Z</dcterms:created>
  <dcterms:modified xsi:type="dcterms:W3CDTF">2026-10-12T07:08:07Z</dcterms:modified>
</cp:coreProperties>
</file>